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7.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8.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9.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10.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1.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2.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3.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eoughton\Desktop\Github\ascend\"/>
    </mc:Choice>
  </mc:AlternateContent>
  <xr:revisionPtr revIDLastSave="0" documentId="13_ncr:1_{FEEE3EFD-82C9-4A0A-B3DF-5DC91C24A2AE}" xr6:coauthVersionLast="47" xr6:coauthVersionMax="47" xr10:uidLastSave="{00000000-0000-0000-0000-000000000000}"/>
  <bookViews>
    <workbookView xWindow="-30828" yWindow="-108" windowWidth="30936" windowHeight="16896" tabRatio="882" xr2:uid="{00000000-000D-0000-FFFF-FFFF00000000}"/>
  </bookViews>
  <sheets>
    <sheet name="Index" sheetId="1" r:id="rId1"/>
    <sheet name="Read_Me" sheetId="2" r:id="rId2"/>
    <sheet name="Settings" sheetId="51" r:id="rId3"/>
    <sheet name="Current" sheetId="135" r:id="rId4"/>
    <sheet name="DTE_Lifespans_existing" sheetId="132" r:id="rId5"/>
    <sheet name="Use_case_lifespans" sheetId="136" r:id="rId6"/>
    <sheet name="New_missions" sheetId="137" r:id="rId7"/>
    <sheet name="lifespans_all" sheetId="138" r:id="rId8"/>
    <sheet name="Current_DTE" sheetId="140" r:id="rId9"/>
    <sheet name="DTE_mission_minutes" sheetId="133" r:id="rId10"/>
    <sheet name="DTE_demand_forecast" sheetId="134" r:id="rId11"/>
    <sheet name="Current_SR" sheetId="123" r:id="rId12"/>
    <sheet name="SR_mission_minutes" sheetId="146" r:id="rId13"/>
    <sheet name="SR_demand_forecast" sheetId="147" r:id="rId14"/>
    <sheet name="Minutes_by_use_case" sheetId="141" r:id="rId15"/>
    <sheet name="Costs" sheetId="129" r:id="rId16"/>
    <sheet name="DTE_cost_per_minute_forecast" sheetId="144" r:id="rId17"/>
    <sheet name="SR_cost_per_minute_forecast" sheetId="152" r:id="rId18"/>
    <sheet name="Lifespans" sheetId="142" r:id="rId19"/>
    <sheet name="Demand_forecast_by_use_case" sheetId="143" r:id="rId20"/>
    <sheet name="Demand_forecast_by_replacement" sheetId="153" r:id="rId21"/>
    <sheet name="DTE_cost_by_use_case" sheetId="145" r:id="rId22"/>
    <sheet name="SR_cost_by_use_case" sheetId="151" r:id="rId23"/>
    <sheet name="Aggregate_costs" sheetId="150" r:id="rId24"/>
  </sheets>
  <definedNames>
    <definedName name="_xlnm._FilterDatabase" localSheetId="3" hidden="1">Current!$L$56:$L$92</definedName>
    <definedName name="_xlnm._FilterDatabase" localSheetId="8" hidden="1">Current_DTE!$A$1:$W$48</definedName>
    <definedName name="_xlnm._FilterDatabase" localSheetId="10" hidden="1">DTE_demand_forecast!$A$1:$V$48</definedName>
    <definedName name="_xlnm._FilterDatabase" localSheetId="4" hidden="1">DTE_Lifespans_existing!$A$1:$W$48</definedName>
    <definedName name="_xlnm._FilterDatabase" localSheetId="9" hidden="1">DTE_mission_minutes!$A$1:$W$48</definedName>
    <definedName name="_xlnm._FilterDatabase" localSheetId="7" hidden="1">lifespans_all!$A$1:$W$48</definedName>
    <definedName name="_xlnm._FilterDatabase" localSheetId="14" hidden="1">Minutes_by_use_case!$A$1:$U$47</definedName>
    <definedName name="_xlnm._FilterDatabase" localSheetId="6" hidden="1">New_missions!$A$1:$W$52</definedName>
    <definedName name="_xlnm._FilterDatabase" localSheetId="5" hidden="1">Use_case_lifespans!$A$1:$W$48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52" l="1"/>
  <c r="B9" i="152"/>
  <c r="B8" i="152"/>
  <c r="B7" i="152"/>
  <c r="B6" i="152"/>
  <c r="B5" i="152"/>
  <c r="B4" i="152"/>
  <c r="B3" i="152"/>
  <c r="B4" i="144"/>
  <c r="B5" i="144"/>
  <c r="B6" i="144"/>
  <c r="B7" i="144"/>
  <c r="B8" i="144"/>
  <c r="B9" i="144"/>
  <c r="B10" i="144"/>
  <c r="B3" i="144"/>
  <c r="C3" i="141"/>
  <c r="C4" i="141"/>
  <c r="C5" i="141"/>
  <c r="C6" i="141"/>
  <c r="C7" i="141"/>
  <c r="C8" i="141"/>
  <c r="C9" i="141"/>
  <c r="C2" i="141"/>
  <c r="E45" i="51" l="1"/>
  <c r="C7" i="129" s="1"/>
  <c r="X7" i="129" s="1"/>
  <c r="B11" i="129"/>
  <c r="B12" i="129"/>
  <c r="B13" i="129"/>
  <c r="E51" i="51"/>
  <c r="P13" i="129" s="1"/>
  <c r="E50" i="51"/>
  <c r="V12" i="129" s="1"/>
  <c r="E49" i="51"/>
  <c r="U11" i="129" s="1"/>
  <c r="E47" i="51"/>
  <c r="L9" i="129" s="1"/>
  <c r="E46" i="51"/>
  <c r="O8" i="129" s="1"/>
  <c r="E44" i="51"/>
  <c r="C6" i="129" s="1"/>
  <c r="X6" i="129" s="1"/>
  <c r="E43" i="51"/>
  <c r="C5" i="129" s="1"/>
  <c r="X5" i="129" s="1"/>
  <c r="E42" i="51"/>
  <c r="C4" i="129" s="1"/>
  <c r="X4" i="129" s="1"/>
  <c r="E41" i="51"/>
  <c r="C3" i="129" s="1"/>
  <c r="X3" i="129" s="1"/>
  <c r="E40" i="51"/>
  <c r="C2" i="129" s="1"/>
  <c r="X2" i="129" s="1"/>
  <c r="E59" i="51"/>
  <c r="C19" i="129" s="1"/>
  <c r="X19" i="129" s="1"/>
  <c r="E60" i="51"/>
  <c r="C20" i="129" s="1"/>
  <c r="X20" i="129" s="1"/>
  <c r="E61" i="51"/>
  <c r="C21" i="129" s="1"/>
  <c r="X21" i="129" s="1"/>
  <c r="E62" i="51"/>
  <c r="C22" i="129" s="1"/>
  <c r="X22" i="129" s="1"/>
  <c r="E63" i="51"/>
  <c r="C23" i="129" s="1"/>
  <c r="X23" i="129" s="1"/>
  <c r="E64" i="51"/>
  <c r="C24" i="129" s="1"/>
  <c r="X24" i="129" s="1"/>
  <c r="E65" i="51"/>
  <c r="C25" i="129" s="1"/>
  <c r="E66" i="51"/>
  <c r="C26" i="129" s="1"/>
  <c r="E67" i="51"/>
  <c r="C27" i="129" s="1"/>
  <c r="E68" i="51"/>
  <c r="C28" i="129" s="1"/>
  <c r="E69" i="51"/>
  <c r="C29" i="129" s="1"/>
  <c r="E58" i="51"/>
  <c r="C18" i="129" s="1"/>
  <c r="X18" i="129" s="1"/>
  <c r="J2" i="146"/>
  <c r="N46" i="146"/>
  <c r="M47" i="146"/>
  <c r="T48" i="146"/>
  <c r="H49" i="146"/>
  <c r="K50" i="146"/>
  <c r="I26" i="146"/>
  <c r="U44" i="146"/>
  <c r="B4" i="141"/>
  <c r="B5" i="141"/>
  <c r="B6" i="141"/>
  <c r="B7" i="141"/>
  <c r="B8" i="141"/>
  <c r="B9" i="141"/>
  <c r="B3" i="141"/>
  <c r="B2" i="141"/>
  <c r="R44" i="146"/>
  <c r="G45" i="146"/>
  <c r="H45" i="146"/>
  <c r="I45" i="146"/>
  <c r="J45" i="146"/>
  <c r="K45" i="146"/>
  <c r="L45" i="146"/>
  <c r="M45" i="146"/>
  <c r="N45" i="146"/>
  <c r="O45" i="146"/>
  <c r="Q45" i="146"/>
  <c r="R45" i="146"/>
  <c r="S45" i="146"/>
  <c r="T45" i="146"/>
  <c r="U45" i="146"/>
  <c r="V45" i="146"/>
  <c r="W45" i="146"/>
  <c r="G46" i="146"/>
  <c r="H46" i="146"/>
  <c r="J46" i="146"/>
  <c r="K46" i="146"/>
  <c r="L46" i="146"/>
  <c r="M46" i="146"/>
  <c r="Q46" i="146"/>
  <c r="R46" i="146"/>
  <c r="S46" i="146"/>
  <c r="T46" i="146"/>
  <c r="U46" i="146"/>
  <c r="V46" i="146"/>
  <c r="G47" i="146"/>
  <c r="H47" i="146"/>
  <c r="I47" i="146"/>
  <c r="J47" i="146"/>
  <c r="K47" i="146"/>
  <c r="L47" i="146"/>
  <c r="N47" i="146"/>
  <c r="O47" i="146"/>
  <c r="Q47" i="146"/>
  <c r="R47" i="146"/>
  <c r="S47" i="146"/>
  <c r="U47" i="146"/>
  <c r="V47" i="146"/>
  <c r="W47" i="146"/>
  <c r="G48" i="146"/>
  <c r="S48" i="146"/>
  <c r="U48" i="146"/>
  <c r="I49" i="146"/>
  <c r="P49" i="146"/>
  <c r="Q49" i="146"/>
  <c r="U49" i="146"/>
  <c r="V49" i="146"/>
  <c r="G51" i="146"/>
  <c r="H51" i="146"/>
  <c r="I51" i="146"/>
  <c r="J51" i="146"/>
  <c r="N51" i="146"/>
  <c r="O51" i="146"/>
  <c r="E45" i="146"/>
  <c r="F45" i="146"/>
  <c r="E46" i="146"/>
  <c r="F46" i="146"/>
  <c r="F47" i="146"/>
  <c r="D45" i="146"/>
  <c r="D46" i="146"/>
  <c r="D47" i="146"/>
  <c r="D24" i="133"/>
  <c r="AB12" i="132"/>
  <c r="AB13" i="132"/>
  <c r="AB14" i="132"/>
  <c r="AB15" i="132"/>
  <c r="AB16" i="132"/>
  <c r="AB17" i="132"/>
  <c r="AB18" i="132"/>
  <c r="AB11" i="132"/>
  <c r="AA12" i="132"/>
  <c r="AA13" i="132"/>
  <c r="AA14" i="132"/>
  <c r="AA15" i="132"/>
  <c r="AA16" i="132"/>
  <c r="AA17" i="132"/>
  <c r="AA18" i="132"/>
  <c r="AA11" i="132"/>
  <c r="E2" i="146"/>
  <c r="F2" i="146"/>
  <c r="G2" i="146"/>
  <c r="H2" i="146"/>
  <c r="I2" i="146"/>
  <c r="K2" i="146"/>
  <c r="L2" i="146"/>
  <c r="M2" i="146"/>
  <c r="M2" i="147" s="1"/>
  <c r="N2" i="146"/>
  <c r="N2" i="147" s="1"/>
  <c r="O2" i="146"/>
  <c r="P2" i="146"/>
  <c r="Q2" i="146"/>
  <c r="Q2" i="147" s="1"/>
  <c r="R2" i="146"/>
  <c r="R2" i="147" s="1"/>
  <c r="T2" i="146"/>
  <c r="U2" i="146"/>
  <c r="V2" i="146"/>
  <c r="W2" i="146"/>
  <c r="E3" i="146"/>
  <c r="F3" i="146"/>
  <c r="G3" i="146"/>
  <c r="H3" i="146"/>
  <c r="I3" i="146"/>
  <c r="J3" i="146"/>
  <c r="L3" i="146"/>
  <c r="M3" i="146"/>
  <c r="N3" i="146"/>
  <c r="O3" i="146"/>
  <c r="P3" i="146"/>
  <c r="P3" i="147" s="1"/>
  <c r="Q3" i="146"/>
  <c r="R3" i="146"/>
  <c r="S3" i="146"/>
  <c r="T3" i="146"/>
  <c r="V3" i="146"/>
  <c r="W3" i="146"/>
  <c r="E5" i="146"/>
  <c r="F5" i="146"/>
  <c r="F5" i="147" s="1"/>
  <c r="G5" i="146"/>
  <c r="G5" i="147" s="1"/>
  <c r="H5" i="146"/>
  <c r="H5" i="147" s="1"/>
  <c r="J5" i="146"/>
  <c r="J5" i="147" s="1"/>
  <c r="K5" i="146"/>
  <c r="L5" i="146"/>
  <c r="L5" i="147" s="1"/>
  <c r="M5" i="146"/>
  <c r="M5" i="147" s="1"/>
  <c r="N5" i="146"/>
  <c r="N5" i="147" s="1"/>
  <c r="O5" i="146"/>
  <c r="O5" i="147" s="1"/>
  <c r="P5" i="146"/>
  <c r="P5" i="147" s="1"/>
  <c r="Q5" i="146"/>
  <c r="R5" i="146"/>
  <c r="S5" i="146"/>
  <c r="T5" i="146"/>
  <c r="U5" i="146"/>
  <c r="V5" i="146"/>
  <c r="E6" i="146"/>
  <c r="E31" i="147" s="1"/>
  <c r="F6" i="146"/>
  <c r="F31" i="147" s="1"/>
  <c r="G6" i="146"/>
  <c r="G31" i="147" s="1"/>
  <c r="H6" i="146"/>
  <c r="I6" i="146"/>
  <c r="J6" i="146"/>
  <c r="K6" i="146"/>
  <c r="L6" i="146"/>
  <c r="M6" i="146"/>
  <c r="N6" i="146"/>
  <c r="O6" i="146"/>
  <c r="P6" i="146"/>
  <c r="Q6" i="146"/>
  <c r="Q6" i="147" s="1"/>
  <c r="R6" i="146"/>
  <c r="R6" i="147" s="1"/>
  <c r="S6" i="146"/>
  <c r="T6" i="146"/>
  <c r="U6" i="146"/>
  <c r="V6" i="146"/>
  <c r="V31" i="147" s="1"/>
  <c r="W6" i="146"/>
  <c r="E9" i="146"/>
  <c r="F9" i="146"/>
  <c r="G9" i="146"/>
  <c r="H9" i="146"/>
  <c r="I9" i="146"/>
  <c r="J9" i="146"/>
  <c r="K9" i="146"/>
  <c r="L9" i="146"/>
  <c r="M9" i="146"/>
  <c r="N9" i="146"/>
  <c r="O9" i="146"/>
  <c r="P9" i="146"/>
  <c r="Q9" i="146"/>
  <c r="R9" i="146"/>
  <c r="S9" i="146"/>
  <c r="T9" i="146"/>
  <c r="V9" i="146"/>
  <c r="W9" i="146"/>
  <c r="E10" i="146"/>
  <c r="F10" i="146"/>
  <c r="F10" i="147" s="1"/>
  <c r="G10" i="146"/>
  <c r="H10" i="146"/>
  <c r="I10" i="146"/>
  <c r="J10" i="146"/>
  <c r="K10" i="146"/>
  <c r="L10" i="146"/>
  <c r="M10" i="146"/>
  <c r="N10" i="146"/>
  <c r="O10" i="146"/>
  <c r="P10" i="146"/>
  <c r="Q10" i="146"/>
  <c r="R10" i="146"/>
  <c r="S10" i="146"/>
  <c r="S10" i="147" s="1"/>
  <c r="T10" i="146"/>
  <c r="T10" i="147" s="1"/>
  <c r="U10" i="146"/>
  <c r="W10" i="146"/>
  <c r="E11" i="146"/>
  <c r="E11" i="147" s="1"/>
  <c r="F11" i="146"/>
  <c r="G11" i="146"/>
  <c r="G15" i="147" s="1"/>
  <c r="H11" i="146"/>
  <c r="I11" i="146"/>
  <c r="J11" i="146"/>
  <c r="K11" i="146"/>
  <c r="K15" i="147" s="1"/>
  <c r="L11" i="146"/>
  <c r="L15" i="147" s="1"/>
  <c r="M11" i="146"/>
  <c r="M15" i="147" s="1"/>
  <c r="N11" i="146"/>
  <c r="O11" i="146"/>
  <c r="P11" i="146"/>
  <c r="Q11" i="146"/>
  <c r="R11" i="146"/>
  <c r="S11" i="146"/>
  <c r="T11" i="146"/>
  <c r="U11" i="146"/>
  <c r="V11" i="146"/>
  <c r="E12" i="146"/>
  <c r="E12" i="147" s="1"/>
  <c r="F12" i="146"/>
  <c r="G12" i="146"/>
  <c r="H12" i="146"/>
  <c r="I12" i="146"/>
  <c r="J12" i="146"/>
  <c r="K12" i="146"/>
  <c r="K12" i="147" s="1"/>
  <c r="L12" i="146"/>
  <c r="L12" i="147" s="1"/>
  <c r="M12" i="146"/>
  <c r="N12" i="146"/>
  <c r="O12" i="146"/>
  <c r="O12" i="147" s="1"/>
  <c r="P12" i="146"/>
  <c r="Q12" i="146"/>
  <c r="R12" i="146"/>
  <c r="S12" i="146"/>
  <c r="T12" i="146"/>
  <c r="U12" i="146"/>
  <c r="V12" i="146"/>
  <c r="W12" i="146"/>
  <c r="F13" i="146"/>
  <c r="G13" i="146"/>
  <c r="H13" i="146"/>
  <c r="I13" i="146"/>
  <c r="J13" i="146"/>
  <c r="K13" i="146"/>
  <c r="L13" i="146"/>
  <c r="L13" i="147" s="1"/>
  <c r="M13" i="146"/>
  <c r="N13" i="146"/>
  <c r="O13" i="146"/>
  <c r="P13" i="146"/>
  <c r="Q13" i="146"/>
  <c r="Q13" i="147" s="1"/>
  <c r="R13" i="146"/>
  <c r="R13" i="147" s="1"/>
  <c r="S13" i="146"/>
  <c r="T13" i="146"/>
  <c r="U13" i="146"/>
  <c r="V13" i="146"/>
  <c r="W13" i="146"/>
  <c r="L14" i="146"/>
  <c r="I16" i="146"/>
  <c r="J16" i="146"/>
  <c r="K16" i="146"/>
  <c r="L16" i="146"/>
  <c r="M16" i="146"/>
  <c r="N16" i="146"/>
  <c r="O16" i="146"/>
  <c r="S16" i="146"/>
  <c r="E17" i="146"/>
  <c r="F17" i="146"/>
  <c r="G17" i="146"/>
  <c r="H17" i="146"/>
  <c r="I17" i="146"/>
  <c r="J17" i="146"/>
  <c r="L17" i="146"/>
  <c r="M17" i="146"/>
  <c r="N17" i="146"/>
  <c r="O17" i="146"/>
  <c r="O17" i="147" s="1"/>
  <c r="P17" i="146"/>
  <c r="Q17" i="146"/>
  <c r="Q17" i="147" s="1"/>
  <c r="R17" i="146"/>
  <c r="R17" i="147" s="1"/>
  <c r="S17" i="146"/>
  <c r="T17" i="146"/>
  <c r="U17" i="146"/>
  <c r="V17" i="146"/>
  <c r="W17" i="146"/>
  <c r="E18" i="146"/>
  <c r="E18" i="147" s="1"/>
  <c r="F18" i="146"/>
  <c r="F18" i="147" s="1"/>
  <c r="G18" i="146"/>
  <c r="H18" i="146"/>
  <c r="I18" i="146"/>
  <c r="J18" i="146"/>
  <c r="K18" i="146"/>
  <c r="M18" i="146"/>
  <c r="N18" i="146"/>
  <c r="O18" i="146"/>
  <c r="P18" i="146"/>
  <c r="Q18" i="146"/>
  <c r="R18" i="146"/>
  <c r="R18" i="147" s="1"/>
  <c r="S18" i="146"/>
  <c r="S18" i="147" s="1"/>
  <c r="T18" i="146"/>
  <c r="U18" i="146"/>
  <c r="V18" i="146"/>
  <c r="W18" i="146"/>
  <c r="E19" i="146"/>
  <c r="E19" i="147" s="1"/>
  <c r="F19" i="146"/>
  <c r="F19" i="147" s="1"/>
  <c r="G19" i="146"/>
  <c r="G19" i="147" s="1"/>
  <c r="H19" i="146"/>
  <c r="H19" i="147" s="1"/>
  <c r="I19" i="146"/>
  <c r="J19" i="146"/>
  <c r="J19" i="147" s="1"/>
  <c r="K19" i="146"/>
  <c r="L19" i="146"/>
  <c r="N19" i="146"/>
  <c r="O19" i="146"/>
  <c r="P19" i="146"/>
  <c r="Q19" i="146"/>
  <c r="R19" i="146"/>
  <c r="S19" i="146"/>
  <c r="T19" i="146"/>
  <c r="U19" i="146"/>
  <c r="V19" i="146"/>
  <c r="W19" i="146"/>
  <c r="O20" i="146"/>
  <c r="E22" i="146"/>
  <c r="F22" i="146"/>
  <c r="F168" i="147" s="1"/>
  <c r="G22" i="146"/>
  <c r="H22" i="146"/>
  <c r="I22" i="146"/>
  <c r="K22" i="146"/>
  <c r="L22" i="146"/>
  <c r="M22" i="146"/>
  <c r="N22" i="146"/>
  <c r="O22" i="146"/>
  <c r="P22" i="146"/>
  <c r="R22" i="146"/>
  <c r="R95" i="147" s="1"/>
  <c r="T22" i="146"/>
  <c r="U22" i="146"/>
  <c r="U22" i="147" s="1"/>
  <c r="V22" i="146"/>
  <c r="V22" i="147" s="1"/>
  <c r="W22" i="146"/>
  <c r="W22" i="147" s="1"/>
  <c r="E23" i="146"/>
  <c r="F23" i="146"/>
  <c r="F23" i="147" s="1"/>
  <c r="G23" i="146"/>
  <c r="H23" i="146"/>
  <c r="I23" i="146"/>
  <c r="I96" i="147" s="1"/>
  <c r="J23" i="146"/>
  <c r="J96" i="147" s="1"/>
  <c r="K23" i="146"/>
  <c r="K96" i="147" s="1"/>
  <c r="L23" i="146"/>
  <c r="L96" i="147" s="1"/>
  <c r="N23" i="146"/>
  <c r="N96" i="147" s="1"/>
  <c r="O23" i="146"/>
  <c r="P23" i="146"/>
  <c r="P23" i="147" s="1"/>
  <c r="Q23" i="146"/>
  <c r="Q23" i="147" s="1"/>
  <c r="S23" i="146"/>
  <c r="S169" i="147" s="1"/>
  <c r="U23" i="146"/>
  <c r="U23" i="147" s="1"/>
  <c r="V23" i="146"/>
  <c r="V96" i="147" s="1"/>
  <c r="W23" i="146"/>
  <c r="E24" i="146"/>
  <c r="E97" i="147" s="1"/>
  <c r="F24" i="146"/>
  <c r="F97" i="147" s="1"/>
  <c r="G24" i="146"/>
  <c r="G97" i="147" s="1"/>
  <c r="H24" i="146"/>
  <c r="I24" i="146"/>
  <c r="I24" i="147" s="1"/>
  <c r="J24" i="146"/>
  <c r="K24" i="146"/>
  <c r="L24" i="146"/>
  <c r="M24" i="146"/>
  <c r="N24" i="146"/>
  <c r="O24" i="146"/>
  <c r="Q24" i="146"/>
  <c r="Q170" i="147" s="1"/>
  <c r="R24" i="146"/>
  <c r="T24" i="146"/>
  <c r="T24" i="147" s="1"/>
  <c r="V24" i="146"/>
  <c r="V170" i="147" s="1"/>
  <c r="W24" i="146"/>
  <c r="W24" i="147" s="1"/>
  <c r="E25" i="146"/>
  <c r="E25" i="147" s="1"/>
  <c r="F25" i="146"/>
  <c r="F98" i="147" s="1"/>
  <c r="G25" i="146"/>
  <c r="G98" i="147" s="1"/>
  <c r="H25" i="146"/>
  <c r="H98" i="147" s="1"/>
  <c r="I25" i="146"/>
  <c r="I25" i="147" s="1"/>
  <c r="J25" i="146"/>
  <c r="K25" i="146"/>
  <c r="L25" i="146"/>
  <c r="M25" i="146"/>
  <c r="N25" i="146"/>
  <c r="O25" i="146"/>
  <c r="P25" i="146"/>
  <c r="Q25" i="146"/>
  <c r="R25" i="146"/>
  <c r="S25" i="146"/>
  <c r="U25" i="146"/>
  <c r="U171" i="147" s="1"/>
  <c r="W25" i="146"/>
  <c r="W25" i="147" s="1"/>
  <c r="R26" i="146"/>
  <c r="S26" i="146"/>
  <c r="T26" i="146"/>
  <c r="U26" i="146"/>
  <c r="E27" i="146"/>
  <c r="F27" i="146"/>
  <c r="G27" i="146"/>
  <c r="G27" i="147" s="1"/>
  <c r="H27" i="146"/>
  <c r="I27" i="146"/>
  <c r="J27" i="146"/>
  <c r="K27" i="146"/>
  <c r="L27" i="146"/>
  <c r="M27" i="146"/>
  <c r="N27" i="146"/>
  <c r="O27" i="146"/>
  <c r="P27" i="146"/>
  <c r="Q27" i="146"/>
  <c r="R27" i="146"/>
  <c r="S27" i="146"/>
  <c r="T27" i="146"/>
  <c r="U27" i="146"/>
  <c r="V27" i="146"/>
  <c r="V27" i="147" s="1"/>
  <c r="W27" i="146"/>
  <c r="E28" i="146"/>
  <c r="F28" i="146"/>
  <c r="F28" i="147" s="1"/>
  <c r="G28" i="146"/>
  <c r="G28" i="147" s="1"/>
  <c r="H28" i="146"/>
  <c r="H28" i="147" s="1"/>
  <c r="I28" i="146"/>
  <c r="J28" i="146"/>
  <c r="K28" i="146"/>
  <c r="K28" i="147" s="1"/>
  <c r="L28" i="146"/>
  <c r="M28" i="146"/>
  <c r="M28" i="147" s="1"/>
  <c r="N28" i="146"/>
  <c r="O28" i="146"/>
  <c r="P28" i="146"/>
  <c r="Q28" i="146"/>
  <c r="R28" i="146"/>
  <c r="S28" i="146"/>
  <c r="T28" i="146"/>
  <c r="U28" i="146"/>
  <c r="U28" i="147" s="1"/>
  <c r="V28" i="146"/>
  <c r="V28" i="147" s="1"/>
  <c r="W28" i="146"/>
  <c r="E29" i="146"/>
  <c r="F29" i="146"/>
  <c r="G29" i="146"/>
  <c r="H29" i="146"/>
  <c r="I29" i="146"/>
  <c r="J29" i="146"/>
  <c r="K29" i="146"/>
  <c r="L29" i="146"/>
  <c r="M29" i="146"/>
  <c r="N29" i="146"/>
  <c r="O29" i="146"/>
  <c r="P29" i="146"/>
  <c r="P29" i="147" s="1"/>
  <c r="Q29" i="146"/>
  <c r="Q29" i="147" s="1"/>
  <c r="R29" i="146"/>
  <c r="R29" i="147" s="1"/>
  <c r="S29" i="146"/>
  <c r="S29" i="147" s="1"/>
  <c r="T29" i="146"/>
  <c r="T29" i="147" s="1"/>
  <c r="U29" i="146"/>
  <c r="U29" i="147" s="1"/>
  <c r="V29" i="146"/>
  <c r="V29" i="147" s="1"/>
  <c r="W29" i="146"/>
  <c r="W29" i="147" s="1"/>
  <c r="F30" i="146"/>
  <c r="E31" i="146"/>
  <c r="N31" i="146"/>
  <c r="E32" i="146"/>
  <c r="E32" i="147" s="1"/>
  <c r="F32" i="146"/>
  <c r="G32" i="146"/>
  <c r="H32" i="146"/>
  <c r="I32" i="146"/>
  <c r="J32" i="146"/>
  <c r="K32" i="146"/>
  <c r="L32" i="146"/>
  <c r="M32" i="146"/>
  <c r="N32" i="146"/>
  <c r="N32" i="147" s="1"/>
  <c r="O32" i="146"/>
  <c r="P32" i="146"/>
  <c r="Q32" i="146"/>
  <c r="R32" i="146"/>
  <c r="S32" i="146"/>
  <c r="T32" i="146"/>
  <c r="U32" i="146"/>
  <c r="V32" i="146"/>
  <c r="W32" i="146"/>
  <c r="E33" i="146"/>
  <c r="F33" i="146"/>
  <c r="F33" i="147" s="1"/>
  <c r="G33" i="146"/>
  <c r="H33" i="146"/>
  <c r="I33" i="146"/>
  <c r="J33" i="146"/>
  <c r="K33" i="146"/>
  <c r="L33" i="146"/>
  <c r="M33" i="146"/>
  <c r="N33" i="146"/>
  <c r="O33" i="146"/>
  <c r="P33" i="146"/>
  <c r="P33" i="147" s="1"/>
  <c r="Q33" i="146"/>
  <c r="Q33" i="147" s="1"/>
  <c r="R33" i="146"/>
  <c r="S33" i="146"/>
  <c r="T33" i="146"/>
  <c r="U33" i="146"/>
  <c r="U33" i="147" s="1"/>
  <c r="V33" i="146"/>
  <c r="V33" i="147" s="1"/>
  <c r="W33" i="146"/>
  <c r="W33" i="147" s="1"/>
  <c r="E34" i="146"/>
  <c r="F34" i="146"/>
  <c r="G34" i="146"/>
  <c r="H34" i="146"/>
  <c r="I34" i="146"/>
  <c r="J34" i="146"/>
  <c r="K34" i="146"/>
  <c r="L34" i="146"/>
  <c r="M34" i="146"/>
  <c r="N34" i="146"/>
  <c r="O34" i="146"/>
  <c r="P34" i="146"/>
  <c r="Q34" i="146"/>
  <c r="R34" i="146"/>
  <c r="S34" i="146"/>
  <c r="T34" i="146"/>
  <c r="T34" i="147" s="1"/>
  <c r="U34" i="146"/>
  <c r="U34" i="147" s="1"/>
  <c r="V34" i="146"/>
  <c r="V34" i="147" s="1"/>
  <c r="W34" i="146"/>
  <c r="W34" i="147" s="1"/>
  <c r="G35" i="146"/>
  <c r="J35" i="146"/>
  <c r="J35" i="147" s="1"/>
  <c r="K35" i="146"/>
  <c r="L35" i="146"/>
  <c r="M35" i="146"/>
  <c r="N35" i="146"/>
  <c r="O35" i="146"/>
  <c r="P35" i="146"/>
  <c r="F36" i="146"/>
  <c r="E37" i="146"/>
  <c r="F37" i="146"/>
  <c r="G37" i="146"/>
  <c r="H37" i="146"/>
  <c r="I37" i="146"/>
  <c r="I37" i="147" s="1"/>
  <c r="J37" i="146"/>
  <c r="K37" i="146"/>
  <c r="L37" i="146"/>
  <c r="M37" i="146"/>
  <c r="N37" i="146"/>
  <c r="O37" i="146"/>
  <c r="P37" i="146"/>
  <c r="P37" i="147" s="1"/>
  <c r="Q37" i="146"/>
  <c r="R37" i="146"/>
  <c r="S37" i="146"/>
  <c r="T37" i="146"/>
  <c r="U37" i="146"/>
  <c r="U37" i="147" s="1"/>
  <c r="V37" i="146"/>
  <c r="W37" i="146"/>
  <c r="E38" i="146"/>
  <c r="F38" i="146"/>
  <c r="G38" i="146"/>
  <c r="H38" i="146"/>
  <c r="I38" i="146"/>
  <c r="J38" i="146"/>
  <c r="K38" i="146"/>
  <c r="K38" i="147" s="1"/>
  <c r="L38" i="146"/>
  <c r="M38" i="146"/>
  <c r="N38" i="146"/>
  <c r="O38" i="146"/>
  <c r="P38" i="146"/>
  <c r="Q38" i="146"/>
  <c r="R38" i="146"/>
  <c r="S38" i="146"/>
  <c r="T38" i="146"/>
  <c r="T38" i="147" s="1"/>
  <c r="U38" i="146"/>
  <c r="U38" i="147" s="1"/>
  <c r="V38" i="146"/>
  <c r="W38" i="146"/>
  <c r="E39" i="146"/>
  <c r="F39" i="146"/>
  <c r="G39" i="146"/>
  <c r="G39" i="147" s="1"/>
  <c r="H39" i="146"/>
  <c r="H39" i="147" s="1"/>
  <c r="I39" i="146"/>
  <c r="I39" i="147" s="1"/>
  <c r="J39" i="146"/>
  <c r="K39" i="146"/>
  <c r="L39" i="146"/>
  <c r="M39" i="146"/>
  <c r="N39" i="146"/>
  <c r="O39" i="146"/>
  <c r="P39" i="146"/>
  <c r="Q39" i="146"/>
  <c r="S39" i="146"/>
  <c r="T39" i="146"/>
  <c r="U39" i="146"/>
  <c r="V39" i="146"/>
  <c r="W39" i="146"/>
  <c r="E40" i="146"/>
  <c r="F40" i="146"/>
  <c r="G40" i="146"/>
  <c r="G40" i="147" s="1"/>
  <c r="H40" i="146"/>
  <c r="H40" i="147" s="1"/>
  <c r="I40" i="146"/>
  <c r="I40" i="147" s="1"/>
  <c r="J40" i="146"/>
  <c r="J40" i="147" s="1"/>
  <c r="K40" i="146"/>
  <c r="L40" i="146"/>
  <c r="M40" i="146"/>
  <c r="N40" i="146"/>
  <c r="O40" i="146"/>
  <c r="P40" i="146"/>
  <c r="Q40" i="146"/>
  <c r="R40" i="146"/>
  <c r="T40" i="146"/>
  <c r="U40" i="146"/>
  <c r="V40" i="146"/>
  <c r="W40" i="146"/>
  <c r="E41" i="146"/>
  <c r="F41" i="146"/>
  <c r="G41" i="146"/>
  <c r="G41" i="147" s="1"/>
  <c r="H41" i="146"/>
  <c r="I41" i="146"/>
  <c r="I41" i="147" s="1"/>
  <c r="J41" i="146"/>
  <c r="J41" i="147" s="1"/>
  <c r="K41" i="146"/>
  <c r="L41" i="146"/>
  <c r="M41" i="146"/>
  <c r="N41" i="146"/>
  <c r="O41" i="146"/>
  <c r="P41" i="146"/>
  <c r="Q41" i="146"/>
  <c r="R41" i="146"/>
  <c r="S41" i="146"/>
  <c r="U41" i="146"/>
  <c r="V41" i="146"/>
  <c r="W41" i="146"/>
  <c r="E42" i="146"/>
  <c r="F42" i="146"/>
  <c r="G42" i="146"/>
  <c r="H42" i="146"/>
  <c r="I42" i="146"/>
  <c r="I42" i="147" s="1"/>
  <c r="J42" i="146"/>
  <c r="J42" i="147" s="1"/>
  <c r="K42" i="146"/>
  <c r="L42" i="146"/>
  <c r="M42" i="146"/>
  <c r="N42" i="146"/>
  <c r="O42" i="146"/>
  <c r="P42" i="146"/>
  <c r="Q42" i="146"/>
  <c r="R42" i="146"/>
  <c r="S42" i="146"/>
  <c r="S42" i="147" s="1"/>
  <c r="T42" i="146"/>
  <c r="U42" i="146"/>
  <c r="V42" i="146"/>
  <c r="W42" i="146"/>
  <c r="E43" i="146"/>
  <c r="F43" i="146"/>
  <c r="G43" i="146"/>
  <c r="H43" i="146"/>
  <c r="I43" i="146"/>
  <c r="J43" i="146"/>
  <c r="K43" i="146"/>
  <c r="L43" i="146"/>
  <c r="M43" i="146"/>
  <c r="N43" i="146"/>
  <c r="O43" i="146"/>
  <c r="P43" i="146"/>
  <c r="Q43" i="146"/>
  <c r="R43" i="146"/>
  <c r="S43" i="146"/>
  <c r="T43" i="146"/>
  <c r="U43" i="146"/>
  <c r="V43" i="146"/>
  <c r="W43" i="146"/>
  <c r="D3" i="146"/>
  <c r="D3" i="147" s="1"/>
  <c r="D5" i="146"/>
  <c r="D6" i="146"/>
  <c r="D9" i="146"/>
  <c r="D10" i="146"/>
  <c r="D11" i="146"/>
  <c r="D12" i="146"/>
  <c r="D12" i="147" s="1"/>
  <c r="D13" i="146"/>
  <c r="D17" i="146"/>
  <c r="D18" i="146"/>
  <c r="D19" i="146"/>
  <c r="D22" i="146"/>
  <c r="D22" i="147" s="1"/>
  <c r="D23" i="146"/>
  <c r="D23" i="147" s="1"/>
  <c r="D24" i="146"/>
  <c r="D25" i="146"/>
  <c r="D27" i="146"/>
  <c r="D28" i="146"/>
  <c r="D29" i="146"/>
  <c r="D32" i="146"/>
  <c r="D33" i="146"/>
  <c r="D34" i="146"/>
  <c r="D37" i="146"/>
  <c r="D38" i="146"/>
  <c r="D39" i="146"/>
  <c r="D40" i="146"/>
  <c r="D41" i="146"/>
  <c r="D42" i="146"/>
  <c r="D43" i="146"/>
  <c r="D2" i="146"/>
  <c r="P2" i="123"/>
  <c r="P3" i="123"/>
  <c r="P4" i="123"/>
  <c r="P5" i="123"/>
  <c r="P6" i="123"/>
  <c r="P7" i="123"/>
  <c r="P8" i="123"/>
  <c r="P9" i="123"/>
  <c r="P10" i="123"/>
  <c r="P11" i="123"/>
  <c r="P12" i="123"/>
  <c r="P13" i="123"/>
  <c r="P14" i="123"/>
  <c r="P15" i="123"/>
  <c r="P16" i="123"/>
  <c r="P17" i="123"/>
  <c r="P18" i="123"/>
  <c r="P19" i="123"/>
  <c r="P20" i="123"/>
  <c r="P21" i="123"/>
  <c r="P22" i="123"/>
  <c r="P23" i="123"/>
  <c r="P24" i="123"/>
  <c r="P25" i="123"/>
  <c r="P26" i="123"/>
  <c r="P27" i="123"/>
  <c r="P28" i="123"/>
  <c r="P29" i="123"/>
  <c r="P30" i="123"/>
  <c r="P31" i="123"/>
  <c r="P32" i="123"/>
  <c r="P33" i="123"/>
  <c r="P34" i="123"/>
  <c r="P35" i="123"/>
  <c r="P36" i="123"/>
  <c r="P37" i="123"/>
  <c r="P38" i="123"/>
  <c r="P39" i="123"/>
  <c r="P40" i="123"/>
  <c r="P41" i="123"/>
  <c r="P42" i="123"/>
  <c r="P43" i="123"/>
  <c r="O45" i="123"/>
  <c r="N45" i="123"/>
  <c r="M45" i="123"/>
  <c r="L45" i="123"/>
  <c r="K45" i="123"/>
  <c r="J45" i="123"/>
  <c r="I45" i="123"/>
  <c r="H45" i="123"/>
  <c r="G45" i="123"/>
  <c r="F45" i="123"/>
  <c r="E45" i="123"/>
  <c r="D45" i="123"/>
  <c r="V24" i="147" l="1"/>
  <c r="C10" i="129"/>
  <c r="E10" i="129" s="1"/>
  <c r="C9" i="129"/>
  <c r="G9" i="129"/>
  <c r="F9" i="129"/>
  <c r="D11" i="129"/>
  <c r="D12" i="129"/>
  <c r="P11" i="129"/>
  <c r="O11" i="129"/>
  <c r="N11" i="129"/>
  <c r="M11" i="129"/>
  <c r="E9" i="129"/>
  <c r="L11" i="129"/>
  <c r="K11" i="129"/>
  <c r="V9" i="129"/>
  <c r="U9" i="129"/>
  <c r="U12" i="129"/>
  <c r="T12" i="129"/>
  <c r="T11" i="129"/>
  <c r="G12" i="129"/>
  <c r="F12" i="129"/>
  <c r="E12" i="129"/>
  <c r="S11" i="129"/>
  <c r="S12" i="129"/>
  <c r="R12" i="129"/>
  <c r="F11" i="129"/>
  <c r="P12" i="129"/>
  <c r="Q9" i="129"/>
  <c r="P9" i="129"/>
  <c r="M12" i="129"/>
  <c r="K9" i="129"/>
  <c r="I26" i="129"/>
  <c r="J12" i="129"/>
  <c r="J9" i="129"/>
  <c r="H26" i="129"/>
  <c r="I11" i="129"/>
  <c r="S9" i="129"/>
  <c r="O12" i="129"/>
  <c r="J26" i="129"/>
  <c r="I12" i="129"/>
  <c r="G26" i="129"/>
  <c r="T9" i="129"/>
  <c r="J11" i="129"/>
  <c r="Q12" i="129"/>
  <c r="I9" i="129"/>
  <c r="H12" i="129"/>
  <c r="H9" i="129"/>
  <c r="R28" i="129"/>
  <c r="D26" i="129"/>
  <c r="Q28" i="129"/>
  <c r="D13" i="129"/>
  <c r="K28" i="129"/>
  <c r="V27" i="129"/>
  <c r="O13" i="129"/>
  <c r="F26" i="129"/>
  <c r="D27" i="129"/>
  <c r="T27" i="129"/>
  <c r="M13" i="129"/>
  <c r="T29" i="129"/>
  <c r="L13" i="129"/>
  <c r="D29" i="129"/>
  <c r="R27" i="129"/>
  <c r="Q27" i="129"/>
  <c r="J13" i="129"/>
  <c r="I29" i="129"/>
  <c r="P27" i="129"/>
  <c r="I13" i="129"/>
  <c r="V13" i="129"/>
  <c r="H29" i="129"/>
  <c r="P29" i="129"/>
  <c r="O27" i="129"/>
  <c r="H13" i="129"/>
  <c r="U13" i="129"/>
  <c r="G29" i="129"/>
  <c r="N27" i="129"/>
  <c r="G13" i="129"/>
  <c r="F29" i="129"/>
  <c r="M27" i="129"/>
  <c r="F13" i="129"/>
  <c r="M29" i="129"/>
  <c r="E13" i="129"/>
  <c r="L29" i="129"/>
  <c r="I28" i="129"/>
  <c r="K29" i="129"/>
  <c r="V26" i="129"/>
  <c r="C13" i="129"/>
  <c r="H27" i="129"/>
  <c r="V28" i="129"/>
  <c r="U26" i="129"/>
  <c r="C11" i="129"/>
  <c r="E11" i="129"/>
  <c r="G27" i="129"/>
  <c r="U28" i="129"/>
  <c r="M26" i="129"/>
  <c r="S13" i="129"/>
  <c r="U27" i="129"/>
  <c r="N13" i="129"/>
  <c r="E26" i="129"/>
  <c r="D28" i="129"/>
  <c r="S27" i="129"/>
  <c r="S29" i="129"/>
  <c r="K13" i="129"/>
  <c r="J29" i="129"/>
  <c r="R29" i="129"/>
  <c r="Q29" i="129"/>
  <c r="O29" i="129"/>
  <c r="T13" i="129"/>
  <c r="N29" i="129"/>
  <c r="E29" i="129"/>
  <c r="L27" i="129"/>
  <c r="J28" i="129"/>
  <c r="K27" i="129"/>
  <c r="F27" i="129"/>
  <c r="T28" i="129"/>
  <c r="L26" i="129"/>
  <c r="D9" i="129"/>
  <c r="R9" i="129"/>
  <c r="E27" i="129"/>
  <c r="S28" i="129"/>
  <c r="K26" i="129"/>
  <c r="H25" i="129"/>
  <c r="M25" i="129"/>
  <c r="I27" i="129"/>
  <c r="O26" i="129"/>
  <c r="D25" i="129"/>
  <c r="V25" i="129"/>
  <c r="U25" i="129"/>
  <c r="S25" i="129"/>
  <c r="R25" i="129"/>
  <c r="Q25" i="129"/>
  <c r="J25" i="129"/>
  <c r="P25" i="129"/>
  <c r="I25" i="129"/>
  <c r="O25" i="129"/>
  <c r="N25" i="129"/>
  <c r="G25" i="129"/>
  <c r="N26" i="129"/>
  <c r="R13" i="129"/>
  <c r="L12" i="129"/>
  <c r="V8" i="129"/>
  <c r="H28" i="129"/>
  <c r="F25" i="129"/>
  <c r="P28" i="129"/>
  <c r="T26" i="129"/>
  <c r="L25" i="129"/>
  <c r="Q13" i="129"/>
  <c r="K12" i="129"/>
  <c r="G28" i="129"/>
  <c r="E25" i="129"/>
  <c r="O28" i="129"/>
  <c r="S26" i="129"/>
  <c r="K25" i="129"/>
  <c r="F28" i="129"/>
  <c r="V29" i="129"/>
  <c r="N28" i="129"/>
  <c r="R26" i="129"/>
  <c r="E28" i="129"/>
  <c r="U29" i="129"/>
  <c r="M28" i="129"/>
  <c r="Q26" i="129"/>
  <c r="T25" i="129"/>
  <c r="J27" i="129"/>
  <c r="L28" i="129"/>
  <c r="P26" i="129"/>
  <c r="H8" i="129"/>
  <c r="G8" i="129"/>
  <c r="F8" i="129"/>
  <c r="J8" i="129"/>
  <c r="M8" i="129"/>
  <c r="C8" i="129"/>
  <c r="N8" i="129"/>
  <c r="L8" i="129"/>
  <c r="U8" i="129"/>
  <c r="T8" i="129"/>
  <c r="D8" i="129"/>
  <c r="I8" i="129"/>
  <c r="K8" i="129"/>
  <c r="S8" i="129"/>
  <c r="E8" i="129"/>
  <c r="H11" i="129"/>
  <c r="C12" i="129"/>
  <c r="N12" i="129"/>
  <c r="G11" i="129"/>
  <c r="N9" i="129"/>
  <c r="R8" i="129"/>
  <c r="Q8" i="129"/>
  <c r="P8" i="129"/>
  <c r="R11" i="129"/>
  <c r="M9" i="129"/>
  <c r="V11" i="129"/>
  <c r="O9" i="129"/>
  <c r="Q11" i="129"/>
  <c r="O7" i="146"/>
  <c r="O7" i="147" s="1"/>
  <c r="F50" i="146"/>
  <c r="H16" i="146"/>
  <c r="H16" i="147" s="1"/>
  <c r="L7" i="146"/>
  <c r="L7" i="147" s="1"/>
  <c r="E48" i="146"/>
  <c r="Q48" i="146"/>
  <c r="G16" i="146"/>
  <c r="G16" i="147" s="1"/>
  <c r="I7" i="146"/>
  <c r="I7" i="147" s="1"/>
  <c r="P48" i="146"/>
  <c r="P24" i="146"/>
  <c r="P97" i="147" s="1"/>
  <c r="M23" i="146"/>
  <c r="M96" i="147" s="1"/>
  <c r="J22" i="146"/>
  <c r="J22" i="147" s="1"/>
  <c r="M19" i="146"/>
  <c r="M19" i="147" s="1"/>
  <c r="L18" i="146"/>
  <c r="K17" i="146"/>
  <c r="K17" i="147" s="1"/>
  <c r="V14" i="146"/>
  <c r="V14" i="147" s="1"/>
  <c r="E13" i="146"/>
  <c r="W11" i="146"/>
  <c r="V10" i="146"/>
  <c r="U9" i="146"/>
  <c r="U9" i="147" s="1"/>
  <c r="H7" i="146"/>
  <c r="H7" i="147" s="1"/>
  <c r="W5" i="146"/>
  <c r="W5" i="147" s="1"/>
  <c r="U3" i="146"/>
  <c r="U3" i="147" s="1"/>
  <c r="S2" i="146"/>
  <c r="S2" i="147" s="1"/>
  <c r="E47" i="146"/>
  <c r="K48" i="146"/>
  <c r="W46" i="146"/>
  <c r="P45" i="146"/>
  <c r="J48" i="146"/>
  <c r="I48" i="146"/>
  <c r="H48" i="146"/>
  <c r="M21" i="146"/>
  <c r="L21" i="146"/>
  <c r="L21" i="147" s="1"/>
  <c r="W16" i="146"/>
  <c r="E36" i="146"/>
  <c r="K21" i="146"/>
  <c r="U16" i="146"/>
  <c r="U16" i="147" s="1"/>
  <c r="T47" i="146"/>
  <c r="T16" i="146"/>
  <c r="E50" i="146"/>
  <c r="O15" i="146"/>
  <c r="F49" i="146"/>
  <c r="T49" i="146"/>
  <c r="I35" i="146"/>
  <c r="I35" i="147" s="1"/>
  <c r="T31" i="146"/>
  <c r="N15" i="146"/>
  <c r="U7" i="146"/>
  <c r="U7" i="147" s="1"/>
  <c r="E49" i="146"/>
  <c r="S49" i="146"/>
  <c r="H35" i="146"/>
  <c r="H35" i="147" s="1"/>
  <c r="S31" i="146"/>
  <c r="J15" i="146"/>
  <c r="Q7" i="146"/>
  <c r="I5" i="146"/>
  <c r="K3" i="146"/>
  <c r="F48" i="146"/>
  <c r="R49" i="146"/>
  <c r="P47" i="146"/>
  <c r="I46" i="146"/>
  <c r="T44" i="146"/>
  <c r="S30" i="146"/>
  <c r="S30" i="147" s="1"/>
  <c r="K14" i="146"/>
  <c r="K14" i="147" s="1"/>
  <c r="P2" i="147"/>
  <c r="H44" i="146"/>
  <c r="Q44" i="146"/>
  <c r="O2" i="147"/>
  <c r="G7" i="146"/>
  <c r="G7" i="147" s="1"/>
  <c r="L30" i="146"/>
  <c r="L30" i="147" s="1"/>
  <c r="N20" i="146"/>
  <c r="F7" i="146"/>
  <c r="F4" i="146"/>
  <c r="S32" i="147"/>
  <c r="W4" i="146"/>
  <c r="V97" i="147"/>
  <c r="J30" i="146"/>
  <c r="J30" i="147" s="1"/>
  <c r="M20" i="146"/>
  <c r="E4" i="146"/>
  <c r="F25" i="147"/>
  <c r="R30" i="146"/>
  <c r="M30" i="146"/>
  <c r="M30" i="147" s="1"/>
  <c r="W36" i="146"/>
  <c r="W36" i="147" s="1"/>
  <c r="H30" i="146"/>
  <c r="H30" i="147" s="1"/>
  <c r="W26" i="146"/>
  <c r="E44" i="146"/>
  <c r="K36" i="146"/>
  <c r="K36" i="147" s="1"/>
  <c r="G30" i="146"/>
  <c r="G30" i="147" s="1"/>
  <c r="V26" i="146"/>
  <c r="P51" i="146"/>
  <c r="U98" i="147"/>
  <c r="Q38" i="147"/>
  <c r="F32" i="147"/>
  <c r="M15" i="146"/>
  <c r="L15" i="146"/>
  <c r="S31" i="147"/>
  <c r="J17" i="147"/>
  <c r="D16" i="146"/>
  <c r="V36" i="146"/>
  <c r="V36" i="147" s="1"/>
  <c r="I30" i="146"/>
  <c r="I30" i="147" s="1"/>
  <c r="V16" i="146"/>
  <c r="K15" i="146"/>
  <c r="K16" i="147"/>
  <c r="R48" i="146"/>
  <c r="S44" i="146"/>
  <c r="E30" i="146"/>
  <c r="E30" i="147" s="1"/>
  <c r="R16" i="146"/>
  <c r="R16" i="147" s="1"/>
  <c r="U14" i="146"/>
  <c r="W8" i="146"/>
  <c r="W8" i="147" s="1"/>
  <c r="D44" i="146"/>
  <c r="N48" i="146"/>
  <c r="O44" i="146"/>
  <c r="N17" i="147"/>
  <c r="M17" i="147"/>
  <c r="L17" i="147"/>
  <c r="I16" i="147"/>
  <c r="O48" i="146"/>
  <c r="P44" i="146"/>
  <c r="Q16" i="146"/>
  <c r="P14" i="146"/>
  <c r="W7" i="146"/>
  <c r="H25" i="147"/>
  <c r="D49" i="146"/>
  <c r="M48" i="146"/>
  <c r="N44" i="146"/>
  <c r="V169" i="147"/>
  <c r="L18" i="147"/>
  <c r="G32" i="147"/>
  <c r="I15" i="146"/>
  <c r="P16" i="146"/>
  <c r="M14" i="146"/>
  <c r="V7" i="146"/>
  <c r="G25" i="147"/>
  <c r="D48" i="146"/>
  <c r="L48" i="146"/>
  <c r="I44" i="146"/>
  <c r="E170" i="147"/>
  <c r="H31" i="146"/>
  <c r="V25" i="146"/>
  <c r="V98" i="147" s="1"/>
  <c r="U24" i="146"/>
  <c r="T23" i="146"/>
  <c r="T169" i="147" s="1"/>
  <c r="S22" i="146"/>
  <c r="S168" i="147" s="1"/>
  <c r="V20" i="146"/>
  <c r="F16" i="146"/>
  <c r="G8" i="146"/>
  <c r="D38" i="147"/>
  <c r="E24" i="147"/>
  <c r="G49" i="146"/>
  <c r="P46" i="146"/>
  <c r="L2" i="147"/>
  <c r="Q40" i="147"/>
  <c r="D8" i="146"/>
  <c r="U36" i="146"/>
  <c r="M31" i="146"/>
  <c r="J14" i="146"/>
  <c r="V8" i="146"/>
  <c r="V8" i="147" s="1"/>
  <c r="M13" i="147"/>
  <c r="T36" i="146"/>
  <c r="T36" i="147" s="1"/>
  <c r="K31" i="146"/>
  <c r="N26" i="146"/>
  <c r="I14" i="146"/>
  <c r="U8" i="146"/>
  <c r="D39" i="147"/>
  <c r="D31" i="146"/>
  <c r="S36" i="146"/>
  <c r="J31" i="146"/>
  <c r="K26" i="146"/>
  <c r="I21" i="146"/>
  <c r="I21" i="147" s="1"/>
  <c r="H14" i="146"/>
  <c r="P8" i="146"/>
  <c r="P8" i="147" s="1"/>
  <c r="D30" i="146"/>
  <c r="D4" i="146"/>
  <c r="D4" i="147" s="1"/>
  <c r="R36" i="146"/>
  <c r="I31" i="146"/>
  <c r="W20" i="146"/>
  <c r="G14" i="146"/>
  <c r="P38" i="147"/>
  <c r="Q36" i="146"/>
  <c r="Q36" i="147" s="1"/>
  <c r="P36" i="146"/>
  <c r="P36" i="147" s="1"/>
  <c r="G31" i="146"/>
  <c r="T20" i="146"/>
  <c r="E16" i="146"/>
  <c r="F8" i="146"/>
  <c r="W48" i="146"/>
  <c r="O8" i="146"/>
  <c r="O8" i="147" s="1"/>
  <c r="O46" i="146"/>
  <c r="T41" i="146"/>
  <c r="S40" i="146"/>
  <c r="S40" i="147" s="1"/>
  <c r="R39" i="146"/>
  <c r="L36" i="146"/>
  <c r="L36" i="147" s="1"/>
  <c r="F31" i="146"/>
  <c r="T25" i="146"/>
  <c r="T98" i="147" s="1"/>
  <c r="S24" i="146"/>
  <c r="S170" i="147" s="1"/>
  <c r="R23" i="146"/>
  <c r="R169" i="147" s="1"/>
  <c r="Q22" i="146"/>
  <c r="Q168" i="147" s="1"/>
  <c r="S20" i="146"/>
  <c r="P15" i="146"/>
  <c r="E8" i="146"/>
  <c r="G35" i="147"/>
  <c r="R22" i="147"/>
  <c r="F44" i="146"/>
  <c r="V48" i="146"/>
  <c r="F27" i="147"/>
  <c r="J11" i="147"/>
  <c r="J15" i="147"/>
  <c r="F13" i="147"/>
  <c r="W10" i="147"/>
  <c r="P40" i="147"/>
  <c r="O40" i="147"/>
  <c r="D41" i="147"/>
  <c r="H34" i="147"/>
  <c r="H41" i="147"/>
  <c r="T2" i="147"/>
  <c r="W96" i="147"/>
  <c r="W169" i="147"/>
  <c r="F15" i="147"/>
  <c r="F11" i="147"/>
  <c r="N20" i="147"/>
  <c r="P41" i="147"/>
  <c r="W28" i="147"/>
  <c r="U43" i="147"/>
  <c r="U26" i="147"/>
  <c r="D9" i="147"/>
  <c r="Q41" i="147"/>
  <c r="F39" i="147"/>
  <c r="O32" i="147"/>
  <c r="W30" i="146"/>
  <c r="W30" i="147" s="1"/>
  <c r="F14" i="146"/>
  <c r="T8" i="146"/>
  <c r="T8" i="147" s="1"/>
  <c r="M44" i="146"/>
  <c r="O36" i="146"/>
  <c r="W31" i="146"/>
  <c r="V30" i="146"/>
  <c r="E14" i="146"/>
  <c r="S8" i="146"/>
  <c r="S8" i="147" s="1"/>
  <c r="O41" i="147"/>
  <c r="D11" i="147"/>
  <c r="M51" i="146"/>
  <c r="L44" i="146"/>
  <c r="D21" i="146"/>
  <c r="N36" i="146"/>
  <c r="F35" i="146"/>
  <c r="F35" i="147" s="1"/>
  <c r="V31" i="146"/>
  <c r="U30" i="146"/>
  <c r="Q26" i="146"/>
  <c r="Q26" i="147" s="1"/>
  <c r="W21" i="146"/>
  <c r="W21" i="147" s="1"/>
  <c r="E15" i="146"/>
  <c r="R8" i="146"/>
  <c r="R8" i="147" s="1"/>
  <c r="K7" i="146"/>
  <c r="N41" i="147"/>
  <c r="L51" i="146"/>
  <c r="K44" i="146"/>
  <c r="D20" i="146"/>
  <c r="M36" i="146"/>
  <c r="M36" i="147" s="1"/>
  <c r="E35" i="146"/>
  <c r="E35" i="147" s="1"/>
  <c r="U31" i="146"/>
  <c r="T30" i="146"/>
  <c r="T30" i="147" s="1"/>
  <c r="P26" i="146"/>
  <c r="P26" i="147" s="1"/>
  <c r="S21" i="146"/>
  <c r="S21" i="147" s="1"/>
  <c r="W14" i="146"/>
  <c r="W14" i="147" s="1"/>
  <c r="Q8" i="146"/>
  <c r="Q8" i="147" s="1"/>
  <c r="J7" i="146"/>
  <c r="S23" i="147"/>
  <c r="D17" i="147"/>
  <c r="K51" i="146"/>
  <c r="J44" i="146"/>
  <c r="R168" i="147"/>
  <c r="T14" i="146"/>
  <c r="G44" i="146"/>
  <c r="J36" i="146"/>
  <c r="R31" i="146"/>
  <c r="Q30" i="146"/>
  <c r="N8" i="146"/>
  <c r="I36" i="146"/>
  <c r="Q31" i="146"/>
  <c r="P30" i="146"/>
  <c r="H36" i="146"/>
  <c r="H36" i="147" s="1"/>
  <c r="O30" i="146"/>
  <c r="O30" i="147" s="1"/>
  <c r="F21" i="146"/>
  <c r="R14" i="146"/>
  <c r="E7" i="146"/>
  <c r="S14" i="146"/>
  <c r="M8" i="146"/>
  <c r="D15" i="146"/>
  <c r="P31" i="146"/>
  <c r="L8" i="146"/>
  <c r="L8" i="147" s="1"/>
  <c r="V4" i="146"/>
  <c r="J28" i="147"/>
  <c r="P19" i="147"/>
  <c r="W50" i="146"/>
  <c r="D36" i="146"/>
  <c r="D14" i="146"/>
  <c r="G36" i="146"/>
  <c r="G36" i="147" s="1"/>
  <c r="O31" i="146"/>
  <c r="N30" i="146"/>
  <c r="E21" i="146"/>
  <c r="Q14" i="146"/>
  <c r="K8" i="146"/>
  <c r="K8" i="147" s="1"/>
  <c r="P4" i="146"/>
  <c r="O19" i="147"/>
  <c r="V50" i="146"/>
  <c r="W171" i="147"/>
  <c r="J8" i="146"/>
  <c r="O4" i="146"/>
  <c r="K2" i="147"/>
  <c r="N19" i="147"/>
  <c r="Q50" i="146"/>
  <c r="W44" i="146"/>
  <c r="O14" i="146"/>
  <c r="I8" i="146"/>
  <c r="I8" i="147" s="1"/>
  <c r="H4" i="146"/>
  <c r="N50" i="146"/>
  <c r="V44" i="146"/>
  <c r="W98" i="147"/>
  <c r="L31" i="146"/>
  <c r="K30" i="146"/>
  <c r="U20" i="146"/>
  <c r="N14" i="146"/>
  <c r="N14" i="147" s="1"/>
  <c r="H8" i="146"/>
  <c r="G4" i="146"/>
  <c r="U25" i="147"/>
  <c r="I19" i="147"/>
  <c r="M50" i="146"/>
  <c r="R37" i="147"/>
  <c r="T17" i="147"/>
  <c r="S17" i="147"/>
  <c r="Q18" i="147"/>
  <c r="O16" i="147"/>
  <c r="P18" i="147"/>
  <c r="S171" i="147"/>
  <c r="S98" i="147"/>
  <c r="P168" i="147"/>
  <c r="P22" i="147"/>
  <c r="Q97" i="147"/>
  <c r="Q24" i="147"/>
  <c r="K13" i="147"/>
  <c r="H10" i="147"/>
  <c r="Q5" i="147"/>
  <c r="M35" i="147"/>
  <c r="L34" i="147"/>
  <c r="G29" i="147"/>
  <c r="E27" i="147"/>
  <c r="J13" i="147"/>
  <c r="I12" i="147"/>
  <c r="H15" i="147"/>
  <c r="H11" i="147"/>
  <c r="G10" i="147"/>
  <c r="F9" i="147"/>
  <c r="J32" i="147"/>
  <c r="T39" i="147"/>
  <c r="S16" i="147"/>
  <c r="R170" i="147"/>
  <c r="R97" i="147"/>
  <c r="R24" i="147"/>
  <c r="N35" i="147"/>
  <c r="H29" i="147"/>
  <c r="I15" i="147"/>
  <c r="I11" i="147"/>
  <c r="K34" i="147"/>
  <c r="H12" i="147"/>
  <c r="D97" i="147"/>
  <c r="D24" i="147"/>
  <c r="W42" i="147"/>
  <c r="U40" i="147"/>
  <c r="S38" i="147"/>
  <c r="U18" i="147"/>
  <c r="T18" i="147"/>
  <c r="N16" i="147"/>
  <c r="Q96" i="147"/>
  <c r="Q169" i="147"/>
  <c r="R171" i="147"/>
  <c r="R98" i="147"/>
  <c r="R25" i="147"/>
  <c r="O168" i="147"/>
  <c r="O22" i="147"/>
  <c r="I28" i="147"/>
  <c r="Q171" i="147"/>
  <c r="Q25" i="147"/>
  <c r="F3" i="147"/>
  <c r="P17" i="147"/>
  <c r="I29" i="147"/>
  <c r="E3" i="147"/>
  <c r="J12" i="147"/>
  <c r="G9" i="147"/>
  <c r="E4" i="147"/>
  <c r="L35" i="147"/>
  <c r="F29" i="147"/>
  <c r="E28" i="147"/>
  <c r="I13" i="147"/>
  <c r="G11" i="147"/>
  <c r="E9" i="147"/>
  <c r="V39" i="147"/>
  <c r="T37" i="147"/>
  <c r="K35" i="147"/>
  <c r="J34" i="147"/>
  <c r="I33" i="147"/>
  <c r="F30" i="147"/>
  <c r="E29" i="147"/>
  <c r="W27" i="147"/>
  <c r="H13" i="147"/>
  <c r="G12" i="147"/>
  <c r="E10" i="147"/>
  <c r="H32" i="147"/>
  <c r="P95" i="147"/>
  <c r="P169" i="147"/>
  <c r="P96" i="147"/>
  <c r="J29" i="147"/>
  <c r="J33" i="147"/>
  <c r="I32" i="147"/>
  <c r="D98" i="147"/>
  <c r="U39" i="147"/>
  <c r="S37" i="147"/>
  <c r="G13" i="147"/>
  <c r="F12" i="147"/>
  <c r="E15" i="147"/>
  <c r="W9" i="147"/>
  <c r="S25" i="147"/>
  <c r="O95" i="147"/>
  <c r="D2" i="147"/>
  <c r="T26" i="147"/>
  <c r="L16" i="147"/>
  <c r="I6" i="147"/>
  <c r="I31" i="147"/>
  <c r="R42" i="147"/>
  <c r="E34" i="147"/>
  <c r="M16" i="147"/>
  <c r="Q42" i="147"/>
  <c r="I34" i="147"/>
  <c r="Q37" i="147"/>
  <c r="D19" i="147"/>
  <c r="D40" i="147"/>
  <c r="G34" i="147"/>
  <c r="O3" i="147"/>
  <c r="D35" i="146"/>
  <c r="K20" i="146"/>
  <c r="L9" i="147"/>
  <c r="U4" i="146"/>
  <c r="R33" i="147"/>
  <c r="H26" i="146"/>
  <c r="Q21" i="146"/>
  <c r="J20" i="146"/>
  <c r="J20" i="147" s="1"/>
  <c r="T15" i="146"/>
  <c r="O13" i="147"/>
  <c r="M11" i="147"/>
  <c r="L10" i="147"/>
  <c r="T4" i="146"/>
  <c r="Q39" i="147"/>
  <c r="N11" i="147"/>
  <c r="R3" i="147"/>
  <c r="O42" i="147"/>
  <c r="J26" i="146"/>
  <c r="J26" i="147" s="1"/>
  <c r="L20" i="146"/>
  <c r="L20" i="147" s="1"/>
  <c r="O50" i="146"/>
  <c r="P50" i="146"/>
  <c r="R50" i="146"/>
  <c r="D50" i="146"/>
  <c r="J4" i="146"/>
  <c r="M7" i="146"/>
  <c r="M7" i="147" s="1"/>
  <c r="U15" i="146"/>
  <c r="G21" i="146"/>
  <c r="G21" i="147" s="1"/>
  <c r="S50" i="146"/>
  <c r="K4" i="146"/>
  <c r="K4" i="147" s="1"/>
  <c r="N7" i="146"/>
  <c r="N7" i="147" s="1"/>
  <c r="V15" i="146"/>
  <c r="H21" i="146"/>
  <c r="H21" i="147" s="1"/>
  <c r="T50" i="146"/>
  <c r="U50" i="146"/>
  <c r="M4" i="146"/>
  <c r="P7" i="146"/>
  <c r="J21" i="146"/>
  <c r="J21" i="147" s="1"/>
  <c r="H50" i="146"/>
  <c r="I4" i="146"/>
  <c r="R7" i="146"/>
  <c r="F15" i="146"/>
  <c r="T21" i="146"/>
  <c r="I50" i="146"/>
  <c r="L4" i="146"/>
  <c r="S7" i="146"/>
  <c r="G15" i="146"/>
  <c r="U21" i="146"/>
  <c r="U21" i="147" s="1"/>
  <c r="D7" i="146"/>
  <c r="J50" i="146"/>
  <c r="N4" i="146"/>
  <c r="T7" i="146"/>
  <c r="T7" i="147" s="1"/>
  <c r="H15" i="146"/>
  <c r="V21" i="146"/>
  <c r="V21" i="147" s="1"/>
  <c r="W15" i="146"/>
  <c r="M10" i="147"/>
  <c r="N3" i="147"/>
  <c r="F36" i="147"/>
  <c r="T168" i="147"/>
  <c r="T22" i="147"/>
  <c r="T95" i="147"/>
  <c r="P21" i="146"/>
  <c r="N13" i="147"/>
  <c r="L11" i="147"/>
  <c r="K10" i="147"/>
  <c r="U31" i="147"/>
  <c r="S4" i="146"/>
  <c r="P42" i="147"/>
  <c r="P39" i="147"/>
  <c r="G24" i="147"/>
  <c r="D18" i="147"/>
  <c r="Q3" i="147"/>
  <c r="G50" i="146"/>
  <c r="S39" i="147"/>
  <c r="R38" i="147"/>
  <c r="O18" i="147"/>
  <c r="T42" i="147"/>
  <c r="S26" i="147"/>
  <c r="N38" i="147"/>
  <c r="H97" i="147"/>
  <c r="H24" i="147"/>
  <c r="O20" i="147"/>
  <c r="N40" i="147"/>
  <c r="M39" i="147"/>
  <c r="E95" i="147"/>
  <c r="E168" i="147"/>
  <c r="E5" i="147"/>
  <c r="L39" i="147"/>
  <c r="J37" i="147"/>
  <c r="E6" i="147"/>
  <c r="S43" i="147"/>
  <c r="D16" i="147"/>
  <c r="R51" i="146"/>
  <c r="E51" i="146"/>
  <c r="S51" i="146"/>
  <c r="F51" i="146"/>
  <c r="W51" i="146"/>
  <c r="F20" i="146"/>
  <c r="L26" i="146"/>
  <c r="U35" i="146"/>
  <c r="D51" i="146"/>
  <c r="G20" i="146"/>
  <c r="M26" i="146"/>
  <c r="V35" i="146"/>
  <c r="I20" i="146"/>
  <c r="I20" i="147" s="1"/>
  <c r="O26" i="146"/>
  <c r="Q51" i="146"/>
  <c r="P20" i="146"/>
  <c r="E26" i="146"/>
  <c r="E26" i="147" s="1"/>
  <c r="Q35" i="146"/>
  <c r="D26" i="146"/>
  <c r="R35" i="146"/>
  <c r="T51" i="146"/>
  <c r="Q20" i="146"/>
  <c r="F26" i="146"/>
  <c r="F26" i="147" s="1"/>
  <c r="U51" i="146"/>
  <c r="R20" i="146"/>
  <c r="G26" i="146"/>
  <c r="S35" i="146"/>
  <c r="S35" i="147" s="1"/>
  <c r="R21" i="146"/>
  <c r="V5" i="147"/>
  <c r="L50" i="146"/>
  <c r="O21" i="146"/>
  <c r="E20" i="146"/>
  <c r="R15" i="146"/>
  <c r="K11" i="147"/>
  <c r="J10" i="147"/>
  <c r="T31" i="147"/>
  <c r="R4" i="146"/>
  <c r="O39" i="147"/>
  <c r="H33" i="147"/>
  <c r="U27" i="147"/>
  <c r="F24" i="147"/>
  <c r="F170" i="147"/>
  <c r="N18" i="147"/>
  <c r="F34" i="147"/>
  <c r="H31" i="147"/>
  <c r="T43" i="147"/>
  <c r="D37" i="147"/>
  <c r="V42" i="147"/>
  <c r="W3" i="147"/>
  <c r="P13" i="147"/>
  <c r="W6" i="147"/>
  <c r="W31" i="147"/>
  <c r="U42" i="147"/>
  <c r="S3" i="147"/>
  <c r="U96" i="147"/>
  <c r="U169" i="147"/>
  <c r="H20" i="146"/>
  <c r="H20" i="147" s="1"/>
  <c r="S15" i="146"/>
  <c r="W35" i="146"/>
  <c r="T35" i="146"/>
  <c r="T170" i="147"/>
  <c r="T97" i="147"/>
  <c r="N21" i="146"/>
  <c r="Q15" i="146"/>
  <c r="I10" i="147"/>
  <c r="H9" i="147"/>
  <c r="S6" i="147"/>
  <c r="R5" i="147"/>
  <c r="Q4" i="146"/>
  <c r="R41" i="147"/>
  <c r="N39" i="147"/>
  <c r="G33" i="147"/>
  <c r="T27" i="147"/>
  <c r="V51" i="146"/>
  <c r="G170" i="147"/>
  <c r="M18" i="147"/>
  <c r="F171" i="147"/>
  <c r="W23" i="147"/>
  <c r="V23" i="147"/>
  <c r="J16" i="147"/>
  <c r="W49" i="146"/>
  <c r="K49" i="146"/>
  <c r="L49" i="146"/>
  <c r="O49" i="146"/>
  <c r="N49" i="146"/>
  <c r="M49" i="146"/>
  <c r="J49" i="146"/>
  <c r="R12" i="147"/>
  <c r="O9" i="147"/>
  <c r="I3" i="147"/>
  <c r="H2" i="147"/>
  <c r="G42" i="147"/>
  <c r="L27" i="147"/>
  <c r="J98" i="147"/>
  <c r="J171" i="147"/>
  <c r="G22" i="147"/>
  <c r="G95" i="147"/>
  <c r="Q12" i="147"/>
  <c r="H3" i="147"/>
  <c r="D6" i="147"/>
  <c r="F42" i="147"/>
  <c r="R34" i="147"/>
  <c r="V18" i="147"/>
  <c r="P12" i="147"/>
  <c r="F2" i="147"/>
  <c r="E39" i="147"/>
  <c r="D28" i="147"/>
  <c r="H42" i="147"/>
  <c r="F40" i="147"/>
  <c r="V38" i="147"/>
  <c r="R32" i="147"/>
  <c r="H170" i="147"/>
  <c r="L40" i="147"/>
  <c r="E33" i="147"/>
  <c r="T28" i="147"/>
  <c r="O23" i="147"/>
  <c r="O169" i="147"/>
  <c r="O96" i="147"/>
  <c r="D34" i="147"/>
  <c r="L41" i="147"/>
  <c r="I38" i="147"/>
  <c r="P25" i="147"/>
  <c r="P171" i="147"/>
  <c r="N23" i="147"/>
  <c r="N169" i="147"/>
  <c r="I18" i="147"/>
  <c r="U10" i="147"/>
  <c r="R43" i="147"/>
  <c r="H38" i="147"/>
  <c r="O171" i="147"/>
  <c r="O25" i="147"/>
  <c r="M169" i="147"/>
  <c r="M23" i="147"/>
  <c r="H18" i="147"/>
  <c r="U11" i="147"/>
  <c r="U15" i="147"/>
  <c r="S9" i="147"/>
  <c r="P31" i="147"/>
  <c r="P6" i="147"/>
  <c r="M3" i="147"/>
  <c r="W37" i="147"/>
  <c r="G38" i="147"/>
  <c r="F37" i="147"/>
  <c r="U32" i="147"/>
  <c r="P27" i="147"/>
  <c r="N171" i="147"/>
  <c r="N98" i="147"/>
  <c r="N25" i="147"/>
  <c r="M170" i="147"/>
  <c r="M24" i="147"/>
  <c r="M97" i="147"/>
  <c r="L169" i="147"/>
  <c r="L23" i="147"/>
  <c r="K168" i="147"/>
  <c r="K95" i="147"/>
  <c r="K22" i="147"/>
  <c r="G18" i="147"/>
  <c r="F17" i="147"/>
  <c r="V13" i="147"/>
  <c r="U12" i="147"/>
  <c r="T11" i="147"/>
  <c r="T15" i="147"/>
  <c r="R9" i="147"/>
  <c r="O31" i="147"/>
  <c r="O6" i="147"/>
  <c r="L3" i="147"/>
  <c r="F41" i="147"/>
  <c r="V37" i="147"/>
  <c r="R28" i="147"/>
  <c r="Q98" i="147"/>
  <c r="N28" i="147"/>
  <c r="J170" i="147"/>
  <c r="J24" i="147"/>
  <c r="J97" i="147"/>
  <c r="I169" i="147"/>
  <c r="I23" i="147"/>
  <c r="Q11" i="147"/>
  <c r="Q15" i="147"/>
  <c r="L31" i="147"/>
  <c r="L6" i="147"/>
  <c r="N29" i="147"/>
  <c r="H23" i="147"/>
  <c r="H169" i="147"/>
  <c r="P11" i="147"/>
  <c r="P15" i="147"/>
  <c r="M29" i="147"/>
  <c r="J43" i="147"/>
  <c r="G169" i="147"/>
  <c r="G23" i="147"/>
  <c r="O11" i="147"/>
  <c r="O15" i="147"/>
  <c r="M9" i="147"/>
  <c r="J31" i="147"/>
  <c r="J6" i="147"/>
  <c r="G3" i="147"/>
  <c r="W38" i="147"/>
  <c r="J25" i="147"/>
  <c r="D31" i="147"/>
  <c r="W39" i="147"/>
  <c r="P32" i="147"/>
  <c r="W17" i="147"/>
  <c r="K5" i="147"/>
  <c r="M41" i="147"/>
  <c r="S27" i="147"/>
  <c r="P24" i="147"/>
  <c r="P170" i="147"/>
  <c r="M21" i="147"/>
  <c r="J18" i="147"/>
  <c r="I5" i="147"/>
  <c r="H96" i="147"/>
  <c r="D13" i="147"/>
  <c r="M42" i="147"/>
  <c r="J39" i="147"/>
  <c r="H37" i="147"/>
  <c r="W32" i="147"/>
  <c r="O170" i="147"/>
  <c r="O24" i="147"/>
  <c r="O97" i="147"/>
  <c r="M95" i="147"/>
  <c r="M22" i="147"/>
  <c r="M168" i="147"/>
  <c r="H17" i="147"/>
  <c r="V11" i="147"/>
  <c r="V15" i="147"/>
  <c r="T9" i="147"/>
  <c r="Q31" i="147"/>
  <c r="L42" i="147"/>
  <c r="V32" i="147"/>
  <c r="V12" i="147"/>
  <c r="D15" i="147"/>
  <c r="K42" i="147"/>
  <c r="D10" i="147"/>
  <c r="F38" i="147"/>
  <c r="E37" i="147"/>
  <c r="T32" i="147"/>
  <c r="R30" i="147"/>
  <c r="P28" i="147"/>
  <c r="O27" i="147"/>
  <c r="M171" i="147"/>
  <c r="M98" i="147"/>
  <c r="M25" i="147"/>
  <c r="L170" i="147"/>
  <c r="L24" i="147"/>
  <c r="L97" i="147"/>
  <c r="K169" i="147"/>
  <c r="K23" i="147"/>
  <c r="J95" i="147"/>
  <c r="E17" i="147"/>
  <c r="U13" i="147"/>
  <c r="T12" i="147"/>
  <c r="S11" i="147"/>
  <c r="S15" i="147"/>
  <c r="R10" i="147"/>
  <c r="Q9" i="147"/>
  <c r="N31" i="147"/>
  <c r="N6" i="147"/>
  <c r="J2" i="147"/>
  <c r="E41" i="147"/>
  <c r="T33" i="147"/>
  <c r="D32" i="147"/>
  <c r="Q28" i="147"/>
  <c r="W18" i="147"/>
  <c r="P98" i="147"/>
  <c r="G168" i="147"/>
  <c r="O29" i="147"/>
  <c r="M27" i="147"/>
  <c r="K98" i="147"/>
  <c r="K25" i="147"/>
  <c r="K171" i="147"/>
  <c r="H95" i="147"/>
  <c r="H22" i="147"/>
  <c r="H168" i="147"/>
  <c r="S13" i="147"/>
  <c r="P10" i="147"/>
  <c r="J4" i="147"/>
  <c r="I170" i="147"/>
  <c r="I97" i="147"/>
  <c r="V17" i="147"/>
  <c r="O10" i="147"/>
  <c r="N9" i="147"/>
  <c r="K31" i="147"/>
  <c r="K6" i="147"/>
  <c r="G2" i="147"/>
  <c r="L28" i="147"/>
  <c r="K27" i="147"/>
  <c r="I98" i="147"/>
  <c r="I171" i="147"/>
  <c r="F22" i="147"/>
  <c r="F95" i="147"/>
  <c r="W19" i="147"/>
  <c r="U17" i="147"/>
  <c r="N10" i="147"/>
  <c r="E40" i="147"/>
  <c r="S34" i="147"/>
  <c r="Q32" i="147"/>
  <c r="D27" i="147"/>
  <c r="N42" i="147"/>
  <c r="K39" i="147"/>
  <c r="J38" i="147"/>
  <c r="N168" i="147"/>
  <c r="N95" i="147"/>
  <c r="N22" i="147"/>
  <c r="K19" i="147"/>
  <c r="I17" i="147"/>
  <c r="R31" i="147"/>
  <c r="D33" i="147"/>
  <c r="K40" i="147"/>
  <c r="R27" i="147"/>
  <c r="W12" i="147"/>
  <c r="G96" i="147"/>
  <c r="K41" i="147"/>
  <c r="G37" i="147"/>
  <c r="Q27" i="147"/>
  <c r="N170" i="147"/>
  <c r="N24" i="147"/>
  <c r="N97" i="147"/>
  <c r="L168" i="147"/>
  <c r="L95" i="147"/>
  <c r="L22" i="147"/>
  <c r="G17" i="147"/>
  <c r="W13" i="147"/>
  <c r="S28" i="147"/>
  <c r="D29" i="147"/>
  <c r="E38" i="147"/>
  <c r="O28" i="147"/>
  <c r="N27" i="147"/>
  <c r="L98" i="147"/>
  <c r="L25" i="147"/>
  <c r="L171" i="147"/>
  <c r="K170" i="147"/>
  <c r="K24" i="147"/>
  <c r="K97" i="147"/>
  <c r="J169" i="147"/>
  <c r="J23" i="147"/>
  <c r="I95" i="147"/>
  <c r="I168" i="147"/>
  <c r="I22" i="147"/>
  <c r="T13" i="147"/>
  <c r="S12" i="147"/>
  <c r="R11" i="147"/>
  <c r="R15" i="147"/>
  <c r="Q10" i="147"/>
  <c r="P9" i="147"/>
  <c r="M31" i="147"/>
  <c r="M6" i="147"/>
  <c r="J3" i="147"/>
  <c r="I2" i="147"/>
  <c r="S33" i="147"/>
  <c r="R26" i="147"/>
  <c r="O98" i="147"/>
  <c r="D25" i="147"/>
  <c r="K29" i="147"/>
  <c r="K9" i="147"/>
  <c r="I26" i="147"/>
  <c r="G171" i="147"/>
  <c r="N33" i="147"/>
  <c r="W95" i="147"/>
  <c r="W168" i="147"/>
  <c r="E42" i="147"/>
  <c r="M33" i="147"/>
  <c r="V2" i="147"/>
  <c r="D42" i="147"/>
  <c r="S19" i="147"/>
  <c r="L33" i="147"/>
  <c r="V3" i="147"/>
  <c r="W41" i="147"/>
  <c r="E22" i="147"/>
  <c r="Q19" i="147"/>
  <c r="L14" i="147"/>
  <c r="R40" i="147"/>
  <c r="J27" i="147"/>
  <c r="D5" i="147"/>
  <c r="V19" i="147"/>
  <c r="U19" i="147"/>
  <c r="D96" i="147"/>
  <c r="O34" i="147"/>
  <c r="M32" i="147"/>
  <c r="I43" i="147"/>
  <c r="V40" i="147"/>
  <c r="P34" i="147"/>
  <c r="N34" i="147"/>
  <c r="E171" i="147"/>
  <c r="E98" i="147"/>
  <c r="F6" i="147"/>
  <c r="M34" i="147"/>
  <c r="W170" i="147"/>
  <c r="W97" i="147"/>
  <c r="U2" i="147"/>
  <c r="T40" i="147"/>
  <c r="R19" i="147"/>
  <c r="E2" i="147"/>
  <c r="U41" i="147"/>
  <c r="P35" i="147"/>
  <c r="I27" i="147"/>
  <c r="N12" i="147"/>
  <c r="J9" i="147"/>
  <c r="L29" i="147"/>
  <c r="F96" i="147"/>
  <c r="F169" i="147"/>
  <c r="O33" i="147"/>
  <c r="E96" i="147"/>
  <c r="E169" i="147"/>
  <c r="W40" i="147"/>
  <c r="Q34" i="147"/>
  <c r="G6" i="147"/>
  <c r="W2" i="147"/>
  <c r="T19" i="147"/>
  <c r="H171" i="147"/>
  <c r="D95" i="147"/>
  <c r="O35" i="147"/>
  <c r="L32" i="147"/>
  <c r="V95" i="147"/>
  <c r="V168" i="147"/>
  <c r="K32" i="147"/>
  <c r="U95" i="147"/>
  <c r="U168" i="147"/>
  <c r="O37" i="147"/>
  <c r="K33" i="147"/>
  <c r="V41" i="147"/>
  <c r="S41" i="147"/>
  <c r="H27" i="147"/>
  <c r="E23" i="147"/>
  <c r="N15" i="147"/>
  <c r="M12" i="147"/>
  <c r="I9" i="147"/>
  <c r="H6" i="147"/>
  <c r="N37" i="147"/>
  <c r="V7" i="147"/>
  <c r="U6" i="147"/>
  <c r="T5" i="147"/>
  <c r="M40" i="147"/>
  <c r="M38" i="147"/>
  <c r="M37" i="147"/>
  <c r="L19" i="147"/>
  <c r="K18" i="147"/>
  <c r="S96" i="147"/>
  <c r="T3" i="147"/>
  <c r="O38" i="147"/>
  <c r="V6" i="147"/>
  <c r="T6" i="147"/>
  <c r="L38" i="147"/>
  <c r="L37" i="147"/>
  <c r="U5" i="147"/>
  <c r="V9" i="147"/>
  <c r="K37" i="147"/>
  <c r="S5" i="147"/>
  <c r="B11" i="141"/>
  <c r="C11" i="141"/>
  <c r="P45" i="123"/>
  <c r="Q43" i="147" l="1"/>
  <c r="F10" i="129"/>
  <c r="O10" i="129"/>
  <c r="Q10" i="129"/>
  <c r="G10" i="129"/>
  <c r="N10" i="129"/>
  <c r="S10" i="129"/>
  <c r="D10" i="129"/>
  <c r="U10" i="129"/>
  <c r="H10" i="129"/>
  <c r="I10" i="129"/>
  <c r="J10" i="129"/>
  <c r="K10" i="129"/>
  <c r="L10" i="129"/>
  <c r="M10" i="129"/>
  <c r="P10" i="129"/>
  <c r="R10" i="129"/>
  <c r="T10" i="129"/>
  <c r="V10" i="129"/>
  <c r="X9" i="129"/>
  <c r="X27" i="129"/>
  <c r="X13" i="129"/>
  <c r="X26" i="129"/>
  <c r="X29" i="129"/>
  <c r="X28" i="129"/>
  <c r="X25" i="129"/>
  <c r="X12" i="129"/>
  <c r="X11" i="129"/>
  <c r="X8" i="129"/>
  <c r="T96" i="147"/>
  <c r="N4" i="147"/>
  <c r="Q7" i="147"/>
  <c r="W15" i="147"/>
  <c r="D21" i="147"/>
  <c r="T23" i="147"/>
  <c r="T16" i="147"/>
  <c r="U14" i="147"/>
  <c r="W11" i="147"/>
  <c r="W16" i="147"/>
  <c r="J168" i="147"/>
  <c r="E36" i="147"/>
  <c r="V4" i="147"/>
  <c r="V10" i="147"/>
  <c r="E7" i="147"/>
  <c r="K21" i="147"/>
  <c r="E13" i="147"/>
  <c r="M14" i="147"/>
  <c r="F7" i="147"/>
  <c r="F4" i="147"/>
  <c r="P16" i="147"/>
  <c r="W4" i="147"/>
  <c r="M20" i="147"/>
  <c r="R39" i="147"/>
  <c r="F14" i="147"/>
  <c r="V20" i="147"/>
  <c r="V26" i="147"/>
  <c r="V43" i="147"/>
  <c r="W43" i="147"/>
  <c r="K3" i="147"/>
  <c r="R23" i="147"/>
  <c r="R36" i="147"/>
  <c r="S20" i="147"/>
  <c r="W20" i="147"/>
  <c r="E14" i="147"/>
  <c r="W26" i="147"/>
  <c r="T171" i="147"/>
  <c r="V171" i="147"/>
  <c r="S22" i="147"/>
  <c r="H4" i="147"/>
  <c r="N30" i="147"/>
  <c r="P14" i="147"/>
  <c r="D14" i="147"/>
  <c r="O14" i="147"/>
  <c r="J14" i="147"/>
  <c r="G8" i="147"/>
  <c r="N36" i="147"/>
  <c r="D8" i="147"/>
  <c r="G14" i="147"/>
  <c r="V25" i="147"/>
  <c r="D30" i="147"/>
  <c r="T41" i="147"/>
  <c r="V16" i="147"/>
  <c r="S95" i="147"/>
  <c r="W7" i="147"/>
  <c r="U36" i="147"/>
  <c r="U30" i="147"/>
  <c r="Q16" i="147"/>
  <c r="P30" i="147"/>
  <c r="E8" i="147"/>
  <c r="K43" i="147"/>
  <c r="K26" i="147"/>
  <c r="G4" i="147"/>
  <c r="J8" i="147"/>
  <c r="L4" i="147"/>
  <c r="I14" i="147"/>
  <c r="F8" i="147"/>
  <c r="S24" i="147"/>
  <c r="Q95" i="147"/>
  <c r="S97" i="147"/>
  <c r="Q14" i="147"/>
  <c r="S36" i="147"/>
  <c r="Q22" i="147"/>
  <c r="U35" i="147"/>
  <c r="M8" i="147"/>
  <c r="R14" i="147"/>
  <c r="R7" i="147"/>
  <c r="U24" i="147"/>
  <c r="U97" i="147"/>
  <c r="J7" i="147"/>
  <c r="E16" i="147"/>
  <c r="T25" i="147"/>
  <c r="T20" i="147"/>
  <c r="K7" i="147"/>
  <c r="S14" i="147"/>
  <c r="N43" i="147"/>
  <c r="U8" i="147"/>
  <c r="U20" i="147"/>
  <c r="G26" i="147"/>
  <c r="P4" i="147"/>
  <c r="N26" i="147"/>
  <c r="F16" i="147"/>
  <c r="E21" i="147"/>
  <c r="D43" i="147"/>
  <c r="U170" i="147"/>
  <c r="H8" i="147"/>
  <c r="R96" i="147"/>
  <c r="D26" i="147"/>
  <c r="H14" i="147"/>
  <c r="D20" i="147"/>
  <c r="I36" i="147"/>
  <c r="E20" i="147"/>
  <c r="T14" i="147"/>
  <c r="F21" i="147"/>
  <c r="O43" i="147"/>
  <c r="O4" i="147"/>
  <c r="N8" i="147"/>
  <c r="O26" i="147"/>
  <c r="K30" i="147"/>
  <c r="J36" i="147"/>
  <c r="P43" i="147"/>
  <c r="Q30" i="147"/>
  <c r="V30" i="147"/>
  <c r="O36" i="147"/>
  <c r="D36" i="147"/>
  <c r="N21" i="147"/>
  <c r="G20" i="147"/>
  <c r="M4" i="147"/>
  <c r="O21" i="147"/>
  <c r="T4" i="147"/>
  <c r="V35" i="147"/>
  <c r="W35" i="147"/>
  <c r="T35" i="147"/>
  <c r="U4" i="147"/>
  <c r="R20" i="147"/>
  <c r="P21" i="147"/>
  <c r="I4" i="147"/>
  <c r="G43" i="147"/>
  <c r="Q4" i="147"/>
  <c r="Q20" i="147"/>
  <c r="D7" i="147"/>
  <c r="S7" i="147"/>
  <c r="L43" i="147"/>
  <c r="R21" i="147"/>
  <c r="E43" i="147"/>
  <c r="M43" i="147"/>
  <c r="R4" i="147"/>
  <c r="Q35" i="147"/>
  <c r="M26" i="147"/>
  <c r="K20" i="147"/>
  <c r="S4" i="147"/>
  <c r="Q21" i="147"/>
  <c r="P7" i="147"/>
  <c r="H43" i="147"/>
  <c r="D35" i="147"/>
  <c r="F43" i="147"/>
  <c r="F20" i="147"/>
  <c r="R35" i="147"/>
  <c r="L26" i="147"/>
  <c r="P20" i="147"/>
  <c r="T21" i="147"/>
  <c r="H26" i="147"/>
  <c r="X10" i="129" l="1"/>
  <c r="X15" i="129" s="1"/>
  <c r="K40" i="51" s="1"/>
  <c r="K41" i="51" s="1"/>
  <c r="X31" i="129"/>
  <c r="J69" i="147"/>
  <c r="U69" i="147"/>
  <c r="D69" i="147"/>
  <c r="K69" i="147"/>
  <c r="I69" i="147"/>
  <c r="H69" i="147"/>
  <c r="O69" i="147"/>
  <c r="W69" i="147"/>
  <c r="P69" i="147"/>
  <c r="V69" i="147"/>
  <c r="T69" i="147"/>
  <c r="L69" i="147"/>
  <c r="Q69" i="147"/>
  <c r="F69" i="147"/>
  <c r="E69" i="147"/>
  <c r="S69" i="147"/>
  <c r="N69" i="147"/>
  <c r="R69" i="147"/>
  <c r="M69" i="147"/>
  <c r="G69" i="147"/>
  <c r="V219" i="134"/>
  <c r="U219" i="134"/>
  <c r="T219" i="134"/>
  <c r="S219" i="134"/>
  <c r="R219" i="134"/>
  <c r="Q219" i="134"/>
  <c r="P219" i="134"/>
  <c r="O219" i="134"/>
  <c r="N219" i="134"/>
  <c r="M219" i="134"/>
  <c r="L219" i="134"/>
  <c r="K219" i="134"/>
  <c r="J219" i="134"/>
  <c r="I219" i="134"/>
  <c r="H219" i="134"/>
  <c r="G219" i="134"/>
  <c r="F219" i="134"/>
  <c r="E219" i="134"/>
  <c r="D219" i="134"/>
  <c r="C219" i="134"/>
  <c r="V140" i="134"/>
  <c r="U140" i="134"/>
  <c r="T140" i="134"/>
  <c r="S140" i="134"/>
  <c r="R140" i="134"/>
  <c r="Q140" i="134"/>
  <c r="P140" i="134"/>
  <c r="O140" i="134"/>
  <c r="N140" i="134"/>
  <c r="M140" i="134"/>
  <c r="L140" i="134"/>
  <c r="K140" i="134"/>
  <c r="J140" i="134"/>
  <c r="I140" i="134"/>
  <c r="H140" i="134"/>
  <c r="G140" i="134"/>
  <c r="F140" i="134"/>
  <c r="E140" i="134"/>
  <c r="D140" i="134"/>
  <c r="C140" i="134"/>
  <c r="D61" i="134"/>
  <c r="E61" i="134"/>
  <c r="F61" i="134"/>
  <c r="G61" i="134"/>
  <c r="H61" i="134"/>
  <c r="I61" i="134"/>
  <c r="J61" i="134"/>
  <c r="K61" i="134"/>
  <c r="L61" i="134"/>
  <c r="M61" i="134"/>
  <c r="N61" i="134"/>
  <c r="O61" i="134"/>
  <c r="P61" i="134"/>
  <c r="Q61" i="134"/>
  <c r="R61" i="134"/>
  <c r="S61" i="134"/>
  <c r="T61" i="134"/>
  <c r="U61" i="134"/>
  <c r="V61" i="134"/>
  <c r="C61" i="134"/>
  <c r="Q230" i="138"/>
  <c r="P230" i="138"/>
  <c r="O230" i="138"/>
  <c r="N230" i="138"/>
  <c r="M230" i="138"/>
  <c r="K230" i="138"/>
  <c r="J230" i="138"/>
  <c r="G230" i="138"/>
  <c r="Q152" i="138"/>
  <c r="P152" i="138"/>
  <c r="O152" i="138"/>
  <c r="N152" i="138"/>
  <c r="L152" i="138"/>
  <c r="K152" i="138"/>
  <c r="J152" i="138"/>
  <c r="E74" i="138"/>
  <c r="F74" i="138"/>
  <c r="G74" i="138"/>
  <c r="H74" i="138"/>
  <c r="I74" i="138"/>
  <c r="J74" i="138"/>
  <c r="K74" i="138"/>
  <c r="L74" i="138"/>
  <c r="M74" i="138"/>
  <c r="N74" i="138"/>
  <c r="O74" i="138"/>
  <c r="P74" i="138"/>
  <c r="Q74" i="138"/>
  <c r="R74" i="138"/>
  <c r="S74" i="138"/>
  <c r="T74" i="138"/>
  <c r="U74" i="138"/>
  <c r="V74" i="138"/>
  <c r="W74" i="138"/>
  <c r="D74" i="138"/>
  <c r="D2" i="137"/>
  <c r="AB20" i="132"/>
  <c r="A206" i="138"/>
  <c r="A207" i="138"/>
  <c r="A208" i="138"/>
  <c r="A209" i="138"/>
  <c r="A210" i="138"/>
  <c r="A211" i="138"/>
  <c r="A212" i="138"/>
  <c r="A205" i="138"/>
  <c r="D159" i="138"/>
  <c r="D148" i="147" s="1"/>
  <c r="E159" i="138"/>
  <c r="F159" i="138"/>
  <c r="G159" i="138"/>
  <c r="H159" i="138"/>
  <c r="I159" i="138"/>
  <c r="J159" i="138"/>
  <c r="K159" i="138"/>
  <c r="L159" i="138"/>
  <c r="M159" i="138"/>
  <c r="N159" i="138"/>
  <c r="O159" i="138"/>
  <c r="P159" i="138"/>
  <c r="Q159" i="138"/>
  <c r="R159" i="138"/>
  <c r="S159" i="138"/>
  <c r="T159" i="138"/>
  <c r="U159" i="138"/>
  <c r="V159" i="138"/>
  <c r="W159" i="138"/>
  <c r="D160" i="138"/>
  <c r="D149" i="147" s="1"/>
  <c r="E160" i="138"/>
  <c r="F160" i="138"/>
  <c r="G160" i="138"/>
  <c r="H160" i="138"/>
  <c r="I160" i="138"/>
  <c r="J160" i="138"/>
  <c r="K160" i="138"/>
  <c r="L160" i="138"/>
  <c r="M160" i="138"/>
  <c r="N160" i="138"/>
  <c r="O160" i="138"/>
  <c r="P160" i="138"/>
  <c r="Q160" i="138"/>
  <c r="R160" i="138"/>
  <c r="S160" i="138"/>
  <c r="T160" i="138"/>
  <c r="U160" i="138"/>
  <c r="V160" i="138"/>
  <c r="W160" i="138"/>
  <c r="D161" i="138"/>
  <c r="E161" i="138"/>
  <c r="F161" i="138"/>
  <c r="G161" i="138"/>
  <c r="H161" i="138"/>
  <c r="I161" i="138"/>
  <c r="J161" i="138"/>
  <c r="K161" i="138"/>
  <c r="L161" i="138"/>
  <c r="M161" i="138"/>
  <c r="N161" i="138"/>
  <c r="O161" i="138"/>
  <c r="P161" i="138"/>
  <c r="Q161" i="138"/>
  <c r="R161" i="138"/>
  <c r="S161" i="138"/>
  <c r="T161" i="138"/>
  <c r="U161" i="138"/>
  <c r="V161" i="138"/>
  <c r="W161" i="138"/>
  <c r="D162" i="138"/>
  <c r="D150" i="147" s="1"/>
  <c r="E162" i="138"/>
  <c r="F162" i="138"/>
  <c r="G162" i="138"/>
  <c r="H162" i="138"/>
  <c r="I162" i="138"/>
  <c r="J162" i="138"/>
  <c r="K162" i="138"/>
  <c r="L162" i="138"/>
  <c r="M162" i="138"/>
  <c r="N162" i="138"/>
  <c r="O162" i="138"/>
  <c r="P162" i="138"/>
  <c r="Q162" i="138"/>
  <c r="R162" i="138"/>
  <c r="S162" i="138"/>
  <c r="T162" i="138"/>
  <c r="U162" i="138"/>
  <c r="V162" i="138"/>
  <c r="W162" i="138"/>
  <c r="D163" i="138"/>
  <c r="D151" i="147" s="1"/>
  <c r="E163" i="138"/>
  <c r="F163" i="138"/>
  <c r="G163" i="138"/>
  <c r="H163" i="138"/>
  <c r="I163" i="138"/>
  <c r="J163" i="138"/>
  <c r="K163" i="138"/>
  <c r="L163" i="138"/>
  <c r="M163" i="138"/>
  <c r="N163" i="138"/>
  <c r="O163" i="138"/>
  <c r="P163" i="138"/>
  <c r="Q163" i="138"/>
  <c r="R163" i="138"/>
  <c r="S163" i="138"/>
  <c r="T163" i="138"/>
  <c r="U163" i="138"/>
  <c r="V163" i="138"/>
  <c r="W163" i="138"/>
  <c r="D164" i="138"/>
  <c r="D152" i="147" s="1"/>
  <c r="E164" i="138"/>
  <c r="F164" i="138"/>
  <c r="G164" i="138"/>
  <c r="H164" i="138"/>
  <c r="I164" i="138"/>
  <c r="J164" i="138"/>
  <c r="K164" i="138"/>
  <c r="L164" i="138"/>
  <c r="M164" i="138"/>
  <c r="N164" i="138"/>
  <c r="O164" i="138"/>
  <c r="P164" i="138"/>
  <c r="Q164" i="138"/>
  <c r="R164" i="138"/>
  <c r="S164" i="138"/>
  <c r="T164" i="138"/>
  <c r="U164" i="138"/>
  <c r="V164" i="138"/>
  <c r="W164" i="138"/>
  <c r="D165" i="138"/>
  <c r="E165" i="138"/>
  <c r="F165" i="138"/>
  <c r="G165" i="138"/>
  <c r="H165" i="138"/>
  <c r="I165" i="138"/>
  <c r="J165" i="138"/>
  <c r="K165" i="138"/>
  <c r="L165" i="138"/>
  <c r="M165" i="138"/>
  <c r="N165" i="138"/>
  <c r="O165" i="138"/>
  <c r="P165" i="138"/>
  <c r="Q165" i="138"/>
  <c r="R165" i="138"/>
  <c r="S165" i="138"/>
  <c r="T165" i="138"/>
  <c r="U165" i="138"/>
  <c r="V165" i="138"/>
  <c r="W165" i="138"/>
  <c r="D166" i="138"/>
  <c r="D177" i="147" s="1"/>
  <c r="E166" i="138"/>
  <c r="F166" i="138"/>
  <c r="G166" i="138"/>
  <c r="H166" i="138"/>
  <c r="I166" i="138"/>
  <c r="J166" i="138"/>
  <c r="K166" i="138"/>
  <c r="L166" i="138"/>
  <c r="M166" i="138"/>
  <c r="N166" i="138"/>
  <c r="O166" i="138"/>
  <c r="P166" i="138"/>
  <c r="Q166" i="138"/>
  <c r="R166" i="138"/>
  <c r="S166" i="138"/>
  <c r="T166" i="138"/>
  <c r="U166" i="138"/>
  <c r="V166" i="138"/>
  <c r="W166" i="138"/>
  <c r="D167" i="138"/>
  <c r="D153" i="147" s="1"/>
  <c r="E167" i="138"/>
  <c r="F167" i="138"/>
  <c r="G167" i="138"/>
  <c r="H167" i="138"/>
  <c r="I167" i="138"/>
  <c r="J167" i="138"/>
  <c r="K167" i="138"/>
  <c r="L167" i="138"/>
  <c r="M167" i="138"/>
  <c r="N167" i="138"/>
  <c r="O167" i="138"/>
  <c r="P167" i="138"/>
  <c r="Q167" i="138"/>
  <c r="R167" i="138"/>
  <c r="S167" i="138"/>
  <c r="T167" i="138"/>
  <c r="U167" i="138"/>
  <c r="V167" i="138"/>
  <c r="W167" i="138"/>
  <c r="D168" i="138"/>
  <c r="D154" i="147" s="1"/>
  <c r="E168" i="138"/>
  <c r="F168" i="138"/>
  <c r="G168" i="138"/>
  <c r="H168" i="138"/>
  <c r="I168" i="138"/>
  <c r="J168" i="138"/>
  <c r="K168" i="138"/>
  <c r="L168" i="138"/>
  <c r="M168" i="138"/>
  <c r="N168" i="138"/>
  <c r="O168" i="138"/>
  <c r="P168" i="138"/>
  <c r="Q168" i="138"/>
  <c r="R168" i="138"/>
  <c r="S168" i="138"/>
  <c r="T168" i="138"/>
  <c r="U168" i="138"/>
  <c r="V168" i="138"/>
  <c r="W168" i="138"/>
  <c r="D169" i="138"/>
  <c r="E169" i="138"/>
  <c r="F169" i="138"/>
  <c r="G169" i="138"/>
  <c r="H169" i="138"/>
  <c r="I169" i="138"/>
  <c r="J169" i="138"/>
  <c r="K169" i="138"/>
  <c r="L169" i="138"/>
  <c r="M169" i="138"/>
  <c r="N169" i="138"/>
  <c r="O169" i="138"/>
  <c r="P169" i="138"/>
  <c r="Q169" i="138"/>
  <c r="R169" i="138"/>
  <c r="S169" i="138"/>
  <c r="T169" i="138"/>
  <c r="U169" i="138"/>
  <c r="V169" i="138"/>
  <c r="W169" i="138"/>
  <c r="D170" i="138"/>
  <c r="D155" i="147" s="1"/>
  <c r="E170" i="138"/>
  <c r="F170" i="138"/>
  <c r="G170" i="138"/>
  <c r="H170" i="138"/>
  <c r="I170" i="138"/>
  <c r="J170" i="138"/>
  <c r="K170" i="138"/>
  <c r="L170" i="138"/>
  <c r="M170" i="138"/>
  <c r="N170" i="138"/>
  <c r="O170" i="138"/>
  <c r="P170" i="138"/>
  <c r="Q170" i="138"/>
  <c r="R170" i="138"/>
  <c r="S170" i="138"/>
  <c r="T170" i="138"/>
  <c r="U170" i="138"/>
  <c r="V170" i="138"/>
  <c r="W170" i="138"/>
  <c r="D171" i="138"/>
  <c r="E171" i="138"/>
  <c r="F171" i="138"/>
  <c r="G171" i="138"/>
  <c r="H171" i="138"/>
  <c r="I171" i="138"/>
  <c r="J171" i="138"/>
  <c r="K171" i="138"/>
  <c r="L171" i="138"/>
  <c r="M171" i="138"/>
  <c r="N171" i="138"/>
  <c r="O171" i="138"/>
  <c r="P171" i="138"/>
  <c r="Q171" i="138"/>
  <c r="R171" i="138"/>
  <c r="S171" i="138"/>
  <c r="T171" i="138"/>
  <c r="U171" i="138"/>
  <c r="V171" i="138"/>
  <c r="W171" i="138"/>
  <c r="D172" i="138"/>
  <c r="E172" i="138"/>
  <c r="F172" i="138"/>
  <c r="G172" i="138"/>
  <c r="H172" i="138"/>
  <c r="I172" i="138"/>
  <c r="J172" i="138"/>
  <c r="K172" i="138"/>
  <c r="L172" i="138"/>
  <c r="M172" i="138"/>
  <c r="N172" i="138"/>
  <c r="O172" i="138"/>
  <c r="P172" i="138"/>
  <c r="Q172" i="138"/>
  <c r="R172" i="138"/>
  <c r="S172" i="138"/>
  <c r="T172" i="138"/>
  <c r="U172" i="138"/>
  <c r="V172" i="138"/>
  <c r="W172" i="138"/>
  <c r="D173" i="138"/>
  <c r="E173" i="138"/>
  <c r="F173" i="138"/>
  <c r="G173" i="138"/>
  <c r="H173" i="138"/>
  <c r="I173" i="138"/>
  <c r="J173" i="138"/>
  <c r="K173" i="138"/>
  <c r="L173" i="138"/>
  <c r="M173" i="138"/>
  <c r="N173" i="138"/>
  <c r="O173" i="138"/>
  <c r="P173" i="138"/>
  <c r="Q173" i="138"/>
  <c r="R173" i="138"/>
  <c r="S173" i="138"/>
  <c r="T173" i="138"/>
  <c r="U173" i="138"/>
  <c r="V173" i="138"/>
  <c r="W173" i="138"/>
  <c r="D174" i="138"/>
  <c r="E174" i="138"/>
  <c r="F174" i="138"/>
  <c r="G174" i="138"/>
  <c r="H174" i="138"/>
  <c r="I174" i="138"/>
  <c r="J174" i="138"/>
  <c r="K174" i="138"/>
  <c r="L174" i="138"/>
  <c r="M174" i="138"/>
  <c r="N174" i="138"/>
  <c r="O174" i="138"/>
  <c r="P174" i="138"/>
  <c r="Q174" i="138"/>
  <c r="R174" i="138"/>
  <c r="S174" i="138"/>
  <c r="T174" i="138"/>
  <c r="U174" i="138"/>
  <c r="V174" i="138"/>
  <c r="W174" i="138"/>
  <c r="D175" i="138"/>
  <c r="D156" i="147" s="1"/>
  <c r="E175" i="138"/>
  <c r="F175" i="138"/>
  <c r="G175" i="138"/>
  <c r="H175" i="138"/>
  <c r="I175" i="138"/>
  <c r="J175" i="138"/>
  <c r="K175" i="138"/>
  <c r="L175" i="138"/>
  <c r="M175" i="138"/>
  <c r="N175" i="138"/>
  <c r="O175" i="138"/>
  <c r="P175" i="138"/>
  <c r="Q175" i="138"/>
  <c r="R175" i="138"/>
  <c r="S175" i="138"/>
  <c r="T175" i="138"/>
  <c r="U175" i="138"/>
  <c r="V175" i="138"/>
  <c r="W175" i="138"/>
  <c r="D176" i="138"/>
  <c r="D157" i="147" s="1"/>
  <c r="E176" i="138"/>
  <c r="F176" i="138"/>
  <c r="G176" i="138"/>
  <c r="H176" i="138"/>
  <c r="I176" i="138"/>
  <c r="J176" i="138"/>
  <c r="K176" i="138"/>
  <c r="L176" i="138"/>
  <c r="M176" i="138"/>
  <c r="N176" i="138"/>
  <c r="O176" i="138"/>
  <c r="P176" i="138"/>
  <c r="Q176" i="138"/>
  <c r="R176" i="138"/>
  <c r="S176" i="138"/>
  <c r="T176" i="138"/>
  <c r="U176" i="138"/>
  <c r="V176" i="138"/>
  <c r="W176" i="138"/>
  <c r="D177" i="138"/>
  <c r="D161" i="147" s="1"/>
  <c r="E177" i="138"/>
  <c r="F177" i="138"/>
  <c r="G177" i="138"/>
  <c r="H177" i="138"/>
  <c r="I177" i="138"/>
  <c r="J177" i="138"/>
  <c r="K177" i="138"/>
  <c r="L177" i="138"/>
  <c r="M177" i="138"/>
  <c r="N177" i="138"/>
  <c r="O177" i="138"/>
  <c r="P177" i="138"/>
  <c r="Q177" i="138"/>
  <c r="R177" i="138"/>
  <c r="S177" i="138"/>
  <c r="T177" i="138"/>
  <c r="U177" i="138"/>
  <c r="V177" i="138"/>
  <c r="W177" i="138"/>
  <c r="D178" i="138"/>
  <c r="D158" i="147" s="1"/>
  <c r="E178" i="138"/>
  <c r="F178" i="138"/>
  <c r="G178" i="138"/>
  <c r="H178" i="138"/>
  <c r="I178" i="138"/>
  <c r="J178" i="138"/>
  <c r="K178" i="138"/>
  <c r="L178" i="138"/>
  <c r="M178" i="138"/>
  <c r="N178" i="138"/>
  <c r="O178" i="138"/>
  <c r="P178" i="138"/>
  <c r="Q178" i="138"/>
  <c r="R178" i="138"/>
  <c r="S178" i="138"/>
  <c r="T178" i="138"/>
  <c r="U178" i="138"/>
  <c r="V178" i="138"/>
  <c r="W178" i="138"/>
  <c r="D179" i="138"/>
  <c r="D159" i="147" s="1"/>
  <c r="E179" i="138"/>
  <c r="F179" i="138"/>
  <c r="G179" i="138"/>
  <c r="H179" i="138"/>
  <c r="I179" i="138"/>
  <c r="J179" i="138"/>
  <c r="K179" i="138"/>
  <c r="L179" i="138"/>
  <c r="M179" i="138"/>
  <c r="N179" i="138"/>
  <c r="O179" i="138"/>
  <c r="P179" i="138"/>
  <c r="Q179" i="138"/>
  <c r="R179" i="138"/>
  <c r="S179" i="138"/>
  <c r="T179" i="138"/>
  <c r="U179" i="138"/>
  <c r="V179" i="138"/>
  <c r="W179" i="138"/>
  <c r="D180" i="138"/>
  <c r="D160" i="147" s="1"/>
  <c r="E180" i="138"/>
  <c r="F180" i="138"/>
  <c r="G180" i="138"/>
  <c r="H180" i="138"/>
  <c r="I180" i="138"/>
  <c r="J180" i="138"/>
  <c r="K180" i="138"/>
  <c r="L180" i="138"/>
  <c r="M180" i="138"/>
  <c r="N180" i="138"/>
  <c r="O180" i="138"/>
  <c r="P180" i="138"/>
  <c r="Q180" i="138"/>
  <c r="R180" i="138"/>
  <c r="S180" i="138"/>
  <c r="T180" i="138"/>
  <c r="U180" i="138"/>
  <c r="V180" i="138"/>
  <c r="W180" i="138"/>
  <c r="D181" i="138"/>
  <c r="D162" i="147" s="1"/>
  <c r="E181" i="138"/>
  <c r="F181" i="138"/>
  <c r="G181" i="138"/>
  <c r="H181" i="138"/>
  <c r="I181" i="138"/>
  <c r="J181" i="138"/>
  <c r="K181" i="138"/>
  <c r="L181" i="138"/>
  <c r="M181" i="138"/>
  <c r="N181" i="138"/>
  <c r="O181" i="138"/>
  <c r="P181" i="138"/>
  <c r="Q181" i="138"/>
  <c r="R181" i="138"/>
  <c r="S181" i="138"/>
  <c r="T181" i="138"/>
  <c r="U181" i="138"/>
  <c r="V181" i="138"/>
  <c r="W181" i="138"/>
  <c r="D182" i="138"/>
  <c r="D163" i="147" s="1"/>
  <c r="E182" i="138"/>
  <c r="F182" i="138"/>
  <c r="G182" i="138"/>
  <c r="H182" i="138"/>
  <c r="I182" i="138"/>
  <c r="J182" i="138"/>
  <c r="K182" i="138"/>
  <c r="L182" i="138"/>
  <c r="M182" i="138"/>
  <c r="N182" i="138"/>
  <c r="O182" i="138"/>
  <c r="P182" i="138"/>
  <c r="Q182" i="138"/>
  <c r="R182" i="138"/>
  <c r="S182" i="138"/>
  <c r="T182" i="138"/>
  <c r="U182" i="138"/>
  <c r="V182" i="138"/>
  <c r="W182" i="138"/>
  <c r="D183" i="138"/>
  <c r="D164" i="147" s="1"/>
  <c r="E183" i="138"/>
  <c r="F183" i="138"/>
  <c r="G183" i="138"/>
  <c r="H183" i="138"/>
  <c r="I183" i="138"/>
  <c r="J183" i="138"/>
  <c r="K183" i="138"/>
  <c r="L183" i="138"/>
  <c r="M183" i="138"/>
  <c r="N183" i="138"/>
  <c r="O183" i="138"/>
  <c r="P183" i="138"/>
  <c r="Q183" i="138"/>
  <c r="R183" i="138"/>
  <c r="S183" i="138"/>
  <c r="T183" i="138"/>
  <c r="U183" i="138"/>
  <c r="V183" i="138"/>
  <c r="W183" i="138"/>
  <c r="D184" i="138"/>
  <c r="D165" i="147" s="1"/>
  <c r="E184" i="138"/>
  <c r="F184" i="138"/>
  <c r="G184" i="138"/>
  <c r="H184" i="138"/>
  <c r="I184" i="138"/>
  <c r="J184" i="138"/>
  <c r="K184" i="138"/>
  <c r="L184" i="138"/>
  <c r="M184" i="138"/>
  <c r="N184" i="138"/>
  <c r="O184" i="138"/>
  <c r="P184" i="138"/>
  <c r="Q184" i="138"/>
  <c r="R184" i="138"/>
  <c r="S184" i="138"/>
  <c r="T184" i="138"/>
  <c r="U184" i="138"/>
  <c r="V184" i="138"/>
  <c r="W184" i="138"/>
  <c r="D185" i="138"/>
  <c r="D166" i="147" s="1"/>
  <c r="E185" i="138"/>
  <c r="F185" i="138"/>
  <c r="G185" i="138"/>
  <c r="H185" i="138"/>
  <c r="I185" i="138"/>
  <c r="J185" i="138"/>
  <c r="K185" i="138"/>
  <c r="L185" i="138"/>
  <c r="M185" i="138"/>
  <c r="N185" i="138"/>
  <c r="O185" i="138"/>
  <c r="P185" i="138"/>
  <c r="Q185" i="138"/>
  <c r="R185" i="138"/>
  <c r="S185" i="138"/>
  <c r="T185" i="138"/>
  <c r="U185" i="138"/>
  <c r="V185" i="138"/>
  <c r="W185" i="138"/>
  <c r="D186" i="138"/>
  <c r="D167" i="147" s="1"/>
  <c r="E186" i="138"/>
  <c r="F186" i="138"/>
  <c r="G186" i="138"/>
  <c r="H186" i="138"/>
  <c r="I186" i="138"/>
  <c r="J186" i="138"/>
  <c r="K186" i="138"/>
  <c r="L186" i="138"/>
  <c r="M186" i="138"/>
  <c r="N186" i="138"/>
  <c r="O186" i="138"/>
  <c r="P186" i="138"/>
  <c r="Q186" i="138"/>
  <c r="R186" i="138"/>
  <c r="S186" i="138"/>
  <c r="T186" i="138"/>
  <c r="U186" i="138"/>
  <c r="V186" i="138"/>
  <c r="W186" i="138"/>
  <c r="D187" i="138"/>
  <c r="E187" i="138"/>
  <c r="F187" i="138"/>
  <c r="G187" i="138"/>
  <c r="H187" i="138"/>
  <c r="I187" i="138"/>
  <c r="J187" i="138"/>
  <c r="K187" i="138"/>
  <c r="L187" i="138"/>
  <c r="M187" i="138"/>
  <c r="N187" i="138"/>
  <c r="O187" i="138"/>
  <c r="P187" i="138"/>
  <c r="Q187" i="138"/>
  <c r="R187" i="138"/>
  <c r="S187" i="138"/>
  <c r="T187" i="138"/>
  <c r="U187" i="138"/>
  <c r="V187" i="138"/>
  <c r="W187" i="138"/>
  <c r="D188" i="138"/>
  <c r="D172" i="147" s="1"/>
  <c r="E188" i="138"/>
  <c r="F188" i="138"/>
  <c r="G188" i="138"/>
  <c r="H188" i="138"/>
  <c r="I188" i="138"/>
  <c r="J188" i="138"/>
  <c r="K188" i="138"/>
  <c r="L188" i="138"/>
  <c r="M188" i="138"/>
  <c r="N188" i="138"/>
  <c r="O188" i="138"/>
  <c r="P188" i="138"/>
  <c r="Q188" i="138"/>
  <c r="R188" i="138"/>
  <c r="S188" i="138"/>
  <c r="T188" i="138"/>
  <c r="U188" i="138"/>
  <c r="V188" i="138"/>
  <c r="W188" i="138"/>
  <c r="D189" i="138"/>
  <c r="D189" i="147" s="1"/>
  <c r="E189" i="138"/>
  <c r="F189" i="138"/>
  <c r="G189" i="138"/>
  <c r="H189" i="138"/>
  <c r="I189" i="138"/>
  <c r="J189" i="138"/>
  <c r="K189" i="138"/>
  <c r="L189" i="138"/>
  <c r="M189" i="138"/>
  <c r="N189" i="138"/>
  <c r="O189" i="138"/>
  <c r="P189" i="138"/>
  <c r="Q189" i="138"/>
  <c r="R189" i="138"/>
  <c r="S189" i="138"/>
  <c r="T189" i="138"/>
  <c r="U189" i="138"/>
  <c r="V189" i="138"/>
  <c r="W189" i="138"/>
  <c r="D190" i="138"/>
  <c r="D173" i="147" s="1"/>
  <c r="E190" i="138"/>
  <c r="F190" i="138"/>
  <c r="G190" i="138"/>
  <c r="H190" i="138"/>
  <c r="I190" i="138"/>
  <c r="J190" i="138"/>
  <c r="K190" i="138"/>
  <c r="L190" i="138"/>
  <c r="M190" i="138"/>
  <c r="N190" i="138"/>
  <c r="O190" i="138"/>
  <c r="P190" i="138"/>
  <c r="Q190" i="138"/>
  <c r="R190" i="138"/>
  <c r="S190" i="138"/>
  <c r="T190" i="138"/>
  <c r="U190" i="138"/>
  <c r="V190" i="138"/>
  <c r="W190" i="138"/>
  <c r="D191" i="138"/>
  <c r="D174" i="147" s="1"/>
  <c r="E191" i="138"/>
  <c r="F191" i="138"/>
  <c r="G191" i="138"/>
  <c r="H191" i="138"/>
  <c r="I191" i="138"/>
  <c r="J191" i="138"/>
  <c r="K191" i="138"/>
  <c r="L191" i="138"/>
  <c r="M191" i="138"/>
  <c r="N191" i="138"/>
  <c r="O191" i="138"/>
  <c r="P191" i="138"/>
  <c r="Q191" i="138"/>
  <c r="R191" i="138"/>
  <c r="S191" i="138"/>
  <c r="T191" i="138"/>
  <c r="U191" i="138"/>
  <c r="V191" i="138"/>
  <c r="W191" i="138"/>
  <c r="D192" i="138"/>
  <c r="D175" i="147" s="1"/>
  <c r="E192" i="138"/>
  <c r="F192" i="138"/>
  <c r="G192" i="138"/>
  <c r="H192" i="138"/>
  <c r="I192" i="138"/>
  <c r="J192" i="138"/>
  <c r="K192" i="138"/>
  <c r="L192" i="138"/>
  <c r="M192" i="138"/>
  <c r="N192" i="138"/>
  <c r="O192" i="138"/>
  <c r="P192" i="138"/>
  <c r="Q192" i="138"/>
  <c r="R192" i="138"/>
  <c r="S192" i="138"/>
  <c r="T192" i="138"/>
  <c r="U192" i="138"/>
  <c r="V192" i="138"/>
  <c r="W192" i="138"/>
  <c r="D193" i="138"/>
  <c r="D176" i="147" s="1"/>
  <c r="E193" i="138"/>
  <c r="F193" i="138"/>
  <c r="G193" i="138"/>
  <c r="H193" i="138"/>
  <c r="I193" i="138"/>
  <c r="J193" i="138"/>
  <c r="K193" i="138"/>
  <c r="L193" i="138"/>
  <c r="M193" i="138"/>
  <c r="N193" i="138"/>
  <c r="O193" i="138"/>
  <c r="P193" i="138"/>
  <c r="Q193" i="138"/>
  <c r="R193" i="138"/>
  <c r="S193" i="138"/>
  <c r="T193" i="138"/>
  <c r="U193" i="138"/>
  <c r="V193" i="138"/>
  <c r="W193" i="138"/>
  <c r="D194" i="138"/>
  <c r="D178" i="147" s="1"/>
  <c r="E194" i="138"/>
  <c r="F194" i="138"/>
  <c r="G194" i="138"/>
  <c r="H194" i="138"/>
  <c r="I194" i="138"/>
  <c r="J194" i="138"/>
  <c r="K194" i="138"/>
  <c r="L194" i="138"/>
  <c r="M194" i="138"/>
  <c r="N194" i="138"/>
  <c r="O194" i="138"/>
  <c r="P194" i="138"/>
  <c r="Q194" i="138"/>
  <c r="R194" i="138"/>
  <c r="S194" i="138"/>
  <c r="T194" i="138"/>
  <c r="U194" i="138"/>
  <c r="V194" i="138"/>
  <c r="W194" i="138"/>
  <c r="D195" i="138"/>
  <c r="D179" i="147" s="1"/>
  <c r="E195" i="138"/>
  <c r="F195" i="138"/>
  <c r="G195" i="138"/>
  <c r="H195" i="138"/>
  <c r="I195" i="138"/>
  <c r="J195" i="138"/>
  <c r="K195" i="138"/>
  <c r="L195" i="138"/>
  <c r="M195" i="138"/>
  <c r="N195" i="138"/>
  <c r="O195" i="138"/>
  <c r="P195" i="138"/>
  <c r="Q195" i="138"/>
  <c r="R195" i="138"/>
  <c r="S195" i="138"/>
  <c r="T195" i="138"/>
  <c r="U195" i="138"/>
  <c r="V195" i="138"/>
  <c r="W195" i="138"/>
  <c r="D196" i="138"/>
  <c r="D180" i="147" s="1"/>
  <c r="E196" i="138"/>
  <c r="F196" i="138"/>
  <c r="G196" i="138"/>
  <c r="H196" i="138"/>
  <c r="I196" i="138"/>
  <c r="J196" i="138"/>
  <c r="K196" i="138"/>
  <c r="L196" i="138"/>
  <c r="M196" i="138"/>
  <c r="N196" i="138"/>
  <c r="O196" i="138"/>
  <c r="P196" i="138"/>
  <c r="Q196" i="138"/>
  <c r="R196" i="138"/>
  <c r="S196" i="138"/>
  <c r="T196" i="138"/>
  <c r="U196" i="138"/>
  <c r="V196" i="138"/>
  <c r="W196" i="138"/>
  <c r="D197" i="138"/>
  <c r="D181" i="147" s="1"/>
  <c r="E197" i="138"/>
  <c r="F197" i="138"/>
  <c r="G197" i="138"/>
  <c r="H197" i="138"/>
  <c r="I197" i="138"/>
  <c r="J197" i="138"/>
  <c r="K197" i="138"/>
  <c r="L197" i="138"/>
  <c r="M197" i="138"/>
  <c r="N197" i="138"/>
  <c r="O197" i="138"/>
  <c r="P197" i="138"/>
  <c r="Q197" i="138"/>
  <c r="R197" i="138"/>
  <c r="S197" i="138"/>
  <c r="T197" i="138"/>
  <c r="U197" i="138"/>
  <c r="V197" i="138"/>
  <c r="W197" i="138"/>
  <c r="D198" i="138"/>
  <c r="D182" i="147" s="1"/>
  <c r="E198" i="138"/>
  <c r="F198" i="138"/>
  <c r="G198" i="138"/>
  <c r="H198" i="138"/>
  <c r="I198" i="138"/>
  <c r="J198" i="138"/>
  <c r="K198" i="138"/>
  <c r="L198" i="138"/>
  <c r="M198" i="138"/>
  <c r="N198" i="138"/>
  <c r="O198" i="138"/>
  <c r="P198" i="138"/>
  <c r="Q198" i="138"/>
  <c r="R198" i="138"/>
  <c r="S198" i="138"/>
  <c r="T198" i="138"/>
  <c r="U198" i="138"/>
  <c r="V198" i="138"/>
  <c r="W198" i="138"/>
  <c r="D199" i="138"/>
  <c r="D183" i="147" s="1"/>
  <c r="E199" i="138"/>
  <c r="F199" i="138"/>
  <c r="G199" i="138"/>
  <c r="H199" i="138"/>
  <c r="I199" i="138"/>
  <c r="J199" i="138"/>
  <c r="K199" i="138"/>
  <c r="L199" i="138"/>
  <c r="M199" i="138"/>
  <c r="N199" i="138"/>
  <c r="O199" i="138"/>
  <c r="P199" i="138"/>
  <c r="Q199" i="138"/>
  <c r="R199" i="138"/>
  <c r="S199" i="138"/>
  <c r="T199" i="138"/>
  <c r="U199" i="138"/>
  <c r="V199" i="138"/>
  <c r="W199" i="138"/>
  <c r="D200" i="138"/>
  <c r="D184" i="147" s="1"/>
  <c r="E200" i="138"/>
  <c r="F200" i="138"/>
  <c r="G200" i="138"/>
  <c r="H200" i="138"/>
  <c r="I200" i="138"/>
  <c r="J200" i="138"/>
  <c r="K200" i="138"/>
  <c r="L200" i="138"/>
  <c r="M200" i="138"/>
  <c r="N200" i="138"/>
  <c r="O200" i="138"/>
  <c r="P200" i="138"/>
  <c r="Q200" i="138"/>
  <c r="R200" i="138"/>
  <c r="S200" i="138"/>
  <c r="T200" i="138"/>
  <c r="U200" i="138"/>
  <c r="V200" i="138"/>
  <c r="W200" i="138"/>
  <c r="D201" i="138"/>
  <c r="D185" i="147" s="1"/>
  <c r="E201" i="138"/>
  <c r="F201" i="138"/>
  <c r="G201" i="138"/>
  <c r="H201" i="138"/>
  <c r="I201" i="138"/>
  <c r="J201" i="138"/>
  <c r="K201" i="138"/>
  <c r="L201" i="138"/>
  <c r="M201" i="138"/>
  <c r="N201" i="138"/>
  <c r="O201" i="138"/>
  <c r="P201" i="138"/>
  <c r="Q201" i="138"/>
  <c r="R201" i="138"/>
  <c r="S201" i="138"/>
  <c r="T201" i="138"/>
  <c r="U201" i="138"/>
  <c r="V201" i="138"/>
  <c r="W201" i="138"/>
  <c r="D202" i="138"/>
  <c r="D186" i="147" s="1"/>
  <c r="E202" i="138"/>
  <c r="F202" i="138"/>
  <c r="G202" i="138"/>
  <c r="H202" i="138"/>
  <c r="I202" i="138"/>
  <c r="J202" i="138"/>
  <c r="K202" i="138"/>
  <c r="L202" i="138"/>
  <c r="M202" i="138"/>
  <c r="N202" i="138"/>
  <c r="O202" i="138"/>
  <c r="P202" i="138"/>
  <c r="Q202" i="138"/>
  <c r="R202" i="138"/>
  <c r="S202" i="138"/>
  <c r="T202" i="138"/>
  <c r="U202" i="138"/>
  <c r="V202" i="138"/>
  <c r="W202" i="138"/>
  <c r="D203" i="138"/>
  <c r="D187" i="147" s="1"/>
  <c r="E203" i="138"/>
  <c r="F203" i="138"/>
  <c r="G203" i="138"/>
  <c r="H203" i="138"/>
  <c r="I203" i="138"/>
  <c r="J203" i="138"/>
  <c r="K203" i="138"/>
  <c r="L203" i="138"/>
  <c r="M203" i="138"/>
  <c r="N203" i="138"/>
  <c r="O203" i="138"/>
  <c r="P203" i="138"/>
  <c r="Q203" i="138"/>
  <c r="R203" i="138"/>
  <c r="S203" i="138"/>
  <c r="T203" i="138"/>
  <c r="U203" i="138"/>
  <c r="V203" i="138"/>
  <c r="W203" i="138"/>
  <c r="D204" i="138"/>
  <c r="D188" i="147" s="1"/>
  <c r="E204" i="138"/>
  <c r="F204" i="138"/>
  <c r="G204" i="138"/>
  <c r="H204" i="138"/>
  <c r="I204" i="138"/>
  <c r="J204" i="138"/>
  <c r="K204" i="138"/>
  <c r="L204" i="138"/>
  <c r="M204" i="138"/>
  <c r="N204" i="138"/>
  <c r="O204" i="138"/>
  <c r="P204" i="138"/>
  <c r="Q204" i="138"/>
  <c r="R204" i="138"/>
  <c r="S204" i="138"/>
  <c r="T204" i="138"/>
  <c r="U204" i="138"/>
  <c r="V204" i="138"/>
  <c r="W204" i="138"/>
  <c r="E158" i="138"/>
  <c r="E230" i="138" s="1"/>
  <c r="F158" i="138"/>
  <c r="F230" i="138" s="1"/>
  <c r="G158" i="138"/>
  <c r="H158" i="138"/>
  <c r="H230" i="138" s="1"/>
  <c r="I158" i="138"/>
  <c r="I230" i="138" s="1"/>
  <c r="J158" i="138"/>
  <c r="K158" i="138"/>
  <c r="L158" i="138"/>
  <c r="L230" i="138" s="1"/>
  <c r="M158" i="138"/>
  <c r="N158" i="138"/>
  <c r="O158" i="138"/>
  <c r="P158" i="138"/>
  <c r="Q158" i="138"/>
  <c r="R158" i="138"/>
  <c r="R230" i="138" s="1"/>
  <c r="S158" i="138"/>
  <c r="S230" i="138" s="1"/>
  <c r="T158" i="138"/>
  <c r="T230" i="138" s="1"/>
  <c r="U158" i="138"/>
  <c r="U230" i="138" s="1"/>
  <c r="V158" i="138"/>
  <c r="V230" i="138" s="1"/>
  <c r="W158" i="138"/>
  <c r="W230" i="138" s="1"/>
  <c r="D158" i="138"/>
  <c r="D230" i="138" s="1"/>
  <c r="D81" i="138"/>
  <c r="D75" i="147" s="1"/>
  <c r="E81" i="138"/>
  <c r="F81" i="138"/>
  <c r="G81" i="138"/>
  <c r="H81" i="138"/>
  <c r="I81" i="138"/>
  <c r="J81" i="138"/>
  <c r="K81" i="138"/>
  <c r="L81" i="138"/>
  <c r="M81" i="138"/>
  <c r="N81" i="138"/>
  <c r="O81" i="138"/>
  <c r="P81" i="138"/>
  <c r="Q81" i="138"/>
  <c r="R81" i="138"/>
  <c r="S81" i="138"/>
  <c r="T81" i="138"/>
  <c r="U81" i="138"/>
  <c r="V81" i="138"/>
  <c r="W81" i="138"/>
  <c r="D82" i="138"/>
  <c r="D76" i="147" s="1"/>
  <c r="E82" i="138"/>
  <c r="F82" i="138"/>
  <c r="G82" i="138"/>
  <c r="H82" i="138"/>
  <c r="I82" i="138"/>
  <c r="J82" i="138"/>
  <c r="K82" i="138"/>
  <c r="L82" i="138"/>
  <c r="M82" i="138"/>
  <c r="N82" i="138"/>
  <c r="O82" i="138"/>
  <c r="P82" i="138"/>
  <c r="Q82" i="138"/>
  <c r="R82" i="138"/>
  <c r="S82" i="138"/>
  <c r="T82" i="138"/>
  <c r="U82" i="138"/>
  <c r="V82" i="138"/>
  <c r="W82" i="138"/>
  <c r="D83" i="138"/>
  <c r="E83" i="138"/>
  <c r="F83" i="138"/>
  <c r="G83" i="138"/>
  <c r="H83" i="138"/>
  <c r="I83" i="138"/>
  <c r="J83" i="138"/>
  <c r="K83" i="138"/>
  <c r="L83" i="138"/>
  <c r="M83" i="138"/>
  <c r="N83" i="138"/>
  <c r="O83" i="138"/>
  <c r="P83" i="138"/>
  <c r="Q83" i="138"/>
  <c r="R83" i="138"/>
  <c r="S83" i="138"/>
  <c r="T83" i="138"/>
  <c r="U83" i="138"/>
  <c r="V83" i="138"/>
  <c r="W83" i="138"/>
  <c r="D84" i="138"/>
  <c r="D77" i="147" s="1"/>
  <c r="E84" i="138"/>
  <c r="F84" i="138"/>
  <c r="G84" i="138"/>
  <c r="H84" i="138"/>
  <c r="I84" i="138"/>
  <c r="J84" i="138"/>
  <c r="K84" i="138"/>
  <c r="L84" i="138"/>
  <c r="M84" i="138"/>
  <c r="N84" i="138"/>
  <c r="O84" i="138"/>
  <c r="P84" i="138"/>
  <c r="Q84" i="138"/>
  <c r="R84" i="138"/>
  <c r="S84" i="138"/>
  <c r="T84" i="138"/>
  <c r="U84" i="138"/>
  <c r="V84" i="138"/>
  <c r="W84" i="138"/>
  <c r="D85" i="138"/>
  <c r="D78" i="147" s="1"/>
  <c r="E85" i="138"/>
  <c r="F85" i="138"/>
  <c r="G85" i="138"/>
  <c r="H85" i="138"/>
  <c r="I85" i="138"/>
  <c r="J85" i="138"/>
  <c r="K85" i="138"/>
  <c r="L85" i="138"/>
  <c r="M85" i="138"/>
  <c r="N85" i="138"/>
  <c r="O85" i="138"/>
  <c r="P85" i="138"/>
  <c r="Q85" i="138"/>
  <c r="R85" i="138"/>
  <c r="S85" i="138"/>
  <c r="T85" i="138"/>
  <c r="U85" i="138"/>
  <c r="V85" i="138"/>
  <c r="W85" i="138"/>
  <c r="D86" i="138"/>
  <c r="D79" i="147" s="1"/>
  <c r="E86" i="138"/>
  <c r="F86" i="138"/>
  <c r="G86" i="138"/>
  <c r="H86" i="138"/>
  <c r="I86" i="138"/>
  <c r="J86" i="138"/>
  <c r="K86" i="138"/>
  <c r="L86" i="138"/>
  <c r="M86" i="138"/>
  <c r="N86" i="138"/>
  <c r="O86" i="138"/>
  <c r="P86" i="138"/>
  <c r="Q86" i="138"/>
  <c r="R86" i="138"/>
  <c r="S86" i="138"/>
  <c r="T86" i="138"/>
  <c r="U86" i="138"/>
  <c r="V86" i="138"/>
  <c r="W86" i="138"/>
  <c r="D87" i="138"/>
  <c r="E87" i="138"/>
  <c r="F87" i="138"/>
  <c r="G87" i="138"/>
  <c r="H87" i="138"/>
  <c r="I87" i="138"/>
  <c r="J87" i="138"/>
  <c r="K87" i="138"/>
  <c r="L87" i="138"/>
  <c r="M87" i="138"/>
  <c r="N87" i="138"/>
  <c r="O87" i="138"/>
  <c r="P87" i="138"/>
  <c r="Q87" i="138"/>
  <c r="R87" i="138"/>
  <c r="S87" i="138"/>
  <c r="T87" i="138"/>
  <c r="U87" i="138"/>
  <c r="V87" i="138"/>
  <c r="W87" i="138"/>
  <c r="D88" i="138"/>
  <c r="D104" i="147" s="1"/>
  <c r="E88" i="138"/>
  <c r="F88" i="138"/>
  <c r="G88" i="138"/>
  <c r="H88" i="138"/>
  <c r="I88" i="138"/>
  <c r="J88" i="138"/>
  <c r="K88" i="138"/>
  <c r="L88" i="138"/>
  <c r="M88" i="138"/>
  <c r="N88" i="138"/>
  <c r="O88" i="138"/>
  <c r="P88" i="138"/>
  <c r="Q88" i="138"/>
  <c r="R88" i="138"/>
  <c r="S88" i="138"/>
  <c r="T88" i="138"/>
  <c r="U88" i="138"/>
  <c r="V88" i="138"/>
  <c r="W88" i="138"/>
  <c r="D89" i="138"/>
  <c r="D80" i="147" s="1"/>
  <c r="E89" i="138"/>
  <c r="F89" i="138"/>
  <c r="G89" i="138"/>
  <c r="H89" i="138"/>
  <c r="I89" i="138"/>
  <c r="J89" i="138"/>
  <c r="K89" i="138"/>
  <c r="L89" i="138"/>
  <c r="M89" i="138"/>
  <c r="N89" i="138"/>
  <c r="O89" i="138"/>
  <c r="P89" i="138"/>
  <c r="Q89" i="138"/>
  <c r="R89" i="138"/>
  <c r="S89" i="138"/>
  <c r="T89" i="138"/>
  <c r="U89" i="138"/>
  <c r="V89" i="138"/>
  <c r="W89" i="138"/>
  <c r="D90" i="138"/>
  <c r="D81" i="147" s="1"/>
  <c r="E90" i="138"/>
  <c r="F90" i="138"/>
  <c r="G90" i="138"/>
  <c r="H90" i="138"/>
  <c r="I90" i="138"/>
  <c r="J90" i="138"/>
  <c r="K90" i="138"/>
  <c r="L90" i="138"/>
  <c r="M90" i="138"/>
  <c r="N90" i="138"/>
  <c r="O90" i="138"/>
  <c r="P90" i="138"/>
  <c r="Q90" i="138"/>
  <c r="R90" i="138"/>
  <c r="S90" i="138"/>
  <c r="T90" i="138"/>
  <c r="U90" i="138"/>
  <c r="V90" i="138"/>
  <c r="W90" i="138"/>
  <c r="D91" i="138"/>
  <c r="E91" i="138"/>
  <c r="F91" i="138"/>
  <c r="G91" i="138"/>
  <c r="H91" i="138"/>
  <c r="I91" i="138"/>
  <c r="J91" i="138"/>
  <c r="K91" i="138"/>
  <c r="L91" i="138"/>
  <c r="M91" i="138"/>
  <c r="N91" i="138"/>
  <c r="O91" i="138"/>
  <c r="P91" i="138"/>
  <c r="Q91" i="138"/>
  <c r="R91" i="138"/>
  <c r="S91" i="138"/>
  <c r="T91" i="138"/>
  <c r="U91" i="138"/>
  <c r="V91" i="138"/>
  <c r="W91" i="138"/>
  <c r="D92" i="138"/>
  <c r="D82" i="147" s="1"/>
  <c r="E92" i="138"/>
  <c r="F92" i="138"/>
  <c r="G92" i="138"/>
  <c r="H92" i="138"/>
  <c r="I92" i="138"/>
  <c r="J92" i="138"/>
  <c r="K92" i="138"/>
  <c r="L92" i="138"/>
  <c r="M92" i="138"/>
  <c r="N92" i="138"/>
  <c r="O92" i="138"/>
  <c r="P92" i="138"/>
  <c r="Q92" i="138"/>
  <c r="R92" i="138"/>
  <c r="S92" i="138"/>
  <c r="T92" i="138"/>
  <c r="U92" i="138"/>
  <c r="V92" i="138"/>
  <c r="W92" i="138"/>
  <c r="D93" i="138"/>
  <c r="E93" i="138"/>
  <c r="F93" i="138"/>
  <c r="G93" i="138"/>
  <c r="H93" i="138"/>
  <c r="I93" i="138"/>
  <c r="J93" i="138"/>
  <c r="K93" i="138"/>
  <c r="L93" i="138"/>
  <c r="M93" i="138"/>
  <c r="N93" i="138"/>
  <c r="O93" i="138"/>
  <c r="P93" i="138"/>
  <c r="Q93" i="138"/>
  <c r="R93" i="138"/>
  <c r="S93" i="138"/>
  <c r="T93" i="138"/>
  <c r="U93" i="138"/>
  <c r="V93" i="138"/>
  <c r="W93" i="138"/>
  <c r="D94" i="138"/>
  <c r="E94" i="138"/>
  <c r="F94" i="138"/>
  <c r="G94" i="138"/>
  <c r="H94" i="138"/>
  <c r="I94" i="138"/>
  <c r="J94" i="138"/>
  <c r="K94" i="138"/>
  <c r="L94" i="138"/>
  <c r="M94" i="138"/>
  <c r="N94" i="138"/>
  <c r="O94" i="138"/>
  <c r="P94" i="138"/>
  <c r="Q94" i="138"/>
  <c r="R94" i="138"/>
  <c r="S94" i="138"/>
  <c r="T94" i="138"/>
  <c r="U94" i="138"/>
  <c r="V94" i="138"/>
  <c r="W94" i="138"/>
  <c r="D95" i="138"/>
  <c r="E95" i="138"/>
  <c r="F95" i="138"/>
  <c r="G95" i="138"/>
  <c r="H95" i="138"/>
  <c r="I95" i="138"/>
  <c r="J95" i="138"/>
  <c r="K95" i="138"/>
  <c r="L95" i="138"/>
  <c r="M95" i="138"/>
  <c r="N95" i="138"/>
  <c r="O95" i="138"/>
  <c r="P95" i="138"/>
  <c r="Q95" i="138"/>
  <c r="R95" i="138"/>
  <c r="S95" i="138"/>
  <c r="T95" i="138"/>
  <c r="U95" i="138"/>
  <c r="V95" i="138"/>
  <c r="W95" i="138"/>
  <c r="D96" i="138"/>
  <c r="E96" i="138"/>
  <c r="F96" i="138"/>
  <c r="G96" i="138"/>
  <c r="H96" i="138"/>
  <c r="I96" i="138"/>
  <c r="J96" i="138"/>
  <c r="K96" i="138"/>
  <c r="L96" i="138"/>
  <c r="M96" i="138"/>
  <c r="N96" i="138"/>
  <c r="O96" i="138"/>
  <c r="P96" i="138"/>
  <c r="Q96" i="138"/>
  <c r="R96" i="138"/>
  <c r="S96" i="138"/>
  <c r="T96" i="138"/>
  <c r="U96" i="138"/>
  <c r="V96" i="138"/>
  <c r="W96" i="138"/>
  <c r="D97" i="138"/>
  <c r="D83" i="147" s="1"/>
  <c r="E97" i="138"/>
  <c r="F97" i="138"/>
  <c r="G97" i="138"/>
  <c r="H97" i="138"/>
  <c r="I97" i="138"/>
  <c r="J97" i="138"/>
  <c r="K97" i="138"/>
  <c r="L97" i="138"/>
  <c r="M97" i="138"/>
  <c r="N97" i="138"/>
  <c r="O97" i="138"/>
  <c r="P97" i="138"/>
  <c r="Q97" i="138"/>
  <c r="R97" i="138"/>
  <c r="S97" i="138"/>
  <c r="T97" i="138"/>
  <c r="U97" i="138"/>
  <c r="V97" i="138"/>
  <c r="W97" i="138"/>
  <c r="D98" i="138"/>
  <c r="D84" i="147" s="1"/>
  <c r="E98" i="138"/>
  <c r="F98" i="138"/>
  <c r="G98" i="138"/>
  <c r="H98" i="138"/>
  <c r="I98" i="138"/>
  <c r="J98" i="138"/>
  <c r="K98" i="138"/>
  <c r="L98" i="138"/>
  <c r="M98" i="138"/>
  <c r="N98" i="138"/>
  <c r="O98" i="138"/>
  <c r="P98" i="138"/>
  <c r="Q98" i="138"/>
  <c r="R98" i="138"/>
  <c r="S98" i="138"/>
  <c r="T98" i="138"/>
  <c r="U98" i="138"/>
  <c r="V98" i="138"/>
  <c r="W98" i="138"/>
  <c r="D99" i="138"/>
  <c r="D88" i="147" s="1"/>
  <c r="E99" i="138"/>
  <c r="F99" i="138"/>
  <c r="G99" i="138"/>
  <c r="H99" i="138"/>
  <c r="I99" i="138"/>
  <c r="J99" i="138"/>
  <c r="K99" i="138"/>
  <c r="L99" i="138"/>
  <c r="M99" i="138"/>
  <c r="N99" i="138"/>
  <c r="O99" i="138"/>
  <c r="P99" i="138"/>
  <c r="Q99" i="138"/>
  <c r="R99" i="138"/>
  <c r="S99" i="138"/>
  <c r="T99" i="138"/>
  <c r="U99" i="138"/>
  <c r="V99" i="138"/>
  <c r="W99" i="138"/>
  <c r="D100" i="138"/>
  <c r="D85" i="147" s="1"/>
  <c r="E100" i="138"/>
  <c r="F100" i="138"/>
  <c r="G100" i="138"/>
  <c r="H100" i="138"/>
  <c r="I100" i="138"/>
  <c r="J100" i="138"/>
  <c r="K100" i="138"/>
  <c r="L100" i="138"/>
  <c r="M100" i="138"/>
  <c r="N100" i="138"/>
  <c r="O100" i="138"/>
  <c r="P100" i="138"/>
  <c r="Q100" i="138"/>
  <c r="R100" i="138"/>
  <c r="S100" i="138"/>
  <c r="T100" i="138"/>
  <c r="U100" i="138"/>
  <c r="V100" i="138"/>
  <c r="W100" i="138"/>
  <c r="D101" i="138"/>
  <c r="D86" i="147" s="1"/>
  <c r="E101" i="138"/>
  <c r="F101" i="138"/>
  <c r="G101" i="138"/>
  <c r="H101" i="138"/>
  <c r="I101" i="138"/>
  <c r="J101" i="138"/>
  <c r="K101" i="138"/>
  <c r="L101" i="138"/>
  <c r="M101" i="138"/>
  <c r="N101" i="138"/>
  <c r="O101" i="138"/>
  <c r="P101" i="138"/>
  <c r="Q101" i="138"/>
  <c r="R101" i="138"/>
  <c r="S101" i="138"/>
  <c r="T101" i="138"/>
  <c r="U101" i="138"/>
  <c r="V101" i="138"/>
  <c r="W101" i="138"/>
  <c r="D102" i="138"/>
  <c r="D87" i="147" s="1"/>
  <c r="E102" i="138"/>
  <c r="F102" i="138"/>
  <c r="G102" i="138"/>
  <c r="H102" i="138"/>
  <c r="I102" i="138"/>
  <c r="J102" i="138"/>
  <c r="K102" i="138"/>
  <c r="L102" i="138"/>
  <c r="M102" i="138"/>
  <c r="N102" i="138"/>
  <c r="O102" i="138"/>
  <c r="P102" i="138"/>
  <c r="Q102" i="138"/>
  <c r="R102" i="138"/>
  <c r="S102" i="138"/>
  <c r="T102" i="138"/>
  <c r="U102" i="138"/>
  <c r="V102" i="138"/>
  <c r="W102" i="138"/>
  <c r="D103" i="138"/>
  <c r="D89" i="147" s="1"/>
  <c r="E103" i="138"/>
  <c r="F103" i="138"/>
  <c r="G103" i="138"/>
  <c r="H103" i="138"/>
  <c r="I103" i="138"/>
  <c r="J103" i="138"/>
  <c r="K103" i="138"/>
  <c r="L103" i="138"/>
  <c r="M103" i="138"/>
  <c r="N103" i="138"/>
  <c r="O103" i="138"/>
  <c r="P103" i="138"/>
  <c r="Q103" i="138"/>
  <c r="R103" i="138"/>
  <c r="S103" i="138"/>
  <c r="T103" i="138"/>
  <c r="U103" i="138"/>
  <c r="V103" i="138"/>
  <c r="W103" i="138"/>
  <c r="D104" i="138"/>
  <c r="D90" i="147" s="1"/>
  <c r="E104" i="138"/>
  <c r="F104" i="138"/>
  <c r="G104" i="138"/>
  <c r="H104" i="138"/>
  <c r="I104" i="138"/>
  <c r="J104" i="138"/>
  <c r="K104" i="138"/>
  <c r="L104" i="138"/>
  <c r="M104" i="138"/>
  <c r="N104" i="138"/>
  <c r="O104" i="138"/>
  <c r="P104" i="138"/>
  <c r="Q104" i="138"/>
  <c r="R104" i="138"/>
  <c r="S104" i="138"/>
  <c r="T104" i="138"/>
  <c r="U104" i="138"/>
  <c r="V104" i="138"/>
  <c r="W104" i="138"/>
  <c r="D105" i="138"/>
  <c r="D91" i="147" s="1"/>
  <c r="E105" i="138"/>
  <c r="F105" i="138"/>
  <c r="G105" i="138"/>
  <c r="H105" i="138"/>
  <c r="I105" i="138"/>
  <c r="J105" i="138"/>
  <c r="K105" i="138"/>
  <c r="L105" i="138"/>
  <c r="M105" i="138"/>
  <c r="N105" i="138"/>
  <c r="O105" i="138"/>
  <c r="P105" i="138"/>
  <c r="Q105" i="138"/>
  <c r="R105" i="138"/>
  <c r="S105" i="138"/>
  <c r="T105" i="138"/>
  <c r="U105" i="138"/>
  <c r="V105" i="138"/>
  <c r="W105" i="138"/>
  <c r="D106" i="138"/>
  <c r="D92" i="147" s="1"/>
  <c r="E106" i="138"/>
  <c r="F106" i="138"/>
  <c r="G106" i="138"/>
  <c r="H106" i="138"/>
  <c r="I106" i="138"/>
  <c r="J106" i="138"/>
  <c r="K106" i="138"/>
  <c r="L106" i="138"/>
  <c r="M106" i="138"/>
  <c r="N106" i="138"/>
  <c r="O106" i="138"/>
  <c r="P106" i="138"/>
  <c r="Q106" i="138"/>
  <c r="R106" i="138"/>
  <c r="S106" i="138"/>
  <c r="T106" i="138"/>
  <c r="U106" i="138"/>
  <c r="V106" i="138"/>
  <c r="W106" i="138"/>
  <c r="D107" i="138"/>
  <c r="D93" i="147" s="1"/>
  <c r="E107" i="138"/>
  <c r="F107" i="138"/>
  <c r="G107" i="138"/>
  <c r="H107" i="138"/>
  <c r="I107" i="138"/>
  <c r="J107" i="138"/>
  <c r="K107" i="138"/>
  <c r="L107" i="138"/>
  <c r="M107" i="138"/>
  <c r="N107" i="138"/>
  <c r="O107" i="138"/>
  <c r="P107" i="138"/>
  <c r="Q107" i="138"/>
  <c r="R107" i="138"/>
  <c r="S107" i="138"/>
  <c r="T107" i="138"/>
  <c r="U107" i="138"/>
  <c r="V107" i="138"/>
  <c r="W107" i="138"/>
  <c r="D108" i="138"/>
  <c r="D94" i="147" s="1"/>
  <c r="E108" i="138"/>
  <c r="F108" i="138"/>
  <c r="G108" i="138"/>
  <c r="H108" i="138"/>
  <c r="I108" i="138"/>
  <c r="J108" i="138"/>
  <c r="K108" i="138"/>
  <c r="L108" i="138"/>
  <c r="M108" i="138"/>
  <c r="N108" i="138"/>
  <c r="O108" i="138"/>
  <c r="P108" i="138"/>
  <c r="Q108" i="138"/>
  <c r="R108" i="138"/>
  <c r="S108" i="138"/>
  <c r="T108" i="138"/>
  <c r="U108" i="138"/>
  <c r="V108" i="138"/>
  <c r="W108" i="138"/>
  <c r="D109" i="138"/>
  <c r="E109" i="138"/>
  <c r="F109" i="138"/>
  <c r="G109" i="138"/>
  <c r="H109" i="138"/>
  <c r="I109" i="138"/>
  <c r="J109" i="138"/>
  <c r="K109" i="138"/>
  <c r="L109" i="138"/>
  <c r="M109" i="138"/>
  <c r="N109" i="138"/>
  <c r="O109" i="138"/>
  <c r="P109" i="138"/>
  <c r="Q109" i="138"/>
  <c r="R109" i="138"/>
  <c r="S109" i="138"/>
  <c r="T109" i="138"/>
  <c r="U109" i="138"/>
  <c r="V109" i="138"/>
  <c r="W109" i="138"/>
  <c r="D110" i="138"/>
  <c r="D99" i="147" s="1"/>
  <c r="E110" i="138"/>
  <c r="F110" i="138"/>
  <c r="G110" i="138"/>
  <c r="H110" i="138"/>
  <c r="I110" i="138"/>
  <c r="J110" i="138"/>
  <c r="K110" i="138"/>
  <c r="L110" i="138"/>
  <c r="M110" i="138"/>
  <c r="N110" i="138"/>
  <c r="O110" i="138"/>
  <c r="P110" i="138"/>
  <c r="Q110" i="138"/>
  <c r="R110" i="138"/>
  <c r="S110" i="138"/>
  <c r="T110" i="138"/>
  <c r="U110" i="138"/>
  <c r="V110" i="138"/>
  <c r="W110" i="138"/>
  <c r="D111" i="138"/>
  <c r="D116" i="147" s="1"/>
  <c r="E111" i="138"/>
  <c r="F111" i="138"/>
  <c r="G111" i="138"/>
  <c r="H111" i="138"/>
  <c r="I111" i="138"/>
  <c r="J111" i="138"/>
  <c r="K111" i="138"/>
  <c r="L111" i="138"/>
  <c r="M111" i="138"/>
  <c r="N111" i="138"/>
  <c r="O111" i="138"/>
  <c r="P111" i="138"/>
  <c r="Q111" i="138"/>
  <c r="R111" i="138"/>
  <c r="S111" i="138"/>
  <c r="T111" i="138"/>
  <c r="U111" i="138"/>
  <c r="V111" i="138"/>
  <c r="W111" i="138"/>
  <c r="D112" i="138"/>
  <c r="D100" i="147" s="1"/>
  <c r="E112" i="138"/>
  <c r="F112" i="138"/>
  <c r="G112" i="138"/>
  <c r="H112" i="138"/>
  <c r="I112" i="138"/>
  <c r="J112" i="138"/>
  <c r="K112" i="138"/>
  <c r="L112" i="138"/>
  <c r="M112" i="138"/>
  <c r="N112" i="138"/>
  <c r="O112" i="138"/>
  <c r="P112" i="138"/>
  <c r="Q112" i="138"/>
  <c r="R112" i="138"/>
  <c r="S112" i="138"/>
  <c r="T112" i="138"/>
  <c r="U112" i="138"/>
  <c r="V112" i="138"/>
  <c r="W112" i="138"/>
  <c r="D113" i="138"/>
  <c r="D101" i="147" s="1"/>
  <c r="E113" i="138"/>
  <c r="F113" i="138"/>
  <c r="G113" i="138"/>
  <c r="H113" i="138"/>
  <c r="I113" i="138"/>
  <c r="J113" i="138"/>
  <c r="K113" i="138"/>
  <c r="L113" i="138"/>
  <c r="M113" i="138"/>
  <c r="N113" i="138"/>
  <c r="O113" i="138"/>
  <c r="P113" i="138"/>
  <c r="Q113" i="138"/>
  <c r="R113" i="138"/>
  <c r="S113" i="138"/>
  <c r="T113" i="138"/>
  <c r="U113" i="138"/>
  <c r="V113" i="138"/>
  <c r="W113" i="138"/>
  <c r="D114" i="138"/>
  <c r="D102" i="147" s="1"/>
  <c r="E114" i="138"/>
  <c r="F114" i="138"/>
  <c r="G114" i="138"/>
  <c r="H114" i="138"/>
  <c r="I114" i="138"/>
  <c r="J114" i="138"/>
  <c r="K114" i="138"/>
  <c r="L114" i="138"/>
  <c r="M114" i="138"/>
  <c r="N114" i="138"/>
  <c r="O114" i="138"/>
  <c r="P114" i="138"/>
  <c r="Q114" i="138"/>
  <c r="R114" i="138"/>
  <c r="S114" i="138"/>
  <c r="T114" i="138"/>
  <c r="U114" i="138"/>
  <c r="V114" i="138"/>
  <c r="W114" i="138"/>
  <c r="D115" i="138"/>
  <c r="D103" i="147" s="1"/>
  <c r="E115" i="138"/>
  <c r="F115" i="138"/>
  <c r="G115" i="138"/>
  <c r="H115" i="138"/>
  <c r="I115" i="138"/>
  <c r="J115" i="138"/>
  <c r="K115" i="138"/>
  <c r="L115" i="138"/>
  <c r="M115" i="138"/>
  <c r="N115" i="138"/>
  <c r="O115" i="138"/>
  <c r="P115" i="138"/>
  <c r="Q115" i="138"/>
  <c r="R115" i="138"/>
  <c r="S115" i="138"/>
  <c r="T115" i="138"/>
  <c r="U115" i="138"/>
  <c r="V115" i="138"/>
  <c r="W115" i="138"/>
  <c r="D116" i="138"/>
  <c r="D105" i="147" s="1"/>
  <c r="E116" i="138"/>
  <c r="F116" i="138"/>
  <c r="G116" i="138"/>
  <c r="H116" i="138"/>
  <c r="I116" i="138"/>
  <c r="J116" i="138"/>
  <c r="K116" i="138"/>
  <c r="L116" i="138"/>
  <c r="M116" i="138"/>
  <c r="N116" i="138"/>
  <c r="O116" i="138"/>
  <c r="P116" i="138"/>
  <c r="Q116" i="138"/>
  <c r="R116" i="138"/>
  <c r="S116" i="138"/>
  <c r="T116" i="138"/>
  <c r="U116" i="138"/>
  <c r="V116" i="138"/>
  <c r="W116" i="138"/>
  <c r="D117" i="138"/>
  <c r="D106" i="147" s="1"/>
  <c r="E117" i="138"/>
  <c r="F117" i="138"/>
  <c r="G117" i="138"/>
  <c r="H117" i="138"/>
  <c r="I117" i="138"/>
  <c r="J117" i="138"/>
  <c r="K117" i="138"/>
  <c r="L117" i="138"/>
  <c r="M117" i="138"/>
  <c r="N117" i="138"/>
  <c r="O117" i="138"/>
  <c r="P117" i="138"/>
  <c r="Q117" i="138"/>
  <c r="R117" i="138"/>
  <c r="S117" i="138"/>
  <c r="T117" i="138"/>
  <c r="U117" i="138"/>
  <c r="V117" i="138"/>
  <c r="W117" i="138"/>
  <c r="D118" i="138"/>
  <c r="D107" i="147" s="1"/>
  <c r="E118" i="138"/>
  <c r="F118" i="138"/>
  <c r="G118" i="138"/>
  <c r="H118" i="138"/>
  <c r="I118" i="138"/>
  <c r="J118" i="138"/>
  <c r="K118" i="138"/>
  <c r="L118" i="138"/>
  <c r="M118" i="138"/>
  <c r="N118" i="138"/>
  <c r="O118" i="138"/>
  <c r="P118" i="138"/>
  <c r="Q118" i="138"/>
  <c r="R118" i="138"/>
  <c r="S118" i="138"/>
  <c r="T118" i="138"/>
  <c r="U118" i="138"/>
  <c r="V118" i="138"/>
  <c r="W118" i="138"/>
  <c r="D119" i="138"/>
  <c r="D108" i="147" s="1"/>
  <c r="E119" i="138"/>
  <c r="F119" i="138"/>
  <c r="G119" i="138"/>
  <c r="H119" i="138"/>
  <c r="I119" i="138"/>
  <c r="J119" i="138"/>
  <c r="K119" i="138"/>
  <c r="L119" i="138"/>
  <c r="M119" i="138"/>
  <c r="N119" i="138"/>
  <c r="O119" i="138"/>
  <c r="P119" i="138"/>
  <c r="Q119" i="138"/>
  <c r="R119" i="138"/>
  <c r="S119" i="138"/>
  <c r="T119" i="138"/>
  <c r="U119" i="138"/>
  <c r="V119" i="138"/>
  <c r="W119" i="138"/>
  <c r="D120" i="138"/>
  <c r="D109" i="147" s="1"/>
  <c r="E120" i="138"/>
  <c r="F120" i="138"/>
  <c r="G120" i="138"/>
  <c r="H120" i="138"/>
  <c r="I120" i="138"/>
  <c r="J120" i="138"/>
  <c r="K120" i="138"/>
  <c r="L120" i="138"/>
  <c r="M120" i="138"/>
  <c r="N120" i="138"/>
  <c r="O120" i="138"/>
  <c r="P120" i="138"/>
  <c r="Q120" i="138"/>
  <c r="R120" i="138"/>
  <c r="S120" i="138"/>
  <c r="T120" i="138"/>
  <c r="U120" i="138"/>
  <c r="V120" i="138"/>
  <c r="W120" i="138"/>
  <c r="D121" i="138"/>
  <c r="D110" i="147" s="1"/>
  <c r="E121" i="138"/>
  <c r="F121" i="138"/>
  <c r="G121" i="138"/>
  <c r="H121" i="138"/>
  <c r="I121" i="138"/>
  <c r="J121" i="138"/>
  <c r="K121" i="138"/>
  <c r="L121" i="138"/>
  <c r="M121" i="138"/>
  <c r="N121" i="138"/>
  <c r="O121" i="138"/>
  <c r="P121" i="138"/>
  <c r="Q121" i="138"/>
  <c r="R121" i="138"/>
  <c r="S121" i="138"/>
  <c r="T121" i="138"/>
  <c r="U121" i="138"/>
  <c r="V121" i="138"/>
  <c r="W121" i="138"/>
  <c r="D122" i="138"/>
  <c r="D111" i="147" s="1"/>
  <c r="E122" i="138"/>
  <c r="F122" i="138"/>
  <c r="G122" i="138"/>
  <c r="H122" i="138"/>
  <c r="I122" i="138"/>
  <c r="J122" i="138"/>
  <c r="K122" i="138"/>
  <c r="L122" i="138"/>
  <c r="M122" i="138"/>
  <c r="N122" i="138"/>
  <c r="O122" i="138"/>
  <c r="P122" i="138"/>
  <c r="Q122" i="138"/>
  <c r="R122" i="138"/>
  <c r="S122" i="138"/>
  <c r="T122" i="138"/>
  <c r="U122" i="138"/>
  <c r="V122" i="138"/>
  <c r="W122" i="138"/>
  <c r="D123" i="138"/>
  <c r="D112" i="147" s="1"/>
  <c r="E123" i="138"/>
  <c r="F123" i="138"/>
  <c r="G123" i="138"/>
  <c r="H123" i="138"/>
  <c r="I123" i="138"/>
  <c r="J123" i="138"/>
  <c r="K123" i="138"/>
  <c r="L123" i="138"/>
  <c r="M123" i="138"/>
  <c r="N123" i="138"/>
  <c r="O123" i="138"/>
  <c r="P123" i="138"/>
  <c r="Q123" i="138"/>
  <c r="R123" i="138"/>
  <c r="S123" i="138"/>
  <c r="T123" i="138"/>
  <c r="U123" i="138"/>
  <c r="V123" i="138"/>
  <c r="W123" i="138"/>
  <c r="D124" i="138"/>
  <c r="D113" i="147" s="1"/>
  <c r="E124" i="138"/>
  <c r="F124" i="138"/>
  <c r="G124" i="138"/>
  <c r="H124" i="138"/>
  <c r="I124" i="138"/>
  <c r="J124" i="138"/>
  <c r="K124" i="138"/>
  <c r="L124" i="138"/>
  <c r="M124" i="138"/>
  <c r="N124" i="138"/>
  <c r="O124" i="138"/>
  <c r="P124" i="138"/>
  <c r="Q124" i="138"/>
  <c r="R124" i="138"/>
  <c r="S124" i="138"/>
  <c r="T124" i="138"/>
  <c r="U124" i="138"/>
  <c r="V124" i="138"/>
  <c r="W124" i="138"/>
  <c r="D125" i="138"/>
  <c r="D114" i="147" s="1"/>
  <c r="E125" i="138"/>
  <c r="F125" i="138"/>
  <c r="G125" i="138"/>
  <c r="H125" i="138"/>
  <c r="I125" i="138"/>
  <c r="J125" i="138"/>
  <c r="K125" i="138"/>
  <c r="L125" i="138"/>
  <c r="M125" i="138"/>
  <c r="N125" i="138"/>
  <c r="O125" i="138"/>
  <c r="P125" i="138"/>
  <c r="Q125" i="138"/>
  <c r="R125" i="138"/>
  <c r="S125" i="138"/>
  <c r="T125" i="138"/>
  <c r="U125" i="138"/>
  <c r="V125" i="138"/>
  <c r="W125" i="138"/>
  <c r="D126" i="138"/>
  <c r="D115" i="147" s="1"/>
  <c r="E126" i="138"/>
  <c r="F126" i="138"/>
  <c r="G126" i="138"/>
  <c r="H126" i="138"/>
  <c r="I126" i="138"/>
  <c r="J126" i="138"/>
  <c r="K126" i="138"/>
  <c r="L126" i="138"/>
  <c r="M126" i="138"/>
  <c r="N126" i="138"/>
  <c r="O126" i="138"/>
  <c r="P126" i="138"/>
  <c r="Q126" i="138"/>
  <c r="R126" i="138"/>
  <c r="S126" i="138"/>
  <c r="T126" i="138"/>
  <c r="U126" i="138"/>
  <c r="V126" i="138"/>
  <c r="W126" i="138"/>
  <c r="E80" i="138"/>
  <c r="E152" i="138" s="1"/>
  <c r="F80" i="138"/>
  <c r="F152" i="138" s="1"/>
  <c r="G80" i="138"/>
  <c r="G152" i="138" s="1"/>
  <c r="H80" i="138"/>
  <c r="I80" i="138"/>
  <c r="I152" i="138" s="1"/>
  <c r="J80" i="138"/>
  <c r="K80" i="138"/>
  <c r="L80" i="138"/>
  <c r="M80" i="138"/>
  <c r="M152" i="138" s="1"/>
  <c r="N80" i="138"/>
  <c r="O80" i="138"/>
  <c r="P80" i="138"/>
  <c r="Q80" i="138"/>
  <c r="R80" i="138"/>
  <c r="S80" i="138"/>
  <c r="S152" i="138" s="1"/>
  <c r="T80" i="138"/>
  <c r="T152" i="138" s="1"/>
  <c r="U80" i="138"/>
  <c r="U152" i="138" s="1"/>
  <c r="V80" i="138"/>
  <c r="V152" i="138" s="1"/>
  <c r="W80" i="138"/>
  <c r="W152" i="138" s="1"/>
  <c r="D80" i="138"/>
  <c r="D152" i="138" s="1"/>
  <c r="A128" i="138"/>
  <c r="A129" i="138"/>
  <c r="A130" i="138"/>
  <c r="A131" i="138"/>
  <c r="A132" i="138"/>
  <c r="A133" i="138"/>
  <c r="A134" i="138"/>
  <c r="A127" i="138"/>
  <c r="W216" i="138"/>
  <c r="V216" i="138"/>
  <c r="U216" i="138"/>
  <c r="T216" i="138"/>
  <c r="S216" i="138"/>
  <c r="R216" i="138"/>
  <c r="Q216" i="138"/>
  <c r="P216" i="138"/>
  <c r="O216" i="138"/>
  <c r="N216" i="138"/>
  <c r="M216" i="138"/>
  <c r="L216" i="138"/>
  <c r="K216" i="138"/>
  <c r="J216" i="138"/>
  <c r="I216" i="138"/>
  <c r="H216" i="138"/>
  <c r="G216" i="138"/>
  <c r="F216" i="138"/>
  <c r="E216" i="138"/>
  <c r="D216" i="138"/>
  <c r="W138" i="138"/>
  <c r="V138" i="138"/>
  <c r="U138" i="138"/>
  <c r="T138" i="138"/>
  <c r="S138" i="138"/>
  <c r="R138" i="138"/>
  <c r="Q138" i="138"/>
  <c r="P138" i="138"/>
  <c r="O138" i="138"/>
  <c r="N138" i="138"/>
  <c r="M138" i="138"/>
  <c r="L138" i="138"/>
  <c r="K138" i="138"/>
  <c r="J138" i="138"/>
  <c r="I138" i="138"/>
  <c r="H138" i="138"/>
  <c r="G138" i="138"/>
  <c r="F138" i="138"/>
  <c r="E138" i="138"/>
  <c r="D138" i="138"/>
  <c r="C134" i="138"/>
  <c r="C133" i="138"/>
  <c r="C132" i="138"/>
  <c r="C131" i="138"/>
  <c r="C130" i="138"/>
  <c r="C129" i="138"/>
  <c r="C128" i="138"/>
  <c r="C127" i="138"/>
  <c r="E60" i="138"/>
  <c r="F60" i="138"/>
  <c r="G60" i="138"/>
  <c r="H60" i="138"/>
  <c r="I60" i="138"/>
  <c r="J60" i="138"/>
  <c r="K60" i="138"/>
  <c r="L60" i="138"/>
  <c r="M60" i="138"/>
  <c r="N60" i="138"/>
  <c r="O60" i="138"/>
  <c r="P60" i="138"/>
  <c r="Q60" i="138"/>
  <c r="R60" i="138"/>
  <c r="S60" i="138"/>
  <c r="T60" i="138"/>
  <c r="U60" i="138"/>
  <c r="V60" i="138"/>
  <c r="W60" i="138"/>
  <c r="D60" i="138"/>
  <c r="O5" i="51"/>
  <c r="M6" i="51"/>
  <c r="M7" i="51"/>
  <c r="M8" i="51"/>
  <c r="M9" i="51"/>
  <c r="M10" i="51"/>
  <c r="M11" i="51"/>
  <c r="M12" i="51"/>
  <c r="M13" i="51"/>
  <c r="M14" i="51"/>
  <c r="N5" i="51"/>
  <c r="M5" i="51"/>
  <c r="X32" i="129" l="1"/>
  <c r="X33" i="129" s="1"/>
  <c r="K58" i="51"/>
  <c r="K59" i="51" s="1"/>
  <c r="K53" i="51"/>
  <c r="K52" i="51"/>
  <c r="K51" i="51"/>
  <c r="K47" i="51"/>
  <c r="K50" i="51"/>
  <c r="K46" i="51"/>
  <c r="K42" i="51"/>
  <c r="K49" i="51"/>
  <c r="K48" i="51"/>
  <c r="K45" i="51"/>
  <c r="K44" i="51"/>
  <c r="K43" i="51"/>
  <c r="W115" i="147"/>
  <c r="W188" i="147"/>
  <c r="W187" i="147"/>
  <c r="W114" i="147"/>
  <c r="W186" i="147"/>
  <c r="W113" i="147"/>
  <c r="W112" i="147"/>
  <c r="W185" i="147"/>
  <c r="W184" i="147"/>
  <c r="W111" i="147"/>
  <c r="W183" i="147"/>
  <c r="W110" i="147"/>
  <c r="W109" i="147"/>
  <c r="W182" i="147"/>
  <c r="W181" i="147"/>
  <c r="W108" i="147"/>
  <c r="W107" i="147"/>
  <c r="W180" i="147"/>
  <c r="W106" i="147"/>
  <c r="W179" i="147"/>
  <c r="W178" i="147"/>
  <c r="W105" i="147"/>
  <c r="W103" i="147"/>
  <c r="W176" i="147"/>
  <c r="W175" i="147"/>
  <c r="W102" i="147"/>
  <c r="W174" i="147"/>
  <c r="W101" i="147"/>
  <c r="W100" i="147"/>
  <c r="W173" i="147"/>
  <c r="W116" i="147"/>
  <c r="W189" i="147"/>
  <c r="W99" i="147"/>
  <c r="W172" i="147"/>
  <c r="W94" i="147"/>
  <c r="W167" i="147"/>
  <c r="W166" i="147"/>
  <c r="W93" i="147"/>
  <c r="W92" i="147"/>
  <c r="W165" i="147"/>
  <c r="W91" i="147"/>
  <c r="W164" i="147"/>
  <c r="W90" i="147"/>
  <c r="W163" i="147"/>
  <c r="W89" i="147"/>
  <c r="W162" i="147"/>
  <c r="W160" i="147"/>
  <c r="W87" i="147"/>
  <c r="W86" i="147"/>
  <c r="W159" i="147"/>
  <c r="W85" i="147"/>
  <c r="W158" i="147"/>
  <c r="W88" i="147"/>
  <c r="W161" i="147"/>
  <c r="W84" i="147"/>
  <c r="W157" i="147"/>
  <c r="W83" i="147"/>
  <c r="W156" i="147"/>
  <c r="W82" i="147"/>
  <c r="W155" i="147"/>
  <c r="W154" i="147"/>
  <c r="W81" i="147"/>
  <c r="W80" i="147"/>
  <c r="W153" i="147"/>
  <c r="W104" i="147"/>
  <c r="W177" i="147"/>
  <c r="W152" i="147"/>
  <c r="W79" i="147"/>
  <c r="W78" i="147"/>
  <c r="W151" i="147"/>
  <c r="W77" i="147"/>
  <c r="W150" i="147"/>
  <c r="W76" i="147"/>
  <c r="W149" i="147"/>
  <c r="W148" i="147"/>
  <c r="W75" i="147"/>
  <c r="D170" i="147"/>
  <c r="D171" i="147"/>
  <c r="D168" i="147"/>
  <c r="D169" i="147"/>
  <c r="H186" i="147"/>
  <c r="H113" i="147"/>
  <c r="H182" i="147"/>
  <c r="H109" i="147"/>
  <c r="H106" i="147"/>
  <c r="H179" i="147"/>
  <c r="H102" i="147"/>
  <c r="H175" i="147"/>
  <c r="H100" i="147"/>
  <c r="H173" i="147"/>
  <c r="H93" i="147"/>
  <c r="H166" i="147"/>
  <c r="H165" i="147"/>
  <c r="H92" i="147"/>
  <c r="H163" i="147"/>
  <c r="H90" i="147"/>
  <c r="H87" i="147"/>
  <c r="H160" i="147"/>
  <c r="H158" i="147"/>
  <c r="H85" i="147"/>
  <c r="H157" i="147"/>
  <c r="H84" i="147"/>
  <c r="H155" i="147"/>
  <c r="H82" i="147"/>
  <c r="H81" i="147"/>
  <c r="H154" i="147"/>
  <c r="H177" i="147"/>
  <c r="H104" i="147"/>
  <c r="H150" i="147"/>
  <c r="H77" i="147"/>
  <c r="H148" i="147"/>
  <c r="H75" i="147"/>
  <c r="G115" i="147"/>
  <c r="G188" i="147"/>
  <c r="G114" i="147"/>
  <c r="G187" i="147"/>
  <c r="G186" i="147"/>
  <c r="G113" i="147"/>
  <c r="G184" i="147"/>
  <c r="G111" i="147"/>
  <c r="G109" i="147"/>
  <c r="G182" i="147"/>
  <c r="G181" i="147"/>
  <c r="G108" i="147"/>
  <c r="G180" i="147"/>
  <c r="G107" i="147"/>
  <c r="G103" i="147"/>
  <c r="G176" i="147"/>
  <c r="G102" i="147"/>
  <c r="G175" i="147"/>
  <c r="G173" i="147"/>
  <c r="G100" i="147"/>
  <c r="G116" i="147"/>
  <c r="G189" i="147"/>
  <c r="G167" i="147"/>
  <c r="G94" i="147"/>
  <c r="G93" i="147"/>
  <c r="G166" i="147"/>
  <c r="G92" i="147"/>
  <c r="G165" i="147"/>
  <c r="G163" i="147"/>
  <c r="G90" i="147"/>
  <c r="G162" i="147"/>
  <c r="G89" i="147"/>
  <c r="G159" i="147"/>
  <c r="G86" i="147"/>
  <c r="G85" i="147"/>
  <c r="G158" i="147"/>
  <c r="G157" i="147"/>
  <c r="G84" i="147"/>
  <c r="G155" i="147"/>
  <c r="G82" i="147"/>
  <c r="G81" i="147"/>
  <c r="G154" i="147"/>
  <c r="G177" i="147"/>
  <c r="G104" i="147"/>
  <c r="G79" i="147"/>
  <c r="G152" i="147"/>
  <c r="G150" i="147"/>
  <c r="G77" i="147"/>
  <c r="G75" i="147"/>
  <c r="G148" i="147"/>
  <c r="F187" i="147"/>
  <c r="F114" i="147"/>
  <c r="F183" i="147"/>
  <c r="F110" i="147"/>
  <c r="F108" i="147"/>
  <c r="F181" i="147"/>
  <c r="F179" i="147"/>
  <c r="F106" i="147"/>
  <c r="F102" i="147"/>
  <c r="F175" i="147"/>
  <c r="F189" i="147"/>
  <c r="F116" i="147"/>
  <c r="F93" i="147"/>
  <c r="F166" i="147"/>
  <c r="F92" i="147"/>
  <c r="F165" i="147"/>
  <c r="F163" i="147"/>
  <c r="F90" i="147"/>
  <c r="F160" i="147"/>
  <c r="F87" i="147"/>
  <c r="F85" i="147"/>
  <c r="F158" i="147"/>
  <c r="F84" i="147"/>
  <c r="F157" i="147"/>
  <c r="F177" i="147"/>
  <c r="F104" i="147"/>
  <c r="F151" i="147"/>
  <c r="F78" i="147"/>
  <c r="F150" i="147"/>
  <c r="F77" i="147"/>
  <c r="F148" i="147"/>
  <c r="F75" i="147"/>
  <c r="E188" i="147"/>
  <c r="E115" i="147"/>
  <c r="E113" i="147"/>
  <c r="E186" i="147"/>
  <c r="E111" i="147"/>
  <c r="E184" i="147"/>
  <c r="E108" i="147"/>
  <c r="E181" i="147"/>
  <c r="E106" i="147"/>
  <c r="E179" i="147"/>
  <c r="E105" i="147"/>
  <c r="E178" i="147"/>
  <c r="E101" i="147"/>
  <c r="E174" i="147"/>
  <c r="E94" i="147"/>
  <c r="E167" i="147"/>
  <c r="E92" i="147"/>
  <c r="E165" i="147"/>
  <c r="E90" i="147"/>
  <c r="E163" i="147"/>
  <c r="E89" i="147"/>
  <c r="E162" i="147"/>
  <c r="E159" i="147"/>
  <c r="E86" i="147"/>
  <c r="E158" i="147"/>
  <c r="E85" i="147"/>
  <c r="E157" i="147"/>
  <c r="E84" i="147"/>
  <c r="E177" i="147"/>
  <c r="E104" i="147"/>
  <c r="E152" i="147"/>
  <c r="E79" i="147"/>
  <c r="E150" i="147"/>
  <c r="E77" i="147"/>
  <c r="E149" i="147"/>
  <c r="E76" i="147"/>
  <c r="V187" i="147"/>
  <c r="V114" i="147"/>
  <c r="V185" i="147"/>
  <c r="V112" i="147"/>
  <c r="V184" i="147"/>
  <c r="V111" i="147"/>
  <c r="V109" i="147"/>
  <c r="V182" i="147"/>
  <c r="V105" i="147"/>
  <c r="V178" i="147"/>
  <c r="V116" i="147"/>
  <c r="V189" i="147"/>
  <c r="V94" i="147"/>
  <c r="V167" i="147"/>
  <c r="V92" i="147"/>
  <c r="V165" i="147"/>
  <c r="V162" i="147"/>
  <c r="V89" i="147"/>
  <c r="V86" i="147"/>
  <c r="V159" i="147"/>
  <c r="V161" i="147"/>
  <c r="V88" i="147"/>
  <c r="V156" i="147"/>
  <c r="V83" i="147"/>
  <c r="V82" i="147"/>
  <c r="V155" i="147"/>
  <c r="V177" i="147"/>
  <c r="V104" i="147"/>
  <c r="V77" i="147"/>
  <c r="V150" i="147"/>
  <c r="V76" i="147"/>
  <c r="V149" i="147"/>
  <c r="U112" i="147"/>
  <c r="U185" i="147"/>
  <c r="U181" i="147"/>
  <c r="U108" i="147"/>
  <c r="U176" i="147"/>
  <c r="U103" i="147"/>
  <c r="U116" i="147"/>
  <c r="U189" i="147"/>
  <c r="U94" i="147"/>
  <c r="U167" i="147"/>
  <c r="U163" i="147"/>
  <c r="U90" i="147"/>
  <c r="U87" i="147"/>
  <c r="U160" i="147"/>
  <c r="U161" i="147"/>
  <c r="U88" i="147"/>
  <c r="U80" i="147"/>
  <c r="U153" i="147"/>
  <c r="U151" i="147"/>
  <c r="U78" i="147"/>
  <c r="T188" i="147"/>
  <c r="T115" i="147"/>
  <c r="T111" i="147"/>
  <c r="T184" i="147"/>
  <c r="T180" i="147"/>
  <c r="T107" i="147"/>
  <c r="T105" i="147"/>
  <c r="T178" i="147"/>
  <c r="T102" i="147"/>
  <c r="T175" i="147"/>
  <c r="T173" i="147"/>
  <c r="T100" i="147"/>
  <c r="T116" i="147"/>
  <c r="T189" i="147"/>
  <c r="T99" i="147"/>
  <c r="T172" i="147"/>
  <c r="T94" i="147"/>
  <c r="T167" i="147"/>
  <c r="T91" i="147"/>
  <c r="T164" i="147"/>
  <c r="T89" i="147"/>
  <c r="T162" i="147"/>
  <c r="T161" i="147"/>
  <c r="T88" i="147"/>
  <c r="T83" i="147"/>
  <c r="T156" i="147"/>
  <c r="T80" i="147"/>
  <c r="T153" i="147"/>
  <c r="T79" i="147"/>
  <c r="T152" i="147"/>
  <c r="T150" i="147"/>
  <c r="T77" i="147"/>
  <c r="T148" i="147"/>
  <c r="T75" i="147"/>
  <c r="S115" i="147"/>
  <c r="S188" i="147"/>
  <c r="S114" i="147"/>
  <c r="S187" i="147"/>
  <c r="S111" i="147"/>
  <c r="S184" i="147"/>
  <c r="S109" i="147"/>
  <c r="S182" i="147"/>
  <c r="S107" i="147"/>
  <c r="S180" i="147"/>
  <c r="S105" i="147"/>
  <c r="S178" i="147"/>
  <c r="S174" i="147"/>
  <c r="S101" i="147"/>
  <c r="S93" i="147"/>
  <c r="S166" i="147"/>
  <c r="S165" i="147"/>
  <c r="S92" i="147"/>
  <c r="S90" i="147"/>
  <c r="S163" i="147"/>
  <c r="S86" i="147"/>
  <c r="S159" i="147"/>
  <c r="S161" i="147"/>
  <c r="S88" i="147"/>
  <c r="S156" i="147"/>
  <c r="S83" i="147"/>
  <c r="S155" i="147"/>
  <c r="S82" i="147"/>
  <c r="S153" i="147"/>
  <c r="S80" i="147"/>
  <c r="S78" i="147"/>
  <c r="S151" i="147"/>
  <c r="R188" i="147"/>
  <c r="R115" i="147"/>
  <c r="R179" i="147"/>
  <c r="R106" i="147"/>
  <c r="R94" i="147"/>
  <c r="R167" i="147"/>
  <c r="R88" i="147"/>
  <c r="R161" i="147"/>
  <c r="R104" i="147"/>
  <c r="R177" i="147"/>
  <c r="Q187" i="147"/>
  <c r="Q114" i="147"/>
  <c r="Q185" i="147"/>
  <c r="Q112" i="147"/>
  <c r="Q184" i="147"/>
  <c r="Q111" i="147"/>
  <c r="Q183" i="147"/>
  <c r="Q110" i="147"/>
  <c r="Q180" i="147"/>
  <c r="Q107" i="147"/>
  <c r="Q103" i="147"/>
  <c r="Q176" i="147"/>
  <c r="Q174" i="147"/>
  <c r="Q101" i="147"/>
  <c r="Q93" i="147"/>
  <c r="Q166" i="147"/>
  <c r="Q163" i="147"/>
  <c r="Q90" i="147"/>
  <c r="Q86" i="147"/>
  <c r="Q159" i="147"/>
  <c r="Q88" i="147"/>
  <c r="Q161" i="147"/>
  <c r="Q155" i="147"/>
  <c r="Q82" i="147"/>
  <c r="Q81" i="147"/>
  <c r="Q154" i="147"/>
  <c r="Q152" i="147"/>
  <c r="Q79" i="147"/>
  <c r="Q151" i="147"/>
  <c r="Q78" i="147"/>
  <c r="Q150" i="147"/>
  <c r="Q77" i="147"/>
  <c r="Q75" i="147"/>
  <c r="Q148" i="147"/>
  <c r="P188" i="147"/>
  <c r="P115" i="147"/>
  <c r="P114" i="147"/>
  <c r="P187" i="147"/>
  <c r="P186" i="147"/>
  <c r="P113" i="147"/>
  <c r="P185" i="147"/>
  <c r="P112" i="147"/>
  <c r="P184" i="147"/>
  <c r="P111" i="147"/>
  <c r="P183" i="147"/>
  <c r="P110" i="147"/>
  <c r="P109" i="147"/>
  <c r="P182" i="147"/>
  <c r="P108" i="147"/>
  <c r="P181" i="147"/>
  <c r="P107" i="147"/>
  <c r="P180" i="147"/>
  <c r="P179" i="147"/>
  <c r="P106" i="147"/>
  <c r="P178" i="147"/>
  <c r="P105" i="147"/>
  <c r="P103" i="147"/>
  <c r="P176" i="147"/>
  <c r="P102" i="147"/>
  <c r="P175" i="147"/>
  <c r="P101" i="147"/>
  <c r="P174" i="147"/>
  <c r="P173" i="147"/>
  <c r="P100" i="147"/>
  <c r="P116" i="147"/>
  <c r="P189" i="147"/>
  <c r="P99" i="147"/>
  <c r="P172" i="147"/>
  <c r="P94" i="147"/>
  <c r="P167" i="147"/>
  <c r="P93" i="147"/>
  <c r="P166" i="147"/>
  <c r="P92" i="147"/>
  <c r="P165" i="147"/>
  <c r="P164" i="147"/>
  <c r="P91" i="147"/>
  <c r="P163" i="147"/>
  <c r="P90" i="147"/>
  <c r="P162" i="147"/>
  <c r="P89" i="147"/>
  <c r="P87" i="147"/>
  <c r="P160" i="147"/>
  <c r="P86" i="147"/>
  <c r="P159" i="147"/>
  <c r="P85" i="147"/>
  <c r="P158" i="147"/>
  <c r="P161" i="147"/>
  <c r="P88" i="147"/>
  <c r="P84" i="147"/>
  <c r="P157" i="147"/>
  <c r="P156" i="147"/>
  <c r="P83" i="147"/>
  <c r="P155" i="147"/>
  <c r="P82" i="147"/>
  <c r="P154" i="147"/>
  <c r="P81" i="147"/>
  <c r="P80" i="147"/>
  <c r="P153" i="147"/>
  <c r="P177" i="147"/>
  <c r="P104" i="147"/>
  <c r="P152" i="147"/>
  <c r="P79" i="147"/>
  <c r="P151" i="147"/>
  <c r="P78" i="147"/>
  <c r="P150" i="147"/>
  <c r="P77" i="147"/>
  <c r="P149" i="147"/>
  <c r="P76" i="147"/>
  <c r="P75" i="147"/>
  <c r="P148" i="147"/>
  <c r="O188" i="147"/>
  <c r="O115" i="147"/>
  <c r="O187" i="147"/>
  <c r="O114" i="147"/>
  <c r="O186" i="147"/>
  <c r="O113" i="147"/>
  <c r="O185" i="147"/>
  <c r="O112" i="147"/>
  <c r="O111" i="147"/>
  <c r="O184" i="147"/>
  <c r="O110" i="147"/>
  <c r="O183" i="147"/>
  <c r="O182" i="147"/>
  <c r="O109" i="147"/>
  <c r="O181" i="147"/>
  <c r="O108" i="147"/>
  <c r="O107" i="147"/>
  <c r="O180" i="147"/>
  <c r="O179" i="147"/>
  <c r="O106" i="147"/>
  <c r="O105" i="147"/>
  <c r="O178" i="147"/>
  <c r="O103" i="147"/>
  <c r="O176" i="147"/>
  <c r="O175" i="147"/>
  <c r="O102" i="147"/>
  <c r="O101" i="147"/>
  <c r="O174" i="147"/>
  <c r="O173" i="147"/>
  <c r="O100" i="147"/>
  <c r="O116" i="147"/>
  <c r="O189" i="147"/>
  <c r="O99" i="147"/>
  <c r="O172" i="147"/>
  <c r="O167" i="147"/>
  <c r="O94" i="147"/>
  <c r="O93" i="147"/>
  <c r="O166" i="147"/>
  <c r="O165" i="147"/>
  <c r="O92" i="147"/>
  <c r="O164" i="147"/>
  <c r="O91" i="147"/>
  <c r="O163" i="147"/>
  <c r="O90" i="147"/>
  <c r="O89" i="147"/>
  <c r="O162" i="147"/>
  <c r="O160" i="147"/>
  <c r="O87" i="147"/>
  <c r="O86" i="147"/>
  <c r="O159" i="147"/>
  <c r="O158" i="147"/>
  <c r="O85" i="147"/>
  <c r="O88" i="147"/>
  <c r="O161" i="147"/>
  <c r="O84" i="147"/>
  <c r="O157" i="147"/>
  <c r="O83" i="147"/>
  <c r="O156" i="147"/>
  <c r="O155" i="147"/>
  <c r="O82" i="147"/>
  <c r="O154" i="147"/>
  <c r="O81" i="147"/>
  <c r="O80" i="147"/>
  <c r="O153" i="147"/>
  <c r="O104" i="147"/>
  <c r="O177" i="147"/>
  <c r="O79" i="147"/>
  <c r="O152" i="147"/>
  <c r="O151" i="147"/>
  <c r="O78" i="147"/>
  <c r="O77" i="147"/>
  <c r="O150" i="147"/>
  <c r="O149" i="147"/>
  <c r="O76" i="147"/>
  <c r="O148" i="147"/>
  <c r="O75" i="147"/>
  <c r="H172" i="147"/>
  <c r="H99" i="147"/>
  <c r="G110" i="147"/>
  <c r="G183" i="147"/>
  <c r="F173" i="147"/>
  <c r="F100" i="147"/>
  <c r="E189" i="147"/>
  <c r="E116" i="147"/>
  <c r="V99" i="147"/>
  <c r="V172" i="147"/>
  <c r="U91" i="147"/>
  <c r="U164" i="147"/>
  <c r="T182" i="147"/>
  <c r="T109" i="147"/>
  <c r="T76" i="147"/>
  <c r="T149" i="147"/>
  <c r="S79" i="147"/>
  <c r="S152" i="147"/>
  <c r="R92" i="147"/>
  <c r="R165" i="147"/>
  <c r="Q116" i="147"/>
  <c r="Q189" i="147"/>
  <c r="Q104" i="147"/>
  <c r="Q177" i="147"/>
  <c r="N172" i="147"/>
  <c r="N99" i="147"/>
  <c r="M115" i="147"/>
  <c r="M188" i="147"/>
  <c r="M187" i="147"/>
  <c r="M114" i="147"/>
  <c r="M186" i="147"/>
  <c r="M113" i="147"/>
  <c r="M112" i="147"/>
  <c r="M185" i="147"/>
  <c r="M184" i="147"/>
  <c r="M111" i="147"/>
  <c r="M183" i="147"/>
  <c r="M110" i="147"/>
  <c r="M182" i="147"/>
  <c r="M109" i="147"/>
  <c r="M108" i="147"/>
  <c r="M181" i="147"/>
  <c r="M180" i="147"/>
  <c r="M107" i="147"/>
  <c r="M179" i="147"/>
  <c r="M106" i="147"/>
  <c r="M178" i="147"/>
  <c r="M105" i="147"/>
  <c r="M103" i="147"/>
  <c r="M176" i="147"/>
  <c r="M175" i="147"/>
  <c r="M102" i="147"/>
  <c r="M101" i="147"/>
  <c r="M174" i="147"/>
  <c r="M173" i="147"/>
  <c r="M100" i="147"/>
  <c r="M189" i="147"/>
  <c r="M116" i="147"/>
  <c r="M99" i="147"/>
  <c r="M172" i="147"/>
  <c r="M94" i="147"/>
  <c r="M167" i="147"/>
  <c r="M166" i="147"/>
  <c r="M93" i="147"/>
  <c r="M165" i="147"/>
  <c r="M92" i="147"/>
  <c r="M164" i="147"/>
  <c r="M91" i="147"/>
  <c r="M163" i="147"/>
  <c r="M90" i="147"/>
  <c r="M89" i="147"/>
  <c r="M162" i="147"/>
  <c r="M160" i="147"/>
  <c r="M87" i="147"/>
  <c r="M86" i="147"/>
  <c r="M159" i="147"/>
  <c r="M85" i="147"/>
  <c r="M158" i="147"/>
  <c r="M88" i="147"/>
  <c r="M161" i="147"/>
  <c r="M84" i="147"/>
  <c r="M157" i="147"/>
  <c r="M83" i="147"/>
  <c r="M156" i="147"/>
  <c r="M82" i="147"/>
  <c r="M155" i="147"/>
  <c r="M81" i="147"/>
  <c r="M154" i="147"/>
  <c r="M80" i="147"/>
  <c r="M153" i="147"/>
  <c r="M177" i="147"/>
  <c r="M104" i="147"/>
  <c r="M79" i="147"/>
  <c r="M152" i="147"/>
  <c r="M151" i="147"/>
  <c r="M78" i="147"/>
  <c r="M150" i="147"/>
  <c r="M77" i="147"/>
  <c r="M76" i="147"/>
  <c r="M149" i="147"/>
  <c r="M75" i="147"/>
  <c r="M148" i="147"/>
  <c r="H111" i="147"/>
  <c r="H184" i="147"/>
  <c r="H151" i="147"/>
  <c r="H78" i="147"/>
  <c r="G172" i="147"/>
  <c r="G99" i="147"/>
  <c r="F80" i="147"/>
  <c r="F153" i="147"/>
  <c r="E182" i="147"/>
  <c r="E109" i="147"/>
  <c r="E82" i="147"/>
  <c r="E155" i="147"/>
  <c r="V103" i="147"/>
  <c r="V176" i="147"/>
  <c r="V148" i="147"/>
  <c r="V75" i="147"/>
  <c r="U85" i="147"/>
  <c r="U158" i="147"/>
  <c r="T176" i="147"/>
  <c r="T103" i="147"/>
  <c r="T154" i="147"/>
  <c r="T81" i="147"/>
  <c r="S185" i="147"/>
  <c r="S112" i="147"/>
  <c r="S75" i="147"/>
  <c r="S148" i="147"/>
  <c r="R159" i="147"/>
  <c r="R86" i="147"/>
  <c r="Q115" i="147"/>
  <c r="Q188" i="147"/>
  <c r="Q160" i="147"/>
  <c r="Q87" i="147"/>
  <c r="N174" i="147"/>
  <c r="N101" i="147"/>
  <c r="L188" i="147"/>
  <c r="L115" i="147"/>
  <c r="L187" i="147"/>
  <c r="L114" i="147"/>
  <c r="L186" i="147"/>
  <c r="L113" i="147"/>
  <c r="L185" i="147"/>
  <c r="L112" i="147"/>
  <c r="L184" i="147"/>
  <c r="L111" i="147"/>
  <c r="L183" i="147"/>
  <c r="L110" i="147"/>
  <c r="L182" i="147"/>
  <c r="L109" i="147"/>
  <c r="L181" i="147"/>
  <c r="L108" i="147"/>
  <c r="L107" i="147"/>
  <c r="L180" i="147"/>
  <c r="L179" i="147"/>
  <c r="L106" i="147"/>
  <c r="L178" i="147"/>
  <c r="L105" i="147"/>
  <c r="L176" i="147"/>
  <c r="L103" i="147"/>
  <c r="L102" i="147"/>
  <c r="L175" i="147"/>
  <c r="L101" i="147"/>
  <c r="L174" i="147"/>
  <c r="L173" i="147"/>
  <c r="L100" i="147"/>
  <c r="L189" i="147"/>
  <c r="L116" i="147"/>
  <c r="L172" i="147"/>
  <c r="L99" i="147"/>
  <c r="L167" i="147"/>
  <c r="L94" i="147"/>
  <c r="L166" i="147"/>
  <c r="L93" i="147"/>
  <c r="L165" i="147"/>
  <c r="L92" i="147"/>
  <c r="L164" i="147"/>
  <c r="L91" i="147"/>
  <c r="L163" i="147"/>
  <c r="L90" i="147"/>
  <c r="L89" i="147"/>
  <c r="L162" i="147"/>
  <c r="L160" i="147"/>
  <c r="L87" i="147"/>
  <c r="L86" i="147"/>
  <c r="L159" i="147"/>
  <c r="L158" i="147"/>
  <c r="L85" i="147"/>
  <c r="L161" i="147"/>
  <c r="L88" i="147"/>
  <c r="L84" i="147"/>
  <c r="L157" i="147"/>
  <c r="L156" i="147"/>
  <c r="L83" i="147"/>
  <c r="L155" i="147"/>
  <c r="L82" i="147"/>
  <c r="L81" i="147"/>
  <c r="L154" i="147"/>
  <c r="L80" i="147"/>
  <c r="L153" i="147"/>
  <c r="L177" i="147"/>
  <c r="L104" i="147"/>
  <c r="L152" i="147"/>
  <c r="L79" i="147"/>
  <c r="L151" i="147"/>
  <c r="L78" i="147"/>
  <c r="L150" i="147"/>
  <c r="L77" i="147"/>
  <c r="L149" i="147"/>
  <c r="L76" i="147"/>
  <c r="L148" i="147"/>
  <c r="L75" i="147"/>
  <c r="H178" i="147"/>
  <c r="H105" i="147"/>
  <c r="G76" i="147"/>
  <c r="G149" i="147"/>
  <c r="F112" i="147"/>
  <c r="F185" i="147"/>
  <c r="E164" i="147"/>
  <c r="E91" i="147"/>
  <c r="V91" i="147"/>
  <c r="V164" i="147"/>
  <c r="U187" i="147"/>
  <c r="U114" i="147"/>
  <c r="T160" i="147"/>
  <c r="T87" i="147"/>
  <c r="S108" i="147"/>
  <c r="S181" i="147"/>
  <c r="R189" i="147"/>
  <c r="R116" i="147"/>
  <c r="Q178" i="147"/>
  <c r="Q105" i="147"/>
  <c r="N184" i="147"/>
  <c r="N111" i="147"/>
  <c r="N78" i="147"/>
  <c r="N151" i="147"/>
  <c r="K188" i="147"/>
  <c r="K115" i="147"/>
  <c r="K110" i="147"/>
  <c r="K183" i="147"/>
  <c r="K178" i="147"/>
  <c r="K105" i="147"/>
  <c r="K102" i="147"/>
  <c r="K175" i="147"/>
  <c r="K174" i="147"/>
  <c r="K101" i="147"/>
  <c r="K173" i="147"/>
  <c r="K100" i="147"/>
  <c r="K116" i="147"/>
  <c r="K189" i="147"/>
  <c r="K94" i="147"/>
  <c r="K167" i="147"/>
  <c r="K93" i="147"/>
  <c r="K166" i="147"/>
  <c r="K165" i="147"/>
  <c r="K92" i="147"/>
  <c r="K91" i="147"/>
  <c r="K164" i="147"/>
  <c r="K163" i="147"/>
  <c r="K90" i="147"/>
  <c r="K162" i="147"/>
  <c r="K89" i="147"/>
  <c r="K160" i="147"/>
  <c r="K87" i="147"/>
  <c r="K159" i="147"/>
  <c r="K86" i="147"/>
  <c r="K85" i="147"/>
  <c r="K158" i="147"/>
  <c r="K88" i="147"/>
  <c r="K161" i="147"/>
  <c r="K84" i="147"/>
  <c r="K157" i="147"/>
  <c r="K156" i="147"/>
  <c r="K83" i="147"/>
  <c r="K155" i="147"/>
  <c r="K82" i="147"/>
  <c r="K81" i="147"/>
  <c r="K154" i="147"/>
  <c r="K80" i="147"/>
  <c r="K153" i="147"/>
  <c r="K104" i="147"/>
  <c r="K177" i="147"/>
  <c r="K152" i="147"/>
  <c r="K79" i="147"/>
  <c r="K78" i="147"/>
  <c r="K151" i="147"/>
  <c r="K77" i="147"/>
  <c r="K150" i="147"/>
  <c r="K149" i="147"/>
  <c r="K76" i="147"/>
  <c r="K148" i="147"/>
  <c r="K75" i="147"/>
  <c r="D142" i="147"/>
  <c r="G105" i="147"/>
  <c r="G178" i="147"/>
  <c r="F178" i="147"/>
  <c r="F105" i="147"/>
  <c r="F76" i="147"/>
  <c r="F149" i="147"/>
  <c r="E88" i="147"/>
  <c r="E161" i="147"/>
  <c r="V174" i="147"/>
  <c r="V101" i="147"/>
  <c r="U157" i="147"/>
  <c r="U84" i="147"/>
  <c r="T158" i="147"/>
  <c r="T85" i="147"/>
  <c r="S189" i="147"/>
  <c r="S116" i="147"/>
  <c r="R149" i="147"/>
  <c r="R76" i="147"/>
  <c r="Q165" i="147"/>
  <c r="Q92" i="147"/>
  <c r="N153" i="147"/>
  <c r="N80" i="147"/>
  <c r="K185" i="147"/>
  <c r="K112" i="147"/>
  <c r="J111" i="147"/>
  <c r="J184" i="147"/>
  <c r="J109" i="147"/>
  <c r="J182" i="147"/>
  <c r="J180" i="147"/>
  <c r="J107" i="147"/>
  <c r="J179" i="147"/>
  <c r="J106" i="147"/>
  <c r="J176" i="147"/>
  <c r="J103" i="147"/>
  <c r="J102" i="147"/>
  <c r="J175" i="147"/>
  <c r="J101" i="147"/>
  <c r="J174" i="147"/>
  <c r="J173" i="147"/>
  <c r="J100" i="147"/>
  <c r="J116" i="147"/>
  <c r="J189" i="147"/>
  <c r="J99" i="147"/>
  <c r="J172" i="147"/>
  <c r="J94" i="147"/>
  <c r="J167" i="147"/>
  <c r="J166" i="147"/>
  <c r="J93" i="147"/>
  <c r="J92" i="147"/>
  <c r="J165" i="147"/>
  <c r="J164" i="147"/>
  <c r="J91" i="147"/>
  <c r="J163" i="147"/>
  <c r="J90" i="147"/>
  <c r="J89" i="147"/>
  <c r="J162" i="147"/>
  <c r="J87" i="147"/>
  <c r="J160" i="147"/>
  <c r="J159" i="147"/>
  <c r="J86" i="147"/>
  <c r="J158" i="147"/>
  <c r="J85" i="147"/>
  <c r="J161" i="147"/>
  <c r="J88" i="147"/>
  <c r="J157" i="147"/>
  <c r="J84" i="147"/>
  <c r="J156" i="147"/>
  <c r="J83" i="147"/>
  <c r="J155" i="147"/>
  <c r="J82" i="147"/>
  <c r="J154" i="147"/>
  <c r="J81" i="147"/>
  <c r="J80" i="147"/>
  <c r="J153" i="147"/>
  <c r="J177" i="147"/>
  <c r="J104" i="147"/>
  <c r="J152" i="147"/>
  <c r="J79" i="147"/>
  <c r="J151" i="147"/>
  <c r="J78" i="147"/>
  <c r="J150" i="147"/>
  <c r="J77" i="147"/>
  <c r="J76" i="147"/>
  <c r="J149" i="147"/>
  <c r="J148" i="147"/>
  <c r="J75" i="147"/>
  <c r="H188" i="147"/>
  <c r="H115" i="147"/>
  <c r="H114" i="147"/>
  <c r="H187" i="147"/>
  <c r="H185" i="147"/>
  <c r="H112" i="147"/>
  <c r="H110" i="147"/>
  <c r="H183" i="147"/>
  <c r="H108" i="147"/>
  <c r="H181" i="147"/>
  <c r="H107" i="147"/>
  <c r="H180" i="147"/>
  <c r="H176" i="147"/>
  <c r="H103" i="147"/>
  <c r="H101" i="147"/>
  <c r="H174" i="147"/>
  <c r="H116" i="147"/>
  <c r="H189" i="147"/>
  <c r="H94" i="147"/>
  <c r="H167" i="147"/>
  <c r="H91" i="147"/>
  <c r="H164" i="147"/>
  <c r="H162" i="147"/>
  <c r="H89" i="147"/>
  <c r="H86" i="147"/>
  <c r="H159" i="147"/>
  <c r="H161" i="147"/>
  <c r="H88" i="147"/>
  <c r="H156" i="147"/>
  <c r="H83" i="147"/>
  <c r="H153" i="147"/>
  <c r="H80" i="147"/>
  <c r="H152" i="147"/>
  <c r="H79" i="147"/>
  <c r="H76" i="147"/>
  <c r="H149" i="147"/>
  <c r="H152" i="138"/>
  <c r="G185" i="147"/>
  <c r="G112" i="147"/>
  <c r="G179" i="147"/>
  <c r="G106" i="147"/>
  <c r="G101" i="147"/>
  <c r="G174" i="147"/>
  <c r="G91" i="147"/>
  <c r="G164" i="147"/>
  <c r="G160" i="147"/>
  <c r="G87" i="147"/>
  <c r="G88" i="147"/>
  <c r="G161" i="147"/>
  <c r="G83" i="147"/>
  <c r="G156" i="147"/>
  <c r="G80" i="147"/>
  <c r="G153" i="147"/>
  <c r="G78" i="147"/>
  <c r="G151" i="147"/>
  <c r="F188" i="147"/>
  <c r="F115" i="147"/>
  <c r="F113" i="147"/>
  <c r="F186" i="147"/>
  <c r="F184" i="147"/>
  <c r="F111" i="147"/>
  <c r="F182" i="147"/>
  <c r="F109" i="147"/>
  <c r="F107" i="147"/>
  <c r="F180" i="147"/>
  <c r="F103" i="147"/>
  <c r="F176" i="147"/>
  <c r="F174" i="147"/>
  <c r="F101" i="147"/>
  <c r="F172" i="147"/>
  <c r="F99" i="147"/>
  <c r="F94" i="147"/>
  <c r="F167" i="147"/>
  <c r="F91" i="147"/>
  <c r="F164" i="147"/>
  <c r="F162" i="147"/>
  <c r="F89" i="147"/>
  <c r="F159" i="147"/>
  <c r="F86" i="147"/>
  <c r="F161" i="147"/>
  <c r="F88" i="147"/>
  <c r="F83" i="147"/>
  <c r="F156" i="147"/>
  <c r="F155" i="147"/>
  <c r="F82" i="147"/>
  <c r="F154" i="147"/>
  <c r="F81" i="147"/>
  <c r="F79" i="147"/>
  <c r="F152" i="147"/>
  <c r="E114" i="147"/>
  <c r="E187" i="147"/>
  <c r="E112" i="147"/>
  <c r="E185" i="147"/>
  <c r="E110" i="147"/>
  <c r="E183" i="147"/>
  <c r="E180" i="147"/>
  <c r="E107" i="147"/>
  <c r="E176" i="147"/>
  <c r="E103" i="147"/>
  <c r="E175" i="147"/>
  <c r="E102" i="147"/>
  <c r="E173" i="147"/>
  <c r="E100" i="147"/>
  <c r="E99" i="147"/>
  <c r="E172" i="147"/>
  <c r="E166" i="147"/>
  <c r="E93" i="147"/>
  <c r="E160" i="147"/>
  <c r="E87" i="147"/>
  <c r="E83" i="147"/>
  <c r="E156" i="147"/>
  <c r="E154" i="147"/>
  <c r="E81" i="147"/>
  <c r="E80" i="147"/>
  <c r="E153" i="147"/>
  <c r="E78" i="147"/>
  <c r="E151" i="147"/>
  <c r="E148" i="147"/>
  <c r="E75" i="147"/>
  <c r="V188" i="147"/>
  <c r="V115" i="147"/>
  <c r="V186" i="147"/>
  <c r="V113" i="147"/>
  <c r="V183" i="147"/>
  <c r="V110" i="147"/>
  <c r="V181" i="147"/>
  <c r="V108" i="147"/>
  <c r="V180" i="147"/>
  <c r="V107" i="147"/>
  <c r="V179" i="147"/>
  <c r="V106" i="147"/>
  <c r="V102" i="147"/>
  <c r="V175" i="147"/>
  <c r="V100" i="147"/>
  <c r="V173" i="147"/>
  <c r="V166" i="147"/>
  <c r="V93" i="147"/>
  <c r="V90" i="147"/>
  <c r="V163" i="147"/>
  <c r="V87" i="147"/>
  <c r="V160" i="147"/>
  <c r="V158" i="147"/>
  <c r="V85" i="147"/>
  <c r="V157" i="147"/>
  <c r="V84" i="147"/>
  <c r="V81" i="147"/>
  <c r="V154" i="147"/>
  <c r="V80" i="147"/>
  <c r="V153" i="147"/>
  <c r="V79" i="147"/>
  <c r="V152" i="147"/>
  <c r="V78" i="147"/>
  <c r="V151" i="147"/>
  <c r="U115" i="147"/>
  <c r="U188" i="147"/>
  <c r="U186" i="147"/>
  <c r="U113" i="147"/>
  <c r="U184" i="147"/>
  <c r="U111" i="147"/>
  <c r="U110" i="147"/>
  <c r="U183" i="147"/>
  <c r="U182" i="147"/>
  <c r="U109" i="147"/>
  <c r="U107" i="147"/>
  <c r="U180" i="147"/>
  <c r="U179" i="147"/>
  <c r="U106" i="147"/>
  <c r="U105" i="147"/>
  <c r="U178" i="147"/>
  <c r="U102" i="147"/>
  <c r="U175" i="147"/>
  <c r="U174" i="147"/>
  <c r="U101" i="147"/>
  <c r="U100" i="147"/>
  <c r="U173" i="147"/>
  <c r="U172" i="147"/>
  <c r="U99" i="147"/>
  <c r="U166" i="147"/>
  <c r="U93" i="147"/>
  <c r="U165" i="147"/>
  <c r="U92" i="147"/>
  <c r="U162" i="147"/>
  <c r="U89" i="147"/>
  <c r="U86" i="147"/>
  <c r="U159" i="147"/>
  <c r="U156" i="147"/>
  <c r="U83" i="147"/>
  <c r="U82" i="147"/>
  <c r="U155" i="147"/>
  <c r="U81" i="147"/>
  <c r="U154" i="147"/>
  <c r="U177" i="147"/>
  <c r="U104" i="147"/>
  <c r="U152" i="147"/>
  <c r="U79" i="147"/>
  <c r="U77" i="147"/>
  <c r="U150" i="147"/>
  <c r="U149" i="147"/>
  <c r="U76" i="147"/>
  <c r="U75" i="147"/>
  <c r="U148" i="147"/>
  <c r="T187" i="147"/>
  <c r="T114" i="147"/>
  <c r="T186" i="147"/>
  <c r="T113" i="147"/>
  <c r="T112" i="147"/>
  <c r="T185" i="147"/>
  <c r="T183" i="147"/>
  <c r="T110" i="147"/>
  <c r="T181" i="147"/>
  <c r="T108" i="147"/>
  <c r="T179" i="147"/>
  <c r="T106" i="147"/>
  <c r="T174" i="147"/>
  <c r="T101" i="147"/>
  <c r="T166" i="147"/>
  <c r="T93" i="147"/>
  <c r="T92" i="147"/>
  <c r="T165" i="147"/>
  <c r="T163" i="147"/>
  <c r="T90" i="147"/>
  <c r="T86" i="147"/>
  <c r="T159" i="147"/>
  <c r="T157" i="147"/>
  <c r="T84" i="147"/>
  <c r="T82" i="147"/>
  <c r="T155" i="147"/>
  <c r="T177" i="147"/>
  <c r="T104" i="147"/>
  <c r="T151" i="147"/>
  <c r="T78" i="147"/>
  <c r="S113" i="147"/>
  <c r="S186" i="147"/>
  <c r="S110" i="147"/>
  <c r="S183" i="147"/>
  <c r="S106" i="147"/>
  <c r="S179" i="147"/>
  <c r="S176" i="147"/>
  <c r="S103" i="147"/>
  <c r="S175" i="147"/>
  <c r="S102" i="147"/>
  <c r="S100" i="147"/>
  <c r="S173" i="147"/>
  <c r="S99" i="147"/>
  <c r="S172" i="147"/>
  <c r="S167" i="147"/>
  <c r="S94" i="147"/>
  <c r="S164" i="147"/>
  <c r="S91" i="147"/>
  <c r="S89" i="147"/>
  <c r="S162" i="147"/>
  <c r="S87" i="147"/>
  <c r="S160" i="147"/>
  <c r="S85" i="147"/>
  <c r="S158" i="147"/>
  <c r="S84" i="147"/>
  <c r="S157" i="147"/>
  <c r="S154" i="147"/>
  <c r="S81" i="147"/>
  <c r="S177" i="147"/>
  <c r="S104" i="147"/>
  <c r="S77" i="147"/>
  <c r="S150" i="147"/>
  <c r="S76" i="147"/>
  <c r="S149" i="147"/>
  <c r="R187" i="147"/>
  <c r="R114" i="147"/>
  <c r="R186" i="147"/>
  <c r="R113" i="147"/>
  <c r="R185" i="147"/>
  <c r="R112" i="147"/>
  <c r="R111" i="147"/>
  <c r="R184" i="147"/>
  <c r="R183" i="147"/>
  <c r="R110" i="147"/>
  <c r="R182" i="147"/>
  <c r="R109" i="147"/>
  <c r="R181" i="147"/>
  <c r="R108" i="147"/>
  <c r="R180" i="147"/>
  <c r="R107" i="147"/>
  <c r="R105" i="147"/>
  <c r="R178" i="147"/>
  <c r="R176" i="147"/>
  <c r="R103" i="147"/>
  <c r="R175" i="147"/>
  <c r="R102" i="147"/>
  <c r="R101" i="147"/>
  <c r="R174" i="147"/>
  <c r="R173" i="147"/>
  <c r="R100" i="147"/>
  <c r="R172" i="147"/>
  <c r="R99" i="147"/>
  <c r="R93" i="147"/>
  <c r="R166" i="147"/>
  <c r="R164" i="147"/>
  <c r="R91" i="147"/>
  <c r="R90" i="147"/>
  <c r="R163" i="147"/>
  <c r="R162" i="147"/>
  <c r="R89" i="147"/>
  <c r="R160" i="147"/>
  <c r="R87" i="147"/>
  <c r="R158" i="147"/>
  <c r="R85" i="147"/>
  <c r="R84" i="147"/>
  <c r="R157" i="147"/>
  <c r="R83" i="147"/>
  <c r="R156" i="147"/>
  <c r="R155" i="147"/>
  <c r="R82" i="147"/>
  <c r="R154" i="147"/>
  <c r="R81" i="147"/>
  <c r="R153" i="147"/>
  <c r="R80" i="147"/>
  <c r="R152" i="147"/>
  <c r="R79" i="147"/>
  <c r="R151" i="147"/>
  <c r="R78" i="147"/>
  <c r="R150" i="147"/>
  <c r="R77" i="147"/>
  <c r="R148" i="147"/>
  <c r="R75" i="147"/>
  <c r="R152" i="138"/>
  <c r="Q186" i="147"/>
  <c r="Q113" i="147"/>
  <c r="Q182" i="147"/>
  <c r="Q109" i="147"/>
  <c r="Q181" i="147"/>
  <c r="Q108" i="147"/>
  <c r="Q179" i="147"/>
  <c r="Q106" i="147"/>
  <c r="Q102" i="147"/>
  <c r="Q175" i="147"/>
  <c r="Q100" i="147"/>
  <c r="Q173" i="147"/>
  <c r="Q172" i="147"/>
  <c r="Q99" i="147"/>
  <c r="Q167" i="147"/>
  <c r="Q94" i="147"/>
  <c r="Q164" i="147"/>
  <c r="Q91" i="147"/>
  <c r="Q162" i="147"/>
  <c r="Q89" i="147"/>
  <c r="Q85" i="147"/>
  <c r="Q158" i="147"/>
  <c r="Q157" i="147"/>
  <c r="Q84" i="147"/>
  <c r="Q156" i="147"/>
  <c r="Q83" i="147"/>
  <c r="Q80" i="147"/>
  <c r="Q153" i="147"/>
  <c r="Q149" i="147"/>
  <c r="Q76" i="147"/>
  <c r="N115" i="147"/>
  <c r="N188" i="147"/>
  <c r="N114" i="147"/>
  <c r="N187" i="147"/>
  <c r="N186" i="147"/>
  <c r="N113" i="147"/>
  <c r="N112" i="147"/>
  <c r="N185" i="147"/>
  <c r="N183" i="147"/>
  <c r="N110" i="147"/>
  <c r="N182" i="147"/>
  <c r="N109" i="147"/>
  <c r="N181" i="147"/>
  <c r="N108" i="147"/>
  <c r="N180" i="147"/>
  <c r="N107" i="147"/>
  <c r="N106" i="147"/>
  <c r="N179" i="147"/>
  <c r="N105" i="147"/>
  <c r="N178" i="147"/>
  <c r="N176" i="147"/>
  <c r="N103" i="147"/>
  <c r="N175" i="147"/>
  <c r="N102" i="147"/>
  <c r="N173" i="147"/>
  <c r="N100" i="147"/>
  <c r="N116" i="147"/>
  <c r="N189" i="147"/>
  <c r="N94" i="147"/>
  <c r="N167" i="147"/>
  <c r="N93" i="147"/>
  <c r="N166" i="147"/>
  <c r="N165" i="147"/>
  <c r="N92" i="147"/>
  <c r="N164" i="147"/>
  <c r="N91" i="147"/>
  <c r="N90" i="147"/>
  <c r="N163" i="147"/>
  <c r="N89" i="147"/>
  <c r="N162" i="147"/>
  <c r="N160" i="147"/>
  <c r="N87" i="147"/>
  <c r="N86" i="147"/>
  <c r="N159" i="147"/>
  <c r="N158" i="147"/>
  <c r="N85" i="147"/>
  <c r="N88" i="147"/>
  <c r="N161" i="147"/>
  <c r="N157" i="147"/>
  <c r="N84" i="147"/>
  <c r="N156" i="147"/>
  <c r="N83" i="147"/>
  <c r="N155" i="147"/>
  <c r="N82" i="147"/>
  <c r="N81" i="147"/>
  <c r="N154" i="147"/>
  <c r="N104" i="147"/>
  <c r="N177" i="147"/>
  <c r="N79" i="147"/>
  <c r="N152" i="147"/>
  <c r="N77" i="147"/>
  <c r="N150" i="147"/>
  <c r="N149" i="147"/>
  <c r="N76" i="147"/>
  <c r="N75" i="147"/>
  <c r="N148" i="147"/>
  <c r="K114" i="147"/>
  <c r="K187" i="147"/>
  <c r="K113" i="147"/>
  <c r="K186" i="147"/>
  <c r="K184" i="147"/>
  <c r="K111" i="147"/>
  <c r="K182" i="147"/>
  <c r="K109" i="147"/>
  <c r="K181" i="147"/>
  <c r="K108" i="147"/>
  <c r="K107" i="147"/>
  <c r="K180" i="147"/>
  <c r="K106" i="147"/>
  <c r="K179" i="147"/>
  <c r="K103" i="147"/>
  <c r="K176" i="147"/>
  <c r="K172" i="147"/>
  <c r="K99" i="147"/>
  <c r="J188" i="147"/>
  <c r="J115" i="147"/>
  <c r="J187" i="147"/>
  <c r="J114" i="147"/>
  <c r="J113" i="147"/>
  <c r="J186" i="147"/>
  <c r="J112" i="147"/>
  <c r="J185" i="147"/>
  <c r="J183" i="147"/>
  <c r="J110" i="147"/>
  <c r="J108" i="147"/>
  <c r="J181" i="147"/>
  <c r="J178" i="147"/>
  <c r="J105" i="147"/>
  <c r="I188" i="147"/>
  <c r="I115" i="147"/>
  <c r="I187" i="147"/>
  <c r="I114" i="147"/>
  <c r="I113" i="147"/>
  <c r="I186" i="147"/>
  <c r="I185" i="147"/>
  <c r="I112" i="147"/>
  <c r="I184" i="147"/>
  <c r="I111" i="147"/>
  <c r="I110" i="147"/>
  <c r="I183" i="147"/>
  <c r="I109" i="147"/>
  <c r="I182" i="147"/>
  <c r="I181" i="147"/>
  <c r="I108" i="147"/>
  <c r="I180" i="147"/>
  <c r="I107" i="147"/>
  <c r="I106" i="147"/>
  <c r="I179" i="147"/>
  <c r="I105" i="147"/>
  <c r="I178" i="147"/>
  <c r="I103" i="147"/>
  <c r="I176" i="147"/>
  <c r="I175" i="147"/>
  <c r="I102" i="147"/>
  <c r="I101" i="147"/>
  <c r="I174" i="147"/>
  <c r="I173" i="147"/>
  <c r="I100" i="147"/>
  <c r="I116" i="147"/>
  <c r="I189" i="147"/>
  <c r="I99" i="147"/>
  <c r="I172" i="147"/>
  <c r="I94" i="147"/>
  <c r="I167" i="147"/>
  <c r="I93" i="147"/>
  <c r="I166" i="147"/>
  <c r="I165" i="147"/>
  <c r="I92" i="147"/>
  <c r="I164" i="147"/>
  <c r="I91" i="147"/>
  <c r="I90" i="147"/>
  <c r="I163" i="147"/>
  <c r="I162" i="147"/>
  <c r="I89" i="147"/>
  <c r="I87" i="147"/>
  <c r="I160" i="147"/>
  <c r="I86" i="147"/>
  <c r="I159" i="147"/>
  <c r="I85" i="147"/>
  <c r="I158" i="147"/>
  <c r="I88" i="147"/>
  <c r="I161" i="147"/>
  <c r="I157" i="147"/>
  <c r="I84" i="147"/>
  <c r="I156" i="147"/>
  <c r="I83" i="147"/>
  <c r="I82" i="147"/>
  <c r="I155" i="147"/>
  <c r="I81" i="147"/>
  <c r="I154" i="147"/>
  <c r="I153" i="147"/>
  <c r="I80" i="147"/>
  <c r="I177" i="147"/>
  <c r="I104" i="147"/>
  <c r="I79" i="147"/>
  <c r="I152" i="147"/>
  <c r="I78" i="147"/>
  <c r="I151" i="147"/>
  <c r="I150" i="147"/>
  <c r="I77" i="147"/>
  <c r="I149" i="147"/>
  <c r="I76" i="147"/>
  <c r="I148" i="147"/>
  <c r="I75" i="147"/>
  <c r="AA20" i="132"/>
  <c r="K69" i="51" l="1"/>
  <c r="K60" i="51"/>
  <c r="K68" i="51"/>
  <c r="K67" i="51"/>
  <c r="K61" i="51"/>
  <c r="K71" i="51"/>
  <c r="K70" i="51"/>
  <c r="K66" i="51"/>
  <c r="K63" i="51"/>
  <c r="K62" i="51"/>
  <c r="K65" i="51"/>
  <c r="K64" i="51"/>
  <c r="L142" i="147"/>
  <c r="P215" i="147"/>
  <c r="R142" i="147"/>
  <c r="M215" i="147"/>
  <c r="P142" i="147"/>
  <c r="Q215" i="147"/>
  <c r="F215" i="147"/>
  <c r="I142" i="147"/>
  <c r="R215" i="147"/>
  <c r="N215" i="147"/>
  <c r="U142" i="147"/>
  <c r="J142" i="147"/>
  <c r="O142" i="147"/>
  <c r="S215" i="147"/>
  <c r="H142" i="147"/>
  <c r="Q142" i="147"/>
  <c r="U215" i="147"/>
  <c r="N142" i="147"/>
  <c r="E142" i="147"/>
  <c r="J215" i="147"/>
  <c r="V142" i="147"/>
  <c r="O215" i="147"/>
  <c r="H215" i="147"/>
  <c r="V215" i="147"/>
  <c r="G215" i="147"/>
  <c r="K142" i="147"/>
  <c r="W142" i="147"/>
  <c r="W215" i="147"/>
  <c r="M142" i="147"/>
  <c r="G142" i="147"/>
  <c r="K215" i="147"/>
  <c r="L215" i="147"/>
  <c r="T142" i="147"/>
  <c r="T215" i="147"/>
  <c r="F142" i="147"/>
  <c r="S142" i="147"/>
  <c r="I215" i="147"/>
  <c r="D215" i="147"/>
  <c r="E215" i="147"/>
  <c r="D3" i="133" l="1"/>
  <c r="E3" i="133"/>
  <c r="F3" i="133"/>
  <c r="G3" i="133"/>
  <c r="H3" i="133"/>
  <c r="I3" i="133"/>
  <c r="J3" i="133"/>
  <c r="K3" i="133"/>
  <c r="L3" i="133"/>
  <c r="M3" i="133"/>
  <c r="N3" i="133"/>
  <c r="M3" i="134" s="1"/>
  <c r="O3" i="133"/>
  <c r="N3" i="134" s="1"/>
  <c r="P3" i="133"/>
  <c r="O3" i="134" s="1"/>
  <c r="Q3" i="133"/>
  <c r="R3" i="133"/>
  <c r="Q3" i="134" s="1"/>
  <c r="S3" i="133"/>
  <c r="R3" i="134" s="1"/>
  <c r="T3" i="133"/>
  <c r="S3" i="134" s="1"/>
  <c r="U3" i="133"/>
  <c r="T3" i="134" s="1"/>
  <c r="V3" i="133"/>
  <c r="U3" i="134" s="1"/>
  <c r="W3" i="133"/>
  <c r="D4" i="133"/>
  <c r="E4" i="133"/>
  <c r="F4" i="133"/>
  <c r="G4" i="133"/>
  <c r="H4" i="133"/>
  <c r="G4" i="134" s="1"/>
  <c r="I4" i="133"/>
  <c r="H4" i="134" s="1"/>
  <c r="J4" i="133"/>
  <c r="I4" i="134" s="1"/>
  <c r="K4" i="133"/>
  <c r="J4" i="134" s="1"/>
  <c r="L4" i="133"/>
  <c r="M4" i="133"/>
  <c r="N4" i="133"/>
  <c r="O4" i="133"/>
  <c r="N4" i="134" s="1"/>
  <c r="P4" i="133"/>
  <c r="O4" i="134" s="1"/>
  <c r="Q4" i="133"/>
  <c r="P4" i="134" s="1"/>
  <c r="R4" i="133"/>
  <c r="Q4" i="134" s="1"/>
  <c r="S4" i="133"/>
  <c r="R4" i="134" s="1"/>
  <c r="T4" i="133"/>
  <c r="S4" i="134" s="1"/>
  <c r="U4" i="133"/>
  <c r="V4" i="133"/>
  <c r="W4" i="133"/>
  <c r="D5" i="133"/>
  <c r="E5" i="133"/>
  <c r="F5" i="133"/>
  <c r="G5" i="133"/>
  <c r="H5" i="133"/>
  <c r="I5" i="133"/>
  <c r="J5" i="133"/>
  <c r="K5" i="133"/>
  <c r="L5" i="133"/>
  <c r="M5" i="133"/>
  <c r="N5" i="133"/>
  <c r="O5" i="133"/>
  <c r="P5" i="133"/>
  <c r="Q5" i="133"/>
  <c r="R5" i="133"/>
  <c r="S5" i="133"/>
  <c r="T5" i="133"/>
  <c r="U5" i="133"/>
  <c r="V5" i="133"/>
  <c r="W5" i="133"/>
  <c r="D6" i="133"/>
  <c r="E6" i="133"/>
  <c r="F6" i="133"/>
  <c r="G6" i="133"/>
  <c r="H6" i="133"/>
  <c r="I6" i="133"/>
  <c r="J6" i="133"/>
  <c r="K6" i="133"/>
  <c r="L6" i="133"/>
  <c r="M6" i="133"/>
  <c r="N6" i="133"/>
  <c r="M6" i="134" s="1"/>
  <c r="O6" i="133"/>
  <c r="N6" i="134" s="1"/>
  <c r="P6" i="133"/>
  <c r="Q6" i="133"/>
  <c r="R6" i="133"/>
  <c r="S6" i="133"/>
  <c r="T6" i="133"/>
  <c r="S6" i="134" s="1"/>
  <c r="U6" i="133"/>
  <c r="V6" i="133"/>
  <c r="W6" i="133"/>
  <c r="D7" i="133"/>
  <c r="E7" i="133"/>
  <c r="F7" i="133"/>
  <c r="G7" i="133"/>
  <c r="H7" i="133"/>
  <c r="I7" i="133"/>
  <c r="J7" i="133"/>
  <c r="K7" i="133"/>
  <c r="L7" i="133"/>
  <c r="M7" i="133"/>
  <c r="L7" i="134" s="1"/>
  <c r="N7" i="133"/>
  <c r="M7" i="134" s="1"/>
  <c r="O7" i="133"/>
  <c r="N7" i="134" s="1"/>
  <c r="P7" i="133"/>
  <c r="O7" i="134" s="1"/>
  <c r="Q7" i="133"/>
  <c r="P7" i="134" s="1"/>
  <c r="R7" i="133"/>
  <c r="S7" i="133"/>
  <c r="R7" i="134" s="1"/>
  <c r="T7" i="133"/>
  <c r="U7" i="133"/>
  <c r="T7" i="134" s="1"/>
  <c r="V7" i="133"/>
  <c r="W7" i="133"/>
  <c r="D8" i="133"/>
  <c r="E8" i="133"/>
  <c r="F8" i="133"/>
  <c r="G8" i="133"/>
  <c r="H8" i="133"/>
  <c r="G8" i="134" s="1"/>
  <c r="I8" i="133"/>
  <c r="H8" i="134" s="1"/>
  <c r="J8" i="133"/>
  <c r="I8" i="134" s="1"/>
  <c r="K8" i="133"/>
  <c r="J8" i="134" s="1"/>
  <c r="L8" i="133"/>
  <c r="M8" i="133"/>
  <c r="N8" i="133"/>
  <c r="O8" i="133"/>
  <c r="N8" i="134" s="1"/>
  <c r="P8" i="133"/>
  <c r="Q8" i="133"/>
  <c r="R8" i="133"/>
  <c r="S8" i="133"/>
  <c r="T8" i="133"/>
  <c r="U8" i="133"/>
  <c r="T8" i="134" s="1"/>
  <c r="V8" i="133"/>
  <c r="U8" i="134" s="1"/>
  <c r="W8" i="133"/>
  <c r="D10" i="133"/>
  <c r="E10" i="133"/>
  <c r="F10" i="133"/>
  <c r="G10" i="133"/>
  <c r="H10" i="133"/>
  <c r="I10" i="133"/>
  <c r="J10" i="133"/>
  <c r="K10" i="133"/>
  <c r="L10" i="133"/>
  <c r="M10" i="133"/>
  <c r="N10" i="133"/>
  <c r="M10" i="134" s="1"/>
  <c r="O10" i="133"/>
  <c r="N10" i="134" s="1"/>
  <c r="P10" i="133"/>
  <c r="Q10" i="133"/>
  <c r="P10" i="134" s="1"/>
  <c r="R10" i="133"/>
  <c r="Q10" i="134" s="1"/>
  <c r="S10" i="133"/>
  <c r="R10" i="134" s="1"/>
  <c r="T10" i="133"/>
  <c r="S10" i="134" s="1"/>
  <c r="U10" i="133"/>
  <c r="V10" i="133"/>
  <c r="W10" i="133"/>
  <c r="D12" i="133"/>
  <c r="E12" i="133"/>
  <c r="F12" i="133"/>
  <c r="G12" i="133"/>
  <c r="H12" i="133"/>
  <c r="I12" i="133"/>
  <c r="J12" i="133"/>
  <c r="K12" i="133"/>
  <c r="L12" i="133"/>
  <c r="M12" i="133"/>
  <c r="N12" i="133"/>
  <c r="O12" i="133"/>
  <c r="N12" i="134" s="1"/>
  <c r="P12" i="133"/>
  <c r="O12" i="134" s="1"/>
  <c r="Q12" i="133"/>
  <c r="P12" i="134" s="1"/>
  <c r="R12" i="133"/>
  <c r="Q12" i="134" s="1"/>
  <c r="S12" i="133"/>
  <c r="R12" i="134" s="1"/>
  <c r="T12" i="133"/>
  <c r="U12" i="133"/>
  <c r="V12" i="133"/>
  <c r="W12" i="133"/>
  <c r="D13" i="133"/>
  <c r="E13" i="133"/>
  <c r="F13" i="133"/>
  <c r="G13" i="133"/>
  <c r="H13" i="133"/>
  <c r="I13" i="133"/>
  <c r="J13" i="133"/>
  <c r="K13" i="133"/>
  <c r="L13" i="133"/>
  <c r="M13" i="133"/>
  <c r="L13" i="134" s="1"/>
  <c r="N13" i="133"/>
  <c r="M13" i="134" s="1"/>
  <c r="O13" i="133"/>
  <c r="N13" i="134" s="1"/>
  <c r="P13" i="133"/>
  <c r="O13" i="134" s="1"/>
  <c r="Q13" i="133"/>
  <c r="R13" i="133"/>
  <c r="S13" i="133"/>
  <c r="T13" i="133"/>
  <c r="U13" i="133"/>
  <c r="V13" i="133"/>
  <c r="W13" i="133"/>
  <c r="D14" i="133"/>
  <c r="E14" i="133"/>
  <c r="F14" i="133"/>
  <c r="G14" i="133"/>
  <c r="H14" i="133"/>
  <c r="I14" i="133"/>
  <c r="J14" i="133"/>
  <c r="K14" i="133"/>
  <c r="L14" i="133"/>
  <c r="M14" i="133"/>
  <c r="L14" i="134" s="1"/>
  <c r="N14" i="133"/>
  <c r="M14" i="134" s="1"/>
  <c r="O14" i="133"/>
  <c r="N14" i="134" s="1"/>
  <c r="P14" i="133"/>
  <c r="O14" i="134" s="1"/>
  <c r="Q14" i="133"/>
  <c r="R14" i="133"/>
  <c r="S14" i="133"/>
  <c r="R14" i="134" s="1"/>
  <c r="T14" i="133"/>
  <c r="S14" i="134" s="1"/>
  <c r="U14" i="133"/>
  <c r="T14" i="134" s="1"/>
  <c r="V14" i="133"/>
  <c r="W14" i="133"/>
  <c r="D19" i="133"/>
  <c r="E19" i="133"/>
  <c r="F19" i="133"/>
  <c r="G19" i="133"/>
  <c r="H19" i="133"/>
  <c r="I19" i="133"/>
  <c r="J19" i="133"/>
  <c r="K19" i="133"/>
  <c r="L19" i="133"/>
  <c r="M19" i="133"/>
  <c r="N19" i="133"/>
  <c r="O19" i="133"/>
  <c r="P19" i="133"/>
  <c r="O19" i="134" s="1"/>
  <c r="Q19" i="133"/>
  <c r="R19" i="133"/>
  <c r="S19" i="133"/>
  <c r="R19" i="134" s="1"/>
  <c r="T19" i="133"/>
  <c r="S19" i="134" s="1"/>
  <c r="U19" i="133"/>
  <c r="T19" i="134" s="1"/>
  <c r="V19" i="133"/>
  <c r="U19" i="134" s="1"/>
  <c r="W19" i="133"/>
  <c r="D20" i="133"/>
  <c r="E20" i="133"/>
  <c r="F20" i="133"/>
  <c r="G20" i="133"/>
  <c r="H20" i="133"/>
  <c r="G20" i="134" s="1"/>
  <c r="I20" i="133"/>
  <c r="H20" i="134" s="1"/>
  <c r="J20" i="133"/>
  <c r="I20" i="134" s="1"/>
  <c r="K20" i="133"/>
  <c r="J20" i="134" s="1"/>
  <c r="L20" i="133"/>
  <c r="M20" i="133"/>
  <c r="N20" i="133"/>
  <c r="O20" i="133"/>
  <c r="N20" i="134" s="1"/>
  <c r="P20" i="133"/>
  <c r="O20" i="134" s="1"/>
  <c r="Q20" i="133"/>
  <c r="P20" i="134" s="1"/>
  <c r="R20" i="133"/>
  <c r="Q20" i="134" s="1"/>
  <c r="S20" i="133"/>
  <c r="R20" i="134" s="1"/>
  <c r="T20" i="133"/>
  <c r="S20" i="134" s="1"/>
  <c r="U20" i="133"/>
  <c r="V20" i="133"/>
  <c r="W20" i="133"/>
  <c r="D23" i="133"/>
  <c r="E23" i="133"/>
  <c r="F23" i="133"/>
  <c r="G23" i="133"/>
  <c r="H23" i="133"/>
  <c r="I23" i="133"/>
  <c r="J23" i="133"/>
  <c r="K23" i="133"/>
  <c r="L23" i="133"/>
  <c r="M23" i="133"/>
  <c r="L23" i="134" s="1"/>
  <c r="N23" i="133"/>
  <c r="M23" i="134" s="1"/>
  <c r="O23" i="133"/>
  <c r="N23" i="134" s="1"/>
  <c r="P23" i="133"/>
  <c r="O23" i="134" s="1"/>
  <c r="Q23" i="133"/>
  <c r="P23" i="134" s="1"/>
  <c r="R23" i="133"/>
  <c r="S23" i="133"/>
  <c r="R23" i="134" s="1"/>
  <c r="T23" i="133"/>
  <c r="U23" i="133"/>
  <c r="T23" i="134" s="1"/>
  <c r="V23" i="133"/>
  <c r="W23" i="133"/>
  <c r="E24" i="133"/>
  <c r="F24" i="133"/>
  <c r="G24" i="133"/>
  <c r="H24" i="133"/>
  <c r="G24" i="134" s="1"/>
  <c r="I24" i="133"/>
  <c r="H24" i="134" s="1"/>
  <c r="J24" i="133"/>
  <c r="I24" i="134" s="1"/>
  <c r="K24" i="133"/>
  <c r="J24" i="134" s="1"/>
  <c r="L24" i="133"/>
  <c r="M24" i="133"/>
  <c r="N24" i="133"/>
  <c r="O24" i="133"/>
  <c r="N24" i="134" s="1"/>
  <c r="P24" i="133"/>
  <c r="Q24" i="133"/>
  <c r="P24" i="134" s="1"/>
  <c r="R24" i="133"/>
  <c r="S24" i="133"/>
  <c r="R24" i="134" s="1"/>
  <c r="T24" i="133"/>
  <c r="S24" i="134" s="1"/>
  <c r="U24" i="133"/>
  <c r="V24" i="133"/>
  <c r="W24" i="133"/>
  <c r="D31" i="133"/>
  <c r="E31" i="133"/>
  <c r="F31" i="133"/>
  <c r="G31" i="133"/>
  <c r="H31" i="133"/>
  <c r="I31" i="133"/>
  <c r="J31" i="133"/>
  <c r="K31" i="133"/>
  <c r="L31" i="133"/>
  <c r="M31" i="133"/>
  <c r="N31" i="133"/>
  <c r="M31" i="134" s="1"/>
  <c r="O31" i="133"/>
  <c r="N31" i="134" s="1"/>
  <c r="P31" i="133"/>
  <c r="O31" i="134" s="1"/>
  <c r="Q31" i="133"/>
  <c r="R31" i="133"/>
  <c r="S31" i="133"/>
  <c r="T31" i="133"/>
  <c r="S31" i="134" s="1"/>
  <c r="U31" i="133"/>
  <c r="T31" i="134" s="1"/>
  <c r="V31" i="133"/>
  <c r="U31" i="134" s="1"/>
  <c r="W31" i="133"/>
  <c r="D32" i="133"/>
  <c r="E32" i="133"/>
  <c r="F32" i="133"/>
  <c r="G32" i="133"/>
  <c r="H32" i="133"/>
  <c r="G32" i="134" s="1"/>
  <c r="I32" i="133"/>
  <c r="H32" i="134" s="1"/>
  <c r="J32" i="133"/>
  <c r="I32" i="134" s="1"/>
  <c r="K32" i="133"/>
  <c r="L32" i="133"/>
  <c r="M32" i="133"/>
  <c r="N32" i="133"/>
  <c r="O32" i="133"/>
  <c r="P32" i="133"/>
  <c r="Q32" i="133"/>
  <c r="P32" i="134" s="1"/>
  <c r="R32" i="133"/>
  <c r="S32" i="133"/>
  <c r="T32" i="133"/>
  <c r="S32" i="134" s="1"/>
  <c r="U32" i="133"/>
  <c r="T32" i="134" s="1"/>
  <c r="V32" i="133"/>
  <c r="U32" i="134" s="1"/>
  <c r="W32" i="133"/>
  <c r="D33" i="133"/>
  <c r="E33" i="133"/>
  <c r="F33" i="133"/>
  <c r="G33" i="133"/>
  <c r="H33" i="133"/>
  <c r="I33" i="133"/>
  <c r="J33" i="133"/>
  <c r="K33" i="133"/>
  <c r="L33" i="133"/>
  <c r="M33" i="133"/>
  <c r="N33" i="133"/>
  <c r="M33" i="134" s="1"/>
  <c r="O33" i="133"/>
  <c r="N33" i="134" s="1"/>
  <c r="P33" i="133"/>
  <c r="O33" i="134" s="1"/>
  <c r="Q33" i="133"/>
  <c r="R33" i="133"/>
  <c r="S33" i="133"/>
  <c r="T33" i="133"/>
  <c r="U33" i="133"/>
  <c r="V33" i="133"/>
  <c r="W33" i="133"/>
  <c r="D34" i="133"/>
  <c r="E34" i="133"/>
  <c r="F34" i="133"/>
  <c r="G34" i="133"/>
  <c r="H34" i="133"/>
  <c r="I34" i="133"/>
  <c r="J34" i="133"/>
  <c r="K34" i="133"/>
  <c r="L34" i="133"/>
  <c r="K34" i="134" s="1"/>
  <c r="M34" i="133"/>
  <c r="L34" i="134" s="1"/>
  <c r="N34" i="133"/>
  <c r="M34" i="134" s="1"/>
  <c r="O34" i="133"/>
  <c r="N34" i="134" s="1"/>
  <c r="P34" i="133"/>
  <c r="O34" i="134" s="1"/>
  <c r="Q34" i="133"/>
  <c r="P34" i="134" s="1"/>
  <c r="R34" i="133"/>
  <c r="Q34" i="134" s="1"/>
  <c r="S34" i="133"/>
  <c r="T34" i="133"/>
  <c r="S34" i="134" s="1"/>
  <c r="U34" i="133"/>
  <c r="V34" i="133"/>
  <c r="W34" i="133"/>
  <c r="D35" i="133"/>
  <c r="E35" i="133"/>
  <c r="F35" i="133"/>
  <c r="G35" i="133"/>
  <c r="H35" i="133"/>
  <c r="I35" i="133"/>
  <c r="J35" i="133"/>
  <c r="K35" i="133"/>
  <c r="L35" i="133"/>
  <c r="M35" i="133"/>
  <c r="L35" i="134" s="1"/>
  <c r="N35" i="133"/>
  <c r="O35" i="133"/>
  <c r="P35" i="133"/>
  <c r="O35" i="134" s="1"/>
  <c r="Q35" i="133"/>
  <c r="P35" i="134" s="1"/>
  <c r="R35" i="133"/>
  <c r="Q35" i="134" s="1"/>
  <c r="S35" i="133"/>
  <c r="R35" i="134" s="1"/>
  <c r="T35" i="133"/>
  <c r="U35" i="133"/>
  <c r="T35" i="134" s="1"/>
  <c r="V35" i="133"/>
  <c r="U35" i="134" s="1"/>
  <c r="W35" i="133"/>
  <c r="D37" i="133"/>
  <c r="E37" i="133"/>
  <c r="F37" i="133"/>
  <c r="G37" i="133"/>
  <c r="H37" i="133"/>
  <c r="G37" i="134" s="1"/>
  <c r="I37" i="133"/>
  <c r="H37" i="134" s="1"/>
  <c r="J37" i="133"/>
  <c r="I37" i="134" s="1"/>
  <c r="K37" i="133"/>
  <c r="J37" i="134" s="1"/>
  <c r="L37" i="133"/>
  <c r="K37" i="134" s="1"/>
  <c r="M37" i="133"/>
  <c r="L37" i="134" s="1"/>
  <c r="N37" i="133"/>
  <c r="M37" i="134" s="1"/>
  <c r="O37" i="133"/>
  <c r="N37" i="134" s="1"/>
  <c r="P37" i="133"/>
  <c r="O37" i="134" s="1"/>
  <c r="Q37" i="133"/>
  <c r="R37" i="133"/>
  <c r="S37" i="133"/>
  <c r="T37" i="133"/>
  <c r="U37" i="133"/>
  <c r="V37" i="133"/>
  <c r="W37" i="133"/>
  <c r="D38" i="133"/>
  <c r="E38" i="133"/>
  <c r="F38" i="133"/>
  <c r="G38" i="133"/>
  <c r="H38" i="133"/>
  <c r="I38" i="133"/>
  <c r="J38" i="133"/>
  <c r="K38" i="133"/>
  <c r="L38" i="133"/>
  <c r="K38" i="134" s="1"/>
  <c r="M38" i="133"/>
  <c r="L38" i="134" s="1"/>
  <c r="N38" i="133"/>
  <c r="M38" i="134" s="1"/>
  <c r="O38" i="133"/>
  <c r="N38" i="134" s="1"/>
  <c r="P38" i="133"/>
  <c r="O38" i="134" s="1"/>
  <c r="Q38" i="133"/>
  <c r="P38" i="134" s="1"/>
  <c r="R38" i="133"/>
  <c r="S38" i="133"/>
  <c r="R38" i="134" s="1"/>
  <c r="T38" i="133"/>
  <c r="U38" i="133"/>
  <c r="T38" i="134" s="1"/>
  <c r="V38" i="133"/>
  <c r="W38" i="133"/>
  <c r="D39" i="133"/>
  <c r="E39" i="133"/>
  <c r="F39" i="133"/>
  <c r="G39" i="133"/>
  <c r="H39" i="133"/>
  <c r="I39" i="133"/>
  <c r="J39" i="133"/>
  <c r="K39" i="133"/>
  <c r="L39" i="133"/>
  <c r="M39" i="133"/>
  <c r="L39" i="134" s="1"/>
  <c r="N39" i="133"/>
  <c r="O39" i="133"/>
  <c r="N39" i="134" s="1"/>
  <c r="P39" i="133"/>
  <c r="O39" i="134" s="1"/>
  <c r="Q39" i="133"/>
  <c r="P39" i="134" s="1"/>
  <c r="R39" i="133"/>
  <c r="Q39" i="134" s="1"/>
  <c r="S39" i="133"/>
  <c r="T39" i="133"/>
  <c r="U39" i="133"/>
  <c r="V39" i="133"/>
  <c r="W39" i="133"/>
  <c r="D40" i="133"/>
  <c r="E40" i="133"/>
  <c r="F40" i="133"/>
  <c r="G40" i="133"/>
  <c r="H40" i="133"/>
  <c r="G40" i="134" s="1"/>
  <c r="I40" i="133"/>
  <c r="H40" i="134" s="1"/>
  <c r="J40" i="133"/>
  <c r="I40" i="134" s="1"/>
  <c r="K40" i="133"/>
  <c r="J40" i="134" s="1"/>
  <c r="L40" i="133"/>
  <c r="M40" i="133"/>
  <c r="N40" i="133"/>
  <c r="O40" i="133"/>
  <c r="N40" i="134" s="1"/>
  <c r="P40" i="133"/>
  <c r="O40" i="134" s="1"/>
  <c r="Q40" i="133"/>
  <c r="R40" i="133"/>
  <c r="S40" i="133"/>
  <c r="T40" i="133"/>
  <c r="S40" i="134" s="1"/>
  <c r="U40" i="133"/>
  <c r="V40" i="133"/>
  <c r="W40" i="133"/>
  <c r="D41" i="133"/>
  <c r="E41" i="133"/>
  <c r="F41" i="133"/>
  <c r="G41" i="133"/>
  <c r="H41" i="133"/>
  <c r="G41" i="134" s="1"/>
  <c r="I41" i="133"/>
  <c r="H41" i="134" s="1"/>
  <c r="J41" i="133"/>
  <c r="I41" i="134" s="1"/>
  <c r="K41" i="133"/>
  <c r="J41" i="134" s="1"/>
  <c r="L41" i="133"/>
  <c r="K41" i="134" s="1"/>
  <c r="M41" i="133"/>
  <c r="L41" i="134" s="1"/>
  <c r="N41" i="133"/>
  <c r="M41" i="134" s="1"/>
  <c r="O41" i="133"/>
  <c r="N41" i="134" s="1"/>
  <c r="P41" i="133"/>
  <c r="O41" i="134" s="1"/>
  <c r="Q41" i="133"/>
  <c r="R41" i="133"/>
  <c r="S41" i="133"/>
  <c r="T41" i="133"/>
  <c r="U41" i="133"/>
  <c r="V41" i="133"/>
  <c r="W41" i="133"/>
  <c r="D42" i="133"/>
  <c r="E42" i="133"/>
  <c r="F42" i="133"/>
  <c r="G42" i="133"/>
  <c r="H42" i="133"/>
  <c r="I42" i="133"/>
  <c r="J42" i="133"/>
  <c r="K42" i="133"/>
  <c r="L42" i="133"/>
  <c r="K42" i="134" s="1"/>
  <c r="M42" i="133"/>
  <c r="L42" i="134" s="1"/>
  <c r="N42" i="133"/>
  <c r="M42" i="134" s="1"/>
  <c r="O42" i="133"/>
  <c r="N42" i="134" s="1"/>
  <c r="P42" i="133"/>
  <c r="O42" i="134" s="1"/>
  <c r="Q42" i="133"/>
  <c r="R42" i="133"/>
  <c r="S42" i="133"/>
  <c r="T42" i="133"/>
  <c r="U42" i="133"/>
  <c r="V42" i="133"/>
  <c r="W42" i="133"/>
  <c r="D43" i="133"/>
  <c r="E43" i="133"/>
  <c r="F43" i="133"/>
  <c r="G43" i="133"/>
  <c r="H43" i="133"/>
  <c r="I43" i="133"/>
  <c r="J43" i="133"/>
  <c r="K43" i="133"/>
  <c r="L43" i="133"/>
  <c r="M43" i="133"/>
  <c r="N43" i="133"/>
  <c r="M43" i="134" s="1"/>
  <c r="O43" i="133"/>
  <c r="N43" i="134" s="1"/>
  <c r="P43" i="133"/>
  <c r="O43" i="134" s="1"/>
  <c r="Q43" i="133"/>
  <c r="P43" i="134" s="1"/>
  <c r="R43" i="133"/>
  <c r="S43" i="133"/>
  <c r="T43" i="133"/>
  <c r="U43" i="133"/>
  <c r="T43" i="134" s="1"/>
  <c r="V43" i="133"/>
  <c r="U43" i="134" s="1"/>
  <c r="W43" i="133"/>
  <c r="D44" i="133"/>
  <c r="E44" i="133"/>
  <c r="F44" i="133"/>
  <c r="G44" i="133"/>
  <c r="H44" i="133"/>
  <c r="G44" i="134" s="1"/>
  <c r="I44" i="133"/>
  <c r="H44" i="134" s="1"/>
  <c r="J44" i="133"/>
  <c r="I44" i="134" s="1"/>
  <c r="K44" i="133"/>
  <c r="J44" i="134" s="1"/>
  <c r="L44" i="133"/>
  <c r="M44" i="133"/>
  <c r="N44" i="133"/>
  <c r="O44" i="133"/>
  <c r="N44" i="134" s="1"/>
  <c r="P44" i="133"/>
  <c r="Q44" i="133"/>
  <c r="R44" i="133"/>
  <c r="Q44" i="134" s="1"/>
  <c r="S44" i="133"/>
  <c r="R44" i="134" s="1"/>
  <c r="T44" i="133"/>
  <c r="U44" i="133"/>
  <c r="V44" i="133"/>
  <c r="U44" i="134" s="1"/>
  <c r="W44" i="133"/>
  <c r="D50" i="133"/>
  <c r="E50" i="133"/>
  <c r="F50" i="133"/>
  <c r="G50" i="133"/>
  <c r="H50" i="133"/>
  <c r="I50" i="133"/>
  <c r="J50" i="133"/>
  <c r="K50" i="133"/>
  <c r="L50" i="133"/>
  <c r="M50" i="133"/>
  <c r="N50" i="133"/>
  <c r="O50" i="133"/>
  <c r="P50" i="133"/>
  <c r="Q50" i="133"/>
  <c r="R50" i="133"/>
  <c r="S50" i="133"/>
  <c r="T50" i="133"/>
  <c r="U50" i="133"/>
  <c r="V50" i="133"/>
  <c r="W50" i="133"/>
  <c r="N5" i="134" l="1"/>
  <c r="L44" i="134"/>
  <c r="L202" i="134"/>
  <c r="L123" i="134"/>
  <c r="L200" i="134"/>
  <c r="L121" i="134"/>
  <c r="L40" i="134"/>
  <c r="L198" i="134"/>
  <c r="L119" i="134"/>
  <c r="L195" i="134"/>
  <c r="L116" i="134"/>
  <c r="L113" i="134"/>
  <c r="L192" i="134"/>
  <c r="L112" i="134"/>
  <c r="L191" i="134"/>
  <c r="L32" i="134"/>
  <c r="L111" i="134"/>
  <c r="L190" i="134"/>
  <c r="L189" i="134"/>
  <c r="L110" i="134"/>
  <c r="L24" i="134"/>
  <c r="L103" i="134"/>
  <c r="L182" i="134"/>
  <c r="L20" i="134"/>
  <c r="L99" i="134"/>
  <c r="L178" i="134"/>
  <c r="L177" i="134"/>
  <c r="L98" i="134"/>
  <c r="L8" i="134"/>
  <c r="L87" i="134"/>
  <c r="L166" i="134"/>
  <c r="L165" i="134"/>
  <c r="L86" i="134"/>
  <c r="L85" i="134"/>
  <c r="L164" i="134"/>
  <c r="L163" i="134"/>
  <c r="L84" i="134"/>
  <c r="L4" i="134"/>
  <c r="L162" i="134"/>
  <c r="L83" i="134"/>
  <c r="L161" i="134"/>
  <c r="L82" i="134"/>
  <c r="L33" i="134"/>
  <c r="K44" i="134"/>
  <c r="K123" i="134"/>
  <c r="K202" i="134"/>
  <c r="K43" i="134"/>
  <c r="K122" i="134"/>
  <c r="K201" i="134"/>
  <c r="K121" i="134"/>
  <c r="K200" i="134"/>
  <c r="K120" i="134"/>
  <c r="K199" i="134"/>
  <c r="K40" i="134"/>
  <c r="K198" i="134"/>
  <c r="K119" i="134"/>
  <c r="K39" i="134"/>
  <c r="K197" i="134"/>
  <c r="K118" i="134"/>
  <c r="K196" i="134"/>
  <c r="K117" i="134"/>
  <c r="K116" i="134"/>
  <c r="K195" i="134"/>
  <c r="K35" i="134"/>
  <c r="K193" i="134"/>
  <c r="K114" i="134"/>
  <c r="K192" i="134"/>
  <c r="K113" i="134"/>
  <c r="K33" i="134"/>
  <c r="K191" i="134"/>
  <c r="K112" i="134"/>
  <c r="K32" i="134"/>
  <c r="K190" i="134"/>
  <c r="K111" i="134"/>
  <c r="K31" i="134"/>
  <c r="K189" i="134"/>
  <c r="K110" i="134"/>
  <c r="K24" i="134"/>
  <c r="K182" i="134"/>
  <c r="K103" i="134"/>
  <c r="K23" i="134"/>
  <c r="K181" i="134"/>
  <c r="K102" i="134"/>
  <c r="K20" i="134"/>
  <c r="K178" i="134"/>
  <c r="K99" i="134"/>
  <c r="K19" i="134"/>
  <c r="K177" i="134"/>
  <c r="K98" i="134"/>
  <c r="K14" i="134"/>
  <c r="K172" i="134"/>
  <c r="K93" i="134"/>
  <c r="K13" i="134"/>
  <c r="K92" i="134"/>
  <c r="K171" i="134"/>
  <c r="K12" i="134"/>
  <c r="K91" i="134"/>
  <c r="K170" i="134"/>
  <c r="K10" i="134"/>
  <c r="K168" i="134"/>
  <c r="K89" i="134"/>
  <c r="K8" i="134"/>
  <c r="K87" i="134"/>
  <c r="K166" i="134"/>
  <c r="K7" i="134"/>
  <c r="K86" i="134"/>
  <c r="K165" i="134"/>
  <c r="K6" i="134"/>
  <c r="K164" i="134"/>
  <c r="K85" i="134"/>
  <c r="K5" i="134"/>
  <c r="K163" i="134"/>
  <c r="K84" i="134"/>
  <c r="K4" i="134"/>
  <c r="K162" i="134"/>
  <c r="K83" i="134"/>
  <c r="K3" i="134"/>
  <c r="K161" i="134"/>
  <c r="K82" i="134"/>
  <c r="J202" i="134"/>
  <c r="J123" i="134"/>
  <c r="J43" i="134"/>
  <c r="J201" i="134"/>
  <c r="J122" i="134"/>
  <c r="J42" i="134"/>
  <c r="J200" i="134"/>
  <c r="J121" i="134"/>
  <c r="J120" i="134"/>
  <c r="J199" i="134"/>
  <c r="J198" i="134"/>
  <c r="J119" i="134"/>
  <c r="J39" i="134"/>
  <c r="J118" i="134"/>
  <c r="J197" i="134"/>
  <c r="J38" i="134"/>
  <c r="J196" i="134"/>
  <c r="J117" i="134"/>
  <c r="J116" i="134"/>
  <c r="J195" i="134"/>
  <c r="J35" i="134"/>
  <c r="J114" i="134"/>
  <c r="J193" i="134"/>
  <c r="J34" i="134"/>
  <c r="J113" i="134"/>
  <c r="J192" i="134"/>
  <c r="J33" i="134"/>
  <c r="J112" i="134"/>
  <c r="J191" i="134"/>
  <c r="J111" i="134"/>
  <c r="J190" i="134"/>
  <c r="J31" i="134"/>
  <c r="J110" i="134"/>
  <c r="J189" i="134"/>
  <c r="J182" i="134"/>
  <c r="J103" i="134"/>
  <c r="J23" i="134"/>
  <c r="J181" i="134"/>
  <c r="J102" i="134"/>
  <c r="J178" i="134"/>
  <c r="J99" i="134"/>
  <c r="J19" i="134"/>
  <c r="J177" i="134"/>
  <c r="J98" i="134"/>
  <c r="J14" i="134"/>
  <c r="J93" i="134"/>
  <c r="J172" i="134"/>
  <c r="J13" i="134"/>
  <c r="J92" i="134"/>
  <c r="J171" i="134"/>
  <c r="J91" i="134"/>
  <c r="J170" i="134"/>
  <c r="J10" i="134"/>
  <c r="J89" i="134"/>
  <c r="J168" i="134"/>
  <c r="J87" i="134"/>
  <c r="J166" i="134"/>
  <c r="J7" i="134"/>
  <c r="J86" i="134"/>
  <c r="J165" i="134"/>
  <c r="J6" i="134"/>
  <c r="J164" i="134"/>
  <c r="J85" i="134"/>
  <c r="J5" i="134"/>
  <c r="J163" i="134"/>
  <c r="J84" i="134"/>
  <c r="J162" i="134"/>
  <c r="J83" i="134"/>
  <c r="J3" i="134"/>
  <c r="J161" i="134"/>
  <c r="J82" i="134"/>
  <c r="L31" i="134"/>
  <c r="I123" i="134"/>
  <c r="I202" i="134"/>
  <c r="I43" i="134"/>
  <c r="I122" i="134"/>
  <c r="I201" i="134"/>
  <c r="I42" i="134"/>
  <c r="I121" i="134"/>
  <c r="I200" i="134"/>
  <c r="I199" i="134"/>
  <c r="I120" i="134"/>
  <c r="I198" i="134"/>
  <c r="I119" i="134"/>
  <c r="I39" i="134"/>
  <c r="I197" i="134"/>
  <c r="I118" i="134"/>
  <c r="I38" i="134"/>
  <c r="I196" i="134"/>
  <c r="I117" i="134"/>
  <c r="I195" i="134"/>
  <c r="I116" i="134"/>
  <c r="I35" i="134"/>
  <c r="I114" i="134"/>
  <c r="I193" i="134"/>
  <c r="I34" i="134"/>
  <c r="I192" i="134"/>
  <c r="I113" i="134"/>
  <c r="I33" i="134"/>
  <c r="I191" i="134"/>
  <c r="I112" i="134"/>
  <c r="I190" i="134"/>
  <c r="I111" i="134"/>
  <c r="I31" i="134"/>
  <c r="I189" i="134"/>
  <c r="I110" i="134"/>
  <c r="I103" i="134"/>
  <c r="I182" i="134"/>
  <c r="I23" i="134"/>
  <c r="I181" i="134"/>
  <c r="I102" i="134"/>
  <c r="I99" i="134"/>
  <c r="I178" i="134"/>
  <c r="I19" i="134"/>
  <c r="I98" i="134"/>
  <c r="I177" i="134"/>
  <c r="I14" i="134"/>
  <c r="I172" i="134"/>
  <c r="I93" i="134"/>
  <c r="I13" i="134"/>
  <c r="I171" i="134"/>
  <c r="I92" i="134"/>
  <c r="I170" i="134"/>
  <c r="I91" i="134"/>
  <c r="I10" i="134"/>
  <c r="I89" i="134"/>
  <c r="I168" i="134"/>
  <c r="I166" i="134"/>
  <c r="I87" i="134"/>
  <c r="I7" i="134"/>
  <c r="I165" i="134"/>
  <c r="I86" i="134"/>
  <c r="I6" i="134"/>
  <c r="I164" i="134"/>
  <c r="I85" i="134"/>
  <c r="I5" i="134"/>
  <c r="I84" i="134"/>
  <c r="I163" i="134"/>
  <c r="I83" i="134"/>
  <c r="I162" i="134"/>
  <c r="I3" i="134"/>
  <c r="I82" i="134"/>
  <c r="I161" i="134"/>
  <c r="L6" i="134"/>
  <c r="V42" i="134"/>
  <c r="V121" i="134"/>
  <c r="V200" i="134"/>
  <c r="V38" i="134"/>
  <c r="V196" i="134"/>
  <c r="V117" i="134"/>
  <c r="V35" i="134"/>
  <c r="V114" i="134"/>
  <c r="V193" i="134"/>
  <c r="V31" i="134"/>
  <c r="V110" i="134"/>
  <c r="V189" i="134"/>
  <c r="V19" i="134"/>
  <c r="V98" i="134"/>
  <c r="V177" i="134"/>
  <c r="V7" i="134"/>
  <c r="V165" i="134"/>
  <c r="V86" i="134"/>
  <c r="V4" i="134"/>
  <c r="V162" i="134"/>
  <c r="V83" i="134"/>
  <c r="U197" i="134"/>
  <c r="U118" i="134"/>
  <c r="U34" i="134"/>
  <c r="U192" i="134"/>
  <c r="U113" i="134"/>
  <c r="U190" i="134"/>
  <c r="U111" i="134"/>
  <c r="U170" i="134"/>
  <c r="U91" i="134"/>
  <c r="U10" i="134"/>
  <c r="U168" i="134"/>
  <c r="U89" i="134"/>
  <c r="U86" i="134"/>
  <c r="U165" i="134"/>
  <c r="U162" i="134"/>
  <c r="U83" i="134"/>
  <c r="T202" i="134"/>
  <c r="T123" i="134"/>
  <c r="T198" i="134"/>
  <c r="T119" i="134"/>
  <c r="T103" i="134"/>
  <c r="T182" i="134"/>
  <c r="T178" i="134"/>
  <c r="T99" i="134"/>
  <c r="T91" i="134"/>
  <c r="T170" i="134"/>
  <c r="T164" i="134"/>
  <c r="T85" i="134"/>
  <c r="S121" i="134"/>
  <c r="S200" i="134"/>
  <c r="S117" i="134"/>
  <c r="S196" i="134"/>
  <c r="S114" i="134"/>
  <c r="S193" i="134"/>
  <c r="S111" i="134"/>
  <c r="S190" i="134"/>
  <c r="S98" i="134"/>
  <c r="S177" i="134"/>
  <c r="S91" i="134"/>
  <c r="S170" i="134"/>
  <c r="S87" i="134"/>
  <c r="S166" i="134"/>
  <c r="S165" i="134"/>
  <c r="S86" i="134"/>
  <c r="S161" i="134"/>
  <c r="S82" i="134"/>
  <c r="R197" i="134"/>
  <c r="R118" i="134"/>
  <c r="R192" i="134"/>
  <c r="R113" i="134"/>
  <c r="R33" i="134"/>
  <c r="R112" i="134"/>
  <c r="R191" i="134"/>
  <c r="R110" i="134"/>
  <c r="R189" i="134"/>
  <c r="R170" i="134"/>
  <c r="R91" i="134"/>
  <c r="R89" i="134"/>
  <c r="R168" i="134"/>
  <c r="R87" i="134"/>
  <c r="R166" i="134"/>
  <c r="R85" i="134"/>
  <c r="R164" i="134"/>
  <c r="R82" i="134"/>
  <c r="R161" i="134"/>
  <c r="Q122" i="134"/>
  <c r="Q201" i="134"/>
  <c r="Q41" i="134"/>
  <c r="Q120" i="134"/>
  <c r="Q199" i="134"/>
  <c r="Q37" i="134"/>
  <c r="Q195" i="134"/>
  <c r="Q116" i="134"/>
  <c r="Q33" i="134"/>
  <c r="Q112" i="134"/>
  <c r="Q191" i="134"/>
  <c r="Q110" i="134"/>
  <c r="Q189" i="134"/>
  <c r="Q178" i="134"/>
  <c r="Q99" i="134"/>
  <c r="Q89" i="134"/>
  <c r="Q168" i="134"/>
  <c r="Q5" i="134"/>
  <c r="Q84" i="134"/>
  <c r="Q163" i="134"/>
  <c r="Q83" i="134"/>
  <c r="Q162" i="134"/>
  <c r="S8" i="134"/>
  <c r="P123" i="134"/>
  <c r="P202" i="134"/>
  <c r="P41" i="134"/>
  <c r="P199" i="134"/>
  <c r="P120" i="134"/>
  <c r="P37" i="134"/>
  <c r="P195" i="134"/>
  <c r="P116" i="134"/>
  <c r="P181" i="134"/>
  <c r="P102" i="134"/>
  <c r="P177" i="134"/>
  <c r="P98" i="134"/>
  <c r="P161" i="134"/>
  <c r="P82" i="134"/>
  <c r="O197" i="134"/>
  <c r="O118" i="134"/>
  <c r="O113" i="134"/>
  <c r="O192" i="134"/>
  <c r="O190" i="134"/>
  <c r="O111" i="134"/>
  <c r="O102" i="134"/>
  <c r="O181" i="134"/>
  <c r="O93" i="134"/>
  <c r="O172" i="134"/>
  <c r="O85" i="134"/>
  <c r="O164" i="134"/>
  <c r="N123" i="134"/>
  <c r="N202" i="134"/>
  <c r="N120" i="134"/>
  <c r="N199" i="134"/>
  <c r="N195" i="134"/>
  <c r="N116" i="134"/>
  <c r="N93" i="134"/>
  <c r="N172" i="134"/>
  <c r="N85" i="134"/>
  <c r="N164" i="134"/>
  <c r="M118" i="134"/>
  <c r="M197" i="134"/>
  <c r="M192" i="134"/>
  <c r="M113" i="134"/>
  <c r="M32" i="134"/>
  <c r="M190" i="134"/>
  <c r="M111" i="134"/>
  <c r="M12" i="134"/>
  <c r="M91" i="134"/>
  <c r="M170" i="134"/>
  <c r="M84" i="134"/>
  <c r="M163" i="134"/>
  <c r="T12" i="134"/>
  <c r="L196" i="134"/>
  <c r="L117" i="134"/>
  <c r="L92" i="134"/>
  <c r="L171" i="134"/>
  <c r="O6" i="134"/>
  <c r="H123" i="134"/>
  <c r="H202" i="134"/>
  <c r="H38" i="134"/>
  <c r="H196" i="134"/>
  <c r="H117" i="134"/>
  <c r="H35" i="134"/>
  <c r="H114" i="134"/>
  <c r="H193" i="134"/>
  <c r="H111" i="134"/>
  <c r="H190" i="134"/>
  <c r="H14" i="134"/>
  <c r="H172" i="134"/>
  <c r="H93" i="134"/>
  <c r="H162" i="134"/>
  <c r="H83" i="134"/>
  <c r="T44" i="134"/>
  <c r="G39" i="134"/>
  <c r="G197" i="134"/>
  <c r="G118" i="134"/>
  <c r="G34" i="134"/>
  <c r="G113" i="134"/>
  <c r="G192" i="134"/>
  <c r="G111" i="134"/>
  <c r="G190" i="134"/>
  <c r="G103" i="134"/>
  <c r="G182" i="134"/>
  <c r="G13" i="134"/>
  <c r="G92" i="134"/>
  <c r="G171" i="134"/>
  <c r="G10" i="134"/>
  <c r="G89" i="134"/>
  <c r="G168" i="134"/>
  <c r="G6" i="134"/>
  <c r="G164" i="134"/>
  <c r="G85" i="134"/>
  <c r="F44" i="134"/>
  <c r="F123" i="134"/>
  <c r="F202" i="134"/>
  <c r="F43" i="134"/>
  <c r="F122" i="134"/>
  <c r="F201" i="134"/>
  <c r="F42" i="134"/>
  <c r="F121" i="134"/>
  <c r="F200" i="134"/>
  <c r="F41" i="134"/>
  <c r="F120" i="134"/>
  <c r="F199" i="134"/>
  <c r="F40" i="134"/>
  <c r="F119" i="134"/>
  <c r="F198" i="134"/>
  <c r="F39" i="134"/>
  <c r="F118" i="134"/>
  <c r="F197" i="134"/>
  <c r="F38" i="134"/>
  <c r="F196" i="134"/>
  <c r="F117" i="134"/>
  <c r="F37" i="134"/>
  <c r="F116" i="134"/>
  <c r="F195" i="134"/>
  <c r="F35" i="134"/>
  <c r="F193" i="134"/>
  <c r="F114" i="134"/>
  <c r="F34" i="134"/>
  <c r="F192" i="134"/>
  <c r="F113" i="134"/>
  <c r="F33" i="134"/>
  <c r="F191" i="134"/>
  <c r="F112" i="134"/>
  <c r="F32" i="134"/>
  <c r="F190" i="134"/>
  <c r="F111" i="134"/>
  <c r="F31" i="134"/>
  <c r="F110" i="134"/>
  <c r="F189" i="134"/>
  <c r="F24" i="134"/>
  <c r="F103" i="134"/>
  <c r="F182" i="134"/>
  <c r="F23" i="134"/>
  <c r="F102" i="134"/>
  <c r="F181" i="134"/>
  <c r="F20" i="134"/>
  <c r="F99" i="134"/>
  <c r="F178" i="134"/>
  <c r="F19" i="134"/>
  <c r="F98" i="134"/>
  <c r="F177" i="134"/>
  <c r="F14" i="134"/>
  <c r="F172" i="134"/>
  <c r="F93" i="134"/>
  <c r="F13" i="134"/>
  <c r="F171" i="134"/>
  <c r="F92" i="134"/>
  <c r="F12" i="134"/>
  <c r="F170" i="134"/>
  <c r="F91" i="134"/>
  <c r="F10" i="134"/>
  <c r="F89" i="134"/>
  <c r="F168" i="134"/>
  <c r="F8" i="134"/>
  <c r="F87" i="134"/>
  <c r="F166" i="134"/>
  <c r="F7" i="134"/>
  <c r="F165" i="134"/>
  <c r="F86" i="134"/>
  <c r="F6" i="134"/>
  <c r="F164" i="134"/>
  <c r="F85" i="134"/>
  <c r="F5" i="134"/>
  <c r="F163" i="134"/>
  <c r="F84" i="134"/>
  <c r="F4" i="134"/>
  <c r="F83" i="134"/>
  <c r="F162" i="134"/>
  <c r="F3" i="134"/>
  <c r="F82" i="134"/>
  <c r="F161" i="134"/>
  <c r="S42" i="134"/>
  <c r="J12" i="134"/>
  <c r="M5" i="134"/>
  <c r="V39" i="134"/>
  <c r="V118" i="134"/>
  <c r="V197" i="134"/>
  <c r="V34" i="134"/>
  <c r="V192" i="134"/>
  <c r="V113" i="134"/>
  <c r="V32" i="134"/>
  <c r="V190" i="134"/>
  <c r="V111" i="134"/>
  <c r="V12" i="134"/>
  <c r="V91" i="134"/>
  <c r="V170" i="134"/>
  <c r="V8" i="134"/>
  <c r="V166" i="134"/>
  <c r="V87" i="134"/>
  <c r="V3" i="134"/>
  <c r="V161" i="134"/>
  <c r="V82" i="134"/>
  <c r="U42" i="134"/>
  <c r="U200" i="134"/>
  <c r="U121" i="134"/>
  <c r="U198" i="134"/>
  <c r="U119" i="134"/>
  <c r="U37" i="134"/>
  <c r="U195" i="134"/>
  <c r="U116" i="134"/>
  <c r="U33" i="134"/>
  <c r="U191" i="134"/>
  <c r="U112" i="134"/>
  <c r="U189" i="134"/>
  <c r="U110" i="134"/>
  <c r="U103" i="134"/>
  <c r="U182" i="134"/>
  <c r="U13" i="134"/>
  <c r="U92" i="134"/>
  <c r="U171" i="134"/>
  <c r="U5" i="134"/>
  <c r="U84" i="134"/>
  <c r="U163" i="134"/>
  <c r="T197" i="134"/>
  <c r="T118" i="134"/>
  <c r="T113" i="134"/>
  <c r="T192" i="134"/>
  <c r="T181" i="134"/>
  <c r="T102" i="134"/>
  <c r="T13" i="134"/>
  <c r="T92" i="134"/>
  <c r="T171" i="134"/>
  <c r="T89" i="134"/>
  <c r="T168" i="134"/>
  <c r="T87" i="134"/>
  <c r="T166" i="134"/>
  <c r="T86" i="134"/>
  <c r="T165" i="134"/>
  <c r="T82" i="134"/>
  <c r="T161" i="134"/>
  <c r="S201" i="134"/>
  <c r="S122" i="134"/>
  <c r="S41" i="134"/>
  <c r="S199" i="134"/>
  <c r="S120" i="134"/>
  <c r="S37" i="134"/>
  <c r="S195" i="134"/>
  <c r="S116" i="134"/>
  <c r="S33" i="134"/>
  <c r="S191" i="134"/>
  <c r="S112" i="134"/>
  <c r="S181" i="134"/>
  <c r="S102" i="134"/>
  <c r="S99" i="134"/>
  <c r="S178" i="134"/>
  <c r="S172" i="134"/>
  <c r="S93" i="134"/>
  <c r="S5" i="134"/>
  <c r="S163" i="134"/>
  <c r="S84" i="134"/>
  <c r="R200" i="134"/>
  <c r="R121" i="134"/>
  <c r="R198" i="134"/>
  <c r="R119" i="134"/>
  <c r="R111" i="134"/>
  <c r="R190" i="134"/>
  <c r="R103" i="134"/>
  <c r="R182" i="134"/>
  <c r="R13" i="134"/>
  <c r="R171" i="134"/>
  <c r="R92" i="134"/>
  <c r="R5" i="134"/>
  <c r="R84" i="134"/>
  <c r="R163" i="134"/>
  <c r="Q121" i="134"/>
  <c r="Q200" i="134"/>
  <c r="Q198" i="134"/>
  <c r="Q119" i="134"/>
  <c r="Q181" i="134"/>
  <c r="Q102" i="134"/>
  <c r="Q91" i="134"/>
  <c r="Q170" i="134"/>
  <c r="Q165" i="134"/>
  <c r="Q86" i="134"/>
  <c r="P197" i="134"/>
  <c r="P118" i="134"/>
  <c r="P113" i="134"/>
  <c r="P192" i="134"/>
  <c r="P103" i="134"/>
  <c r="P182" i="134"/>
  <c r="P99" i="134"/>
  <c r="P178" i="134"/>
  <c r="P13" i="134"/>
  <c r="P92" i="134"/>
  <c r="P171" i="134"/>
  <c r="P168" i="134"/>
  <c r="P89" i="134"/>
  <c r="P5" i="134"/>
  <c r="P163" i="134"/>
  <c r="P84" i="134"/>
  <c r="U39" i="134"/>
  <c r="O122" i="134"/>
  <c r="O201" i="134"/>
  <c r="O119" i="134"/>
  <c r="O198" i="134"/>
  <c r="O99" i="134"/>
  <c r="O178" i="134"/>
  <c r="O91" i="134"/>
  <c r="O170" i="134"/>
  <c r="O168" i="134"/>
  <c r="O89" i="134"/>
  <c r="O165" i="134"/>
  <c r="O86" i="134"/>
  <c r="O82" i="134"/>
  <c r="O161" i="134"/>
  <c r="T39" i="134"/>
  <c r="N118" i="134"/>
  <c r="N197" i="134"/>
  <c r="N192" i="134"/>
  <c r="N113" i="134"/>
  <c r="N189" i="134"/>
  <c r="N110" i="134"/>
  <c r="N98" i="134"/>
  <c r="N177" i="134"/>
  <c r="N84" i="134"/>
  <c r="N163" i="134"/>
  <c r="M44" i="134"/>
  <c r="M123" i="134"/>
  <c r="M202" i="134"/>
  <c r="M117" i="134"/>
  <c r="M196" i="134"/>
  <c r="M193" i="134"/>
  <c r="M114" i="134"/>
  <c r="M98" i="134"/>
  <c r="M177" i="134"/>
  <c r="M8" i="134"/>
  <c r="M166" i="134"/>
  <c r="M87" i="134"/>
  <c r="M4" i="134"/>
  <c r="M83" i="134"/>
  <c r="M162" i="134"/>
  <c r="R39" i="134"/>
  <c r="L199" i="134"/>
  <c r="L120" i="134"/>
  <c r="L114" i="134"/>
  <c r="L193" i="134"/>
  <c r="L168" i="134"/>
  <c r="L89" i="134"/>
  <c r="T10" i="134"/>
  <c r="H39" i="134"/>
  <c r="H197" i="134"/>
  <c r="H118" i="134"/>
  <c r="H34" i="134"/>
  <c r="H113" i="134"/>
  <c r="H192" i="134"/>
  <c r="H31" i="134"/>
  <c r="H110" i="134"/>
  <c r="H189" i="134"/>
  <c r="H103" i="134"/>
  <c r="H182" i="134"/>
  <c r="H178" i="134"/>
  <c r="H99" i="134"/>
  <c r="H5" i="134"/>
  <c r="H163" i="134"/>
  <c r="H84" i="134"/>
  <c r="U40" i="134"/>
  <c r="R32" i="134"/>
  <c r="G202" i="134"/>
  <c r="G123" i="134"/>
  <c r="G38" i="134"/>
  <c r="G117" i="134"/>
  <c r="G196" i="134"/>
  <c r="G35" i="134"/>
  <c r="G114" i="134"/>
  <c r="G193" i="134"/>
  <c r="G23" i="134"/>
  <c r="G102" i="134"/>
  <c r="G181" i="134"/>
  <c r="G178" i="134"/>
  <c r="G99" i="134"/>
  <c r="G5" i="134"/>
  <c r="G84" i="134"/>
  <c r="G163" i="134"/>
  <c r="P19" i="134"/>
  <c r="O10" i="134"/>
  <c r="E44" i="134"/>
  <c r="E202" i="134"/>
  <c r="E123" i="134"/>
  <c r="E43" i="134"/>
  <c r="E201" i="134"/>
  <c r="E122" i="134"/>
  <c r="E42" i="134"/>
  <c r="E200" i="134"/>
  <c r="E121" i="134"/>
  <c r="E41" i="134"/>
  <c r="E120" i="134"/>
  <c r="E199" i="134"/>
  <c r="E40" i="134"/>
  <c r="E198" i="134"/>
  <c r="E119" i="134"/>
  <c r="E39" i="134"/>
  <c r="E197" i="134"/>
  <c r="E118" i="134"/>
  <c r="E38" i="134"/>
  <c r="E196" i="134"/>
  <c r="E117" i="134"/>
  <c r="E37" i="134"/>
  <c r="E195" i="134"/>
  <c r="E116" i="134"/>
  <c r="E35" i="134"/>
  <c r="E193" i="134"/>
  <c r="E114" i="134"/>
  <c r="E34" i="134"/>
  <c r="E113" i="134"/>
  <c r="E192" i="134"/>
  <c r="E33" i="134"/>
  <c r="E112" i="134"/>
  <c r="E191" i="134"/>
  <c r="E32" i="134"/>
  <c r="E111" i="134"/>
  <c r="E190" i="134"/>
  <c r="E31" i="134"/>
  <c r="E110" i="134"/>
  <c r="E189" i="134"/>
  <c r="E24" i="134"/>
  <c r="E103" i="134"/>
  <c r="E182" i="134"/>
  <c r="E23" i="134"/>
  <c r="E102" i="134"/>
  <c r="E181" i="134"/>
  <c r="E20" i="134"/>
  <c r="E178" i="134"/>
  <c r="E99" i="134"/>
  <c r="E19" i="134"/>
  <c r="E177" i="134"/>
  <c r="E98" i="134"/>
  <c r="E14" i="134"/>
  <c r="E172" i="134"/>
  <c r="E93" i="134"/>
  <c r="E13" i="134"/>
  <c r="E92" i="134"/>
  <c r="E171" i="134"/>
  <c r="E12" i="134"/>
  <c r="E91" i="134"/>
  <c r="E170" i="134"/>
  <c r="E10" i="134"/>
  <c r="E89" i="134"/>
  <c r="E168" i="134"/>
  <c r="E8" i="134"/>
  <c r="E166" i="134"/>
  <c r="E87" i="134"/>
  <c r="E7" i="134"/>
  <c r="E86" i="134"/>
  <c r="E165" i="134"/>
  <c r="E6" i="134"/>
  <c r="E164" i="134"/>
  <c r="E85" i="134"/>
  <c r="E5" i="134"/>
  <c r="E163" i="134"/>
  <c r="E84" i="134"/>
  <c r="E4" i="134"/>
  <c r="E162" i="134"/>
  <c r="E83" i="134"/>
  <c r="E3" i="134"/>
  <c r="E82" i="134"/>
  <c r="E161" i="134"/>
  <c r="R42" i="134"/>
  <c r="R40" i="134"/>
  <c r="S38" i="134"/>
  <c r="T34" i="134"/>
  <c r="O32" i="134"/>
  <c r="S23" i="134"/>
  <c r="N19" i="134"/>
  <c r="I12" i="134"/>
  <c r="S7" i="134"/>
  <c r="L5" i="134"/>
  <c r="V44" i="134"/>
  <c r="V123" i="134"/>
  <c r="V202" i="134"/>
  <c r="V41" i="134"/>
  <c r="V120" i="134"/>
  <c r="V199" i="134"/>
  <c r="V24" i="134"/>
  <c r="V103" i="134"/>
  <c r="V182" i="134"/>
  <c r="V13" i="134"/>
  <c r="V92" i="134"/>
  <c r="V171" i="134"/>
  <c r="V10" i="134"/>
  <c r="V89" i="134"/>
  <c r="V168" i="134"/>
  <c r="V6" i="134"/>
  <c r="V85" i="134"/>
  <c r="V164" i="134"/>
  <c r="U202" i="134"/>
  <c r="U123" i="134"/>
  <c r="U41" i="134"/>
  <c r="U199" i="134"/>
  <c r="U120" i="134"/>
  <c r="U102" i="134"/>
  <c r="U181" i="134"/>
  <c r="U99" i="134"/>
  <c r="U178" i="134"/>
  <c r="U161" i="134"/>
  <c r="U82" i="134"/>
  <c r="T200" i="134"/>
  <c r="T121" i="134"/>
  <c r="T41" i="134"/>
  <c r="T199" i="134"/>
  <c r="T120" i="134"/>
  <c r="T37" i="134"/>
  <c r="T116" i="134"/>
  <c r="T195" i="134"/>
  <c r="T33" i="134"/>
  <c r="T112" i="134"/>
  <c r="T191" i="134"/>
  <c r="T189" i="134"/>
  <c r="T110" i="134"/>
  <c r="T162" i="134"/>
  <c r="T83" i="134"/>
  <c r="S123" i="134"/>
  <c r="S202" i="134"/>
  <c r="S198" i="134"/>
  <c r="S119" i="134"/>
  <c r="S182" i="134"/>
  <c r="S103" i="134"/>
  <c r="S13" i="134"/>
  <c r="S92" i="134"/>
  <c r="S171" i="134"/>
  <c r="S168" i="134"/>
  <c r="S89" i="134"/>
  <c r="S162" i="134"/>
  <c r="S83" i="134"/>
  <c r="U24" i="134"/>
  <c r="R201" i="134"/>
  <c r="R122" i="134"/>
  <c r="R41" i="134"/>
  <c r="R199" i="134"/>
  <c r="R120" i="134"/>
  <c r="R37" i="134"/>
  <c r="R116" i="134"/>
  <c r="R195" i="134"/>
  <c r="R177" i="134"/>
  <c r="R98" i="134"/>
  <c r="R172" i="134"/>
  <c r="R93" i="134"/>
  <c r="R83" i="134"/>
  <c r="R162" i="134"/>
  <c r="Q118" i="134"/>
  <c r="Q197" i="134"/>
  <c r="Q113" i="134"/>
  <c r="Q192" i="134"/>
  <c r="Q111" i="134"/>
  <c r="Q190" i="134"/>
  <c r="Q177" i="134"/>
  <c r="Q98" i="134"/>
  <c r="Q93" i="134"/>
  <c r="Q172" i="134"/>
  <c r="Q87" i="134"/>
  <c r="Q166" i="134"/>
  <c r="T6" i="134"/>
  <c r="P201" i="134"/>
  <c r="P122" i="134"/>
  <c r="P198" i="134"/>
  <c r="P119" i="134"/>
  <c r="P33" i="134"/>
  <c r="P191" i="134"/>
  <c r="P112" i="134"/>
  <c r="P189" i="134"/>
  <c r="P110" i="134"/>
  <c r="P93" i="134"/>
  <c r="P172" i="134"/>
  <c r="P166" i="134"/>
  <c r="P87" i="134"/>
  <c r="P165" i="134"/>
  <c r="P86" i="134"/>
  <c r="P85" i="134"/>
  <c r="P164" i="134"/>
  <c r="R31" i="134"/>
  <c r="R8" i="134"/>
  <c r="O121" i="134"/>
  <c r="O200" i="134"/>
  <c r="O120" i="134"/>
  <c r="O199" i="134"/>
  <c r="O195" i="134"/>
  <c r="O116" i="134"/>
  <c r="O191" i="134"/>
  <c r="O112" i="134"/>
  <c r="O189" i="134"/>
  <c r="O110" i="134"/>
  <c r="O103" i="134"/>
  <c r="O182" i="134"/>
  <c r="O92" i="134"/>
  <c r="O171" i="134"/>
  <c r="O87" i="134"/>
  <c r="O166" i="134"/>
  <c r="O162" i="134"/>
  <c r="O83" i="134"/>
  <c r="R6" i="134"/>
  <c r="N121" i="134"/>
  <c r="N200" i="134"/>
  <c r="N198" i="134"/>
  <c r="N119" i="134"/>
  <c r="N191" i="134"/>
  <c r="N112" i="134"/>
  <c r="N190" i="134"/>
  <c r="N111" i="134"/>
  <c r="N182" i="134"/>
  <c r="N103" i="134"/>
  <c r="N92" i="134"/>
  <c r="N171" i="134"/>
  <c r="N168" i="134"/>
  <c r="N89" i="134"/>
  <c r="N86" i="134"/>
  <c r="N165" i="134"/>
  <c r="N82" i="134"/>
  <c r="N161" i="134"/>
  <c r="R43" i="134"/>
  <c r="P8" i="134"/>
  <c r="M122" i="134"/>
  <c r="M201" i="134"/>
  <c r="M120" i="134"/>
  <c r="M199" i="134"/>
  <c r="M102" i="134"/>
  <c r="M181" i="134"/>
  <c r="M20" i="134"/>
  <c r="M178" i="134"/>
  <c r="M99" i="134"/>
  <c r="M93" i="134"/>
  <c r="M172" i="134"/>
  <c r="M85" i="134"/>
  <c r="M164" i="134"/>
  <c r="O24" i="134"/>
  <c r="P6" i="134"/>
  <c r="L201" i="134"/>
  <c r="L122" i="134"/>
  <c r="L102" i="134"/>
  <c r="L181" i="134"/>
  <c r="L93" i="134"/>
  <c r="L172" i="134"/>
  <c r="H43" i="134"/>
  <c r="H122" i="134"/>
  <c r="H201" i="134"/>
  <c r="H199" i="134"/>
  <c r="H120" i="134"/>
  <c r="H19" i="134"/>
  <c r="H98" i="134"/>
  <c r="H177" i="134"/>
  <c r="H170" i="134"/>
  <c r="H91" i="134"/>
  <c r="H87" i="134"/>
  <c r="H166" i="134"/>
  <c r="H6" i="134"/>
  <c r="H164" i="134"/>
  <c r="H85" i="134"/>
  <c r="M39" i="134"/>
  <c r="Q19" i="134"/>
  <c r="G42" i="134"/>
  <c r="G200" i="134"/>
  <c r="G121" i="134"/>
  <c r="G198" i="134"/>
  <c r="G119" i="134"/>
  <c r="G19" i="134"/>
  <c r="G177" i="134"/>
  <c r="G98" i="134"/>
  <c r="G14" i="134"/>
  <c r="G172" i="134"/>
  <c r="G93" i="134"/>
  <c r="G7" i="134"/>
  <c r="G86" i="134"/>
  <c r="G165" i="134"/>
  <c r="G3" i="134"/>
  <c r="G82" i="134"/>
  <c r="G161" i="134"/>
  <c r="S44" i="134"/>
  <c r="T40" i="134"/>
  <c r="M35" i="134"/>
  <c r="U23" i="134"/>
  <c r="U7" i="134"/>
  <c r="D44" i="134"/>
  <c r="D123" i="134"/>
  <c r="D202" i="134"/>
  <c r="D43" i="134"/>
  <c r="D122" i="134"/>
  <c r="D201" i="134"/>
  <c r="D42" i="134"/>
  <c r="D200" i="134"/>
  <c r="D121" i="134"/>
  <c r="D41" i="134"/>
  <c r="D199" i="134"/>
  <c r="D120" i="134"/>
  <c r="D40" i="134"/>
  <c r="D198" i="134"/>
  <c r="D119" i="134"/>
  <c r="D39" i="134"/>
  <c r="D118" i="134"/>
  <c r="D197" i="134"/>
  <c r="D38" i="134"/>
  <c r="D117" i="134"/>
  <c r="D196" i="134"/>
  <c r="D37" i="134"/>
  <c r="D116" i="134"/>
  <c r="D195" i="134"/>
  <c r="D35" i="134"/>
  <c r="D114" i="134"/>
  <c r="D193" i="134"/>
  <c r="D34" i="134"/>
  <c r="D113" i="134"/>
  <c r="D192" i="134"/>
  <c r="D33" i="134"/>
  <c r="D112" i="134"/>
  <c r="D191" i="134"/>
  <c r="D32" i="134"/>
  <c r="D111" i="134"/>
  <c r="D190" i="134"/>
  <c r="D31" i="134"/>
  <c r="D110" i="134"/>
  <c r="D189" i="134"/>
  <c r="D24" i="134"/>
  <c r="D182" i="134"/>
  <c r="D103" i="134"/>
  <c r="D23" i="134"/>
  <c r="D181" i="134"/>
  <c r="D102" i="134"/>
  <c r="D20" i="134"/>
  <c r="D99" i="134"/>
  <c r="D178" i="134"/>
  <c r="D19" i="134"/>
  <c r="D98" i="134"/>
  <c r="D177" i="134"/>
  <c r="D14" i="134"/>
  <c r="D172" i="134"/>
  <c r="D93" i="134"/>
  <c r="D13" i="134"/>
  <c r="D171" i="134"/>
  <c r="D92" i="134"/>
  <c r="D12" i="134"/>
  <c r="D91" i="134"/>
  <c r="D170" i="134"/>
  <c r="D10" i="134"/>
  <c r="D168" i="134"/>
  <c r="D89" i="134"/>
  <c r="D8" i="134"/>
  <c r="D87" i="134"/>
  <c r="D166" i="134"/>
  <c r="D7" i="134"/>
  <c r="D165" i="134"/>
  <c r="D86" i="134"/>
  <c r="D6" i="134"/>
  <c r="D85" i="134"/>
  <c r="D164" i="134"/>
  <c r="D5" i="134"/>
  <c r="D163" i="134"/>
  <c r="D84" i="134"/>
  <c r="D4" i="134"/>
  <c r="D162" i="134"/>
  <c r="D83" i="134"/>
  <c r="D3" i="134"/>
  <c r="D161" i="134"/>
  <c r="D82" i="134"/>
  <c r="P44" i="134"/>
  <c r="Q42" i="134"/>
  <c r="Q40" i="134"/>
  <c r="N32" i="134"/>
  <c r="U20" i="134"/>
  <c r="M19" i="134"/>
  <c r="Q14" i="134"/>
  <c r="H12" i="134"/>
  <c r="L10" i="134"/>
  <c r="U4" i="134"/>
  <c r="V43" i="134"/>
  <c r="V122" i="134"/>
  <c r="V201" i="134"/>
  <c r="V40" i="134"/>
  <c r="V119" i="134"/>
  <c r="V198" i="134"/>
  <c r="V37" i="134"/>
  <c r="V195" i="134"/>
  <c r="V116" i="134"/>
  <c r="V33" i="134"/>
  <c r="V191" i="134"/>
  <c r="V112" i="134"/>
  <c r="V23" i="134"/>
  <c r="V181" i="134"/>
  <c r="V102" i="134"/>
  <c r="V20" i="134"/>
  <c r="V178" i="134"/>
  <c r="V99" i="134"/>
  <c r="V14" i="134"/>
  <c r="V172" i="134"/>
  <c r="V93" i="134"/>
  <c r="V5" i="134"/>
  <c r="V84" i="134"/>
  <c r="V163" i="134"/>
  <c r="U201" i="134"/>
  <c r="U122" i="134"/>
  <c r="U38" i="134"/>
  <c r="U196" i="134"/>
  <c r="U117" i="134"/>
  <c r="U193" i="134"/>
  <c r="U114" i="134"/>
  <c r="U177" i="134"/>
  <c r="U98" i="134"/>
  <c r="U14" i="134"/>
  <c r="U172" i="134"/>
  <c r="U93" i="134"/>
  <c r="U87" i="134"/>
  <c r="U166" i="134"/>
  <c r="U6" i="134"/>
  <c r="U164" i="134"/>
  <c r="U85" i="134"/>
  <c r="T201" i="134"/>
  <c r="T122" i="134"/>
  <c r="T196" i="134"/>
  <c r="T117" i="134"/>
  <c r="T114" i="134"/>
  <c r="T193" i="134"/>
  <c r="T190" i="134"/>
  <c r="T111" i="134"/>
  <c r="T98" i="134"/>
  <c r="T177" i="134"/>
  <c r="T172" i="134"/>
  <c r="T93" i="134"/>
  <c r="T5" i="134"/>
  <c r="T84" i="134"/>
  <c r="T163" i="134"/>
  <c r="S197" i="134"/>
  <c r="S118" i="134"/>
  <c r="S113" i="134"/>
  <c r="S192" i="134"/>
  <c r="S110" i="134"/>
  <c r="S189" i="134"/>
  <c r="S164" i="134"/>
  <c r="S85" i="134"/>
  <c r="R202" i="134"/>
  <c r="R123" i="134"/>
  <c r="R117" i="134"/>
  <c r="R196" i="134"/>
  <c r="R193" i="134"/>
  <c r="R114" i="134"/>
  <c r="R102" i="134"/>
  <c r="R181" i="134"/>
  <c r="R178" i="134"/>
  <c r="R99" i="134"/>
  <c r="R86" i="134"/>
  <c r="R165" i="134"/>
  <c r="T24" i="134"/>
  <c r="Q123" i="134"/>
  <c r="Q202" i="134"/>
  <c r="Q196" i="134"/>
  <c r="Q117" i="134"/>
  <c r="Q114" i="134"/>
  <c r="Q193" i="134"/>
  <c r="Q103" i="134"/>
  <c r="Q182" i="134"/>
  <c r="Q13" i="134"/>
  <c r="Q92" i="134"/>
  <c r="Q171" i="134"/>
  <c r="Q164" i="134"/>
  <c r="Q85" i="134"/>
  <c r="Q161" i="134"/>
  <c r="Q82" i="134"/>
  <c r="P200" i="134"/>
  <c r="P121" i="134"/>
  <c r="P196" i="134"/>
  <c r="P117" i="134"/>
  <c r="P114" i="134"/>
  <c r="P193" i="134"/>
  <c r="P190" i="134"/>
  <c r="P111" i="134"/>
  <c r="P170" i="134"/>
  <c r="P91" i="134"/>
  <c r="P162" i="134"/>
  <c r="P83" i="134"/>
  <c r="O202" i="134"/>
  <c r="O123" i="134"/>
  <c r="O196" i="134"/>
  <c r="O117" i="134"/>
  <c r="O114" i="134"/>
  <c r="O193" i="134"/>
  <c r="O98" i="134"/>
  <c r="O177" i="134"/>
  <c r="O163" i="134"/>
  <c r="O84" i="134"/>
  <c r="S43" i="134"/>
  <c r="Q31" i="134"/>
  <c r="Q24" i="134"/>
  <c r="Q8" i="134"/>
  <c r="N122" i="134"/>
  <c r="N201" i="134"/>
  <c r="N196" i="134"/>
  <c r="N117" i="134"/>
  <c r="N193" i="134"/>
  <c r="N114" i="134"/>
  <c r="N181" i="134"/>
  <c r="N102" i="134"/>
  <c r="N99" i="134"/>
  <c r="N178" i="134"/>
  <c r="N170" i="134"/>
  <c r="N91" i="134"/>
  <c r="N87" i="134"/>
  <c r="N166" i="134"/>
  <c r="N83" i="134"/>
  <c r="N162" i="134"/>
  <c r="S39" i="134"/>
  <c r="P31" i="134"/>
  <c r="U12" i="134"/>
  <c r="Q6" i="134"/>
  <c r="M121" i="134"/>
  <c r="M200" i="134"/>
  <c r="M40" i="134"/>
  <c r="M119" i="134"/>
  <c r="M198" i="134"/>
  <c r="M195" i="134"/>
  <c r="M116" i="134"/>
  <c r="M191" i="134"/>
  <c r="M112" i="134"/>
  <c r="M189" i="134"/>
  <c r="M110" i="134"/>
  <c r="M24" i="134"/>
  <c r="M103" i="134"/>
  <c r="M182" i="134"/>
  <c r="M92" i="134"/>
  <c r="M171" i="134"/>
  <c r="M89" i="134"/>
  <c r="M168" i="134"/>
  <c r="M165" i="134"/>
  <c r="M86" i="134"/>
  <c r="M82" i="134"/>
  <c r="M161" i="134"/>
  <c r="Q43" i="134"/>
  <c r="S35" i="134"/>
  <c r="O8" i="134"/>
  <c r="L197" i="134"/>
  <c r="L118" i="134"/>
  <c r="L12" i="134"/>
  <c r="L91" i="134"/>
  <c r="L170" i="134"/>
  <c r="S12" i="134"/>
  <c r="H42" i="134"/>
  <c r="H200" i="134"/>
  <c r="H121" i="134"/>
  <c r="H119" i="134"/>
  <c r="H198" i="134"/>
  <c r="H195" i="134"/>
  <c r="H116" i="134"/>
  <c r="H33" i="134"/>
  <c r="H112" i="134"/>
  <c r="H191" i="134"/>
  <c r="H23" i="134"/>
  <c r="H102" i="134"/>
  <c r="H181" i="134"/>
  <c r="H13" i="134"/>
  <c r="H171" i="134"/>
  <c r="H92" i="134"/>
  <c r="H10" i="134"/>
  <c r="H168" i="134"/>
  <c r="H89" i="134"/>
  <c r="H7" i="134"/>
  <c r="H86" i="134"/>
  <c r="H165" i="134"/>
  <c r="H3" i="134"/>
  <c r="H161" i="134"/>
  <c r="H82" i="134"/>
  <c r="L43" i="134"/>
  <c r="N35" i="134"/>
  <c r="O5" i="134"/>
  <c r="G43" i="134"/>
  <c r="G201" i="134"/>
  <c r="G122" i="134"/>
  <c r="G199" i="134"/>
  <c r="G120" i="134"/>
  <c r="G195" i="134"/>
  <c r="G116" i="134"/>
  <c r="G33" i="134"/>
  <c r="G191" i="134"/>
  <c r="G112" i="134"/>
  <c r="G31" i="134"/>
  <c r="G110" i="134"/>
  <c r="G189" i="134"/>
  <c r="G91" i="134"/>
  <c r="G170" i="134"/>
  <c r="G87" i="134"/>
  <c r="G166" i="134"/>
  <c r="G162" i="134"/>
  <c r="G83" i="134"/>
  <c r="T42" i="134"/>
  <c r="Q32" i="134"/>
  <c r="P3" i="134"/>
  <c r="C44" i="134"/>
  <c r="C202" i="134"/>
  <c r="C123" i="134"/>
  <c r="C43" i="134"/>
  <c r="C201" i="134"/>
  <c r="C122" i="134"/>
  <c r="C42" i="134"/>
  <c r="C200" i="134"/>
  <c r="C121" i="134"/>
  <c r="C41" i="134"/>
  <c r="C199" i="134"/>
  <c r="C120" i="134"/>
  <c r="C40" i="134"/>
  <c r="C198" i="134"/>
  <c r="C119" i="134"/>
  <c r="C39" i="134"/>
  <c r="C118" i="134"/>
  <c r="C197" i="134"/>
  <c r="C38" i="134"/>
  <c r="C117" i="134"/>
  <c r="C196" i="134"/>
  <c r="C37" i="134"/>
  <c r="C116" i="134"/>
  <c r="C195" i="134"/>
  <c r="C35" i="134"/>
  <c r="C193" i="134"/>
  <c r="C114" i="134"/>
  <c r="C34" i="134"/>
  <c r="C192" i="134"/>
  <c r="C113" i="134"/>
  <c r="C33" i="134"/>
  <c r="C191" i="134"/>
  <c r="C112" i="134"/>
  <c r="C32" i="134"/>
  <c r="C111" i="134"/>
  <c r="C190" i="134"/>
  <c r="C31" i="134"/>
  <c r="C110" i="134"/>
  <c r="C189" i="134"/>
  <c r="C24" i="134"/>
  <c r="C103" i="134"/>
  <c r="C182" i="134"/>
  <c r="C23" i="134"/>
  <c r="C102" i="134"/>
  <c r="C181" i="134"/>
  <c r="C20" i="134"/>
  <c r="C178" i="134"/>
  <c r="C99" i="134"/>
  <c r="C19" i="134"/>
  <c r="C177" i="134"/>
  <c r="C98" i="134"/>
  <c r="C14" i="134"/>
  <c r="C172" i="134"/>
  <c r="C93" i="134"/>
  <c r="C13" i="134"/>
  <c r="C171" i="134"/>
  <c r="C92" i="134"/>
  <c r="C12" i="134"/>
  <c r="C170" i="134"/>
  <c r="C91" i="134"/>
  <c r="C10" i="134"/>
  <c r="C89" i="134"/>
  <c r="C168" i="134"/>
  <c r="C8" i="134"/>
  <c r="C87" i="134"/>
  <c r="C166" i="134"/>
  <c r="C7" i="134"/>
  <c r="C86" i="134"/>
  <c r="C165" i="134"/>
  <c r="C6" i="134"/>
  <c r="C85" i="134"/>
  <c r="C164" i="134"/>
  <c r="C5" i="134"/>
  <c r="C163" i="134"/>
  <c r="C84" i="134"/>
  <c r="C4" i="134"/>
  <c r="C83" i="134"/>
  <c r="C162" i="134"/>
  <c r="C3" i="134"/>
  <c r="C82" i="134"/>
  <c r="C161" i="134"/>
  <c r="O44" i="134"/>
  <c r="P42" i="134"/>
  <c r="P40" i="134"/>
  <c r="Q38" i="134"/>
  <c r="R34" i="134"/>
  <c r="J32" i="134"/>
  <c r="Q23" i="134"/>
  <c r="T20" i="134"/>
  <c r="L19" i="134"/>
  <c r="P14" i="134"/>
  <c r="G12" i="134"/>
  <c r="Q7" i="134"/>
  <c r="T4" i="134"/>
  <c r="L3" i="134"/>
  <c r="Y4" i="140"/>
  <c r="Y5" i="140"/>
  <c r="Y6" i="140"/>
  <c r="Y7" i="140"/>
  <c r="Y8" i="140"/>
  <c r="Y9" i="140"/>
  <c r="Y10" i="140"/>
  <c r="Y11" i="140"/>
  <c r="Y12" i="140"/>
  <c r="Y13" i="140"/>
  <c r="Y14" i="140"/>
  <c r="Y15" i="140"/>
  <c r="Y16" i="140"/>
  <c r="Y17" i="140"/>
  <c r="Y18" i="140"/>
  <c r="Y19" i="140"/>
  <c r="Y20" i="140"/>
  <c r="Y21" i="140"/>
  <c r="Y22" i="140"/>
  <c r="Y23" i="140"/>
  <c r="Y24" i="140"/>
  <c r="Y25" i="140"/>
  <c r="Y26" i="140"/>
  <c r="Y27" i="140"/>
  <c r="Y28" i="140"/>
  <c r="Y29" i="140"/>
  <c r="Y30" i="140"/>
  <c r="Y31" i="140"/>
  <c r="Y32" i="140"/>
  <c r="Y33" i="140"/>
  <c r="Y34" i="140"/>
  <c r="Y35" i="140"/>
  <c r="Y36" i="140"/>
  <c r="Y37" i="140"/>
  <c r="Y38" i="140"/>
  <c r="Y39" i="140"/>
  <c r="Y40" i="140"/>
  <c r="Y41" i="140"/>
  <c r="Y42" i="140"/>
  <c r="Y43" i="140"/>
  <c r="Y44" i="140"/>
  <c r="Y45" i="140"/>
  <c r="Y46" i="140"/>
  <c r="Y47" i="140"/>
  <c r="Y48" i="140"/>
  <c r="Y3" i="140"/>
  <c r="E50" i="140"/>
  <c r="F50" i="140"/>
  <c r="G50" i="140"/>
  <c r="H50" i="140"/>
  <c r="I50" i="140"/>
  <c r="J50" i="140"/>
  <c r="K50" i="140"/>
  <c r="L50" i="140"/>
  <c r="M50" i="140"/>
  <c r="N50" i="140"/>
  <c r="O50" i="140"/>
  <c r="P50" i="140"/>
  <c r="Q50" i="140"/>
  <c r="R50" i="140"/>
  <c r="S50" i="140"/>
  <c r="T50" i="140"/>
  <c r="U50" i="140"/>
  <c r="V50" i="140"/>
  <c r="W50" i="140"/>
  <c r="D50" i="140"/>
  <c r="A50" i="133"/>
  <c r="A51" i="133"/>
  <c r="A52" i="133"/>
  <c r="A53" i="133"/>
  <c r="A54" i="133"/>
  <c r="A55" i="133"/>
  <c r="A56" i="133"/>
  <c r="A49" i="133"/>
  <c r="A51" i="134" l="1"/>
  <c r="A209" i="134" s="1"/>
  <c r="A50" i="134"/>
  <c r="A129" i="134" s="1"/>
  <c r="A49" i="134"/>
  <c r="A128" i="134" s="1"/>
  <c r="A55" i="134"/>
  <c r="A213" i="134" s="1"/>
  <c r="A53" i="134"/>
  <c r="A211" i="134" s="1"/>
  <c r="A56" i="134"/>
  <c r="A135" i="134" s="1"/>
  <c r="A54" i="134"/>
  <c r="A133" i="134" s="1"/>
  <c r="A52" i="134"/>
  <c r="A131" i="134" s="1"/>
  <c r="K29" i="133"/>
  <c r="M29" i="133"/>
  <c r="P29" i="133"/>
  <c r="Q29" i="133"/>
  <c r="R29" i="133"/>
  <c r="S29" i="133"/>
  <c r="T29" i="133"/>
  <c r="U29" i="133"/>
  <c r="V29" i="133"/>
  <c r="W29" i="133"/>
  <c r="D29" i="133"/>
  <c r="G29" i="133"/>
  <c r="L29" i="133"/>
  <c r="N29" i="133"/>
  <c r="O29" i="133"/>
  <c r="E29" i="133"/>
  <c r="H29" i="133"/>
  <c r="F29" i="133"/>
  <c r="I29" i="133"/>
  <c r="J29" i="133"/>
  <c r="K11" i="133"/>
  <c r="K21" i="133"/>
  <c r="K30" i="133"/>
  <c r="L21" i="133"/>
  <c r="L30" i="133"/>
  <c r="M11" i="133"/>
  <c r="M30" i="133"/>
  <c r="N11" i="133"/>
  <c r="N21" i="133"/>
  <c r="N30" i="133"/>
  <c r="P21" i="133"/>
  <c r="Q11" i="133"/>
  <c r="Q21" i="133"/>
  <c r="Q30" i="133"/>
  <c r="R11" i="133"/>
  <c r="R21" i="133"/>
  <c r="R30" i="133"/>
  <c r="S11" i="133"/>
  <c r="S21" i="133"/>
  <c r="T11" i="133"/>
  <c r="T21" i="133"/>
  <c r="T30" i="133"/>
  <c r="U11" i="133"/>
  <c r="U21" i="133"/>
  <c r="U30" i="133"/>
  <c r="V11" i="133"/>
  <c r="V21" i="133"/>
  <c r="V30" i="133"/>
  <c r="W11" i="133"/>
  <c r="W21" i="133"/>
  <c r="W30" i="133"/>
  <c r="D11" i="133"/>
  <c r="D21" i="133"/>
  <c r="D30" i="133"/>
  <c r="E11" i="133"/>
  <c r="E30" i="133"/>
  <c r="F11" i="133"/>
  <c r="F21" i="133"/>
  <c r="G11" i="133"/>
  <c r="G21" i="133"/>
  <c r="H30" i="133"/>
  <c r="L11" i="133"/>
  <c r="M21" i="133"/>
  <c r="O11" i="133"/>
  <c r="O21" i="133"/>
  <c r="P11" i="133"/>
  <c r="P30" i="133"/>
  <c r="S30" i="133"/>
  <c r="E21" i="133"/>
  <c r="G30" i="133"/>
  <c r="H11" i="133"/>
  <c r="H21" i="133"/>
  <c r="O30" i="133"/>
  <c r="F30" i="133"/>
  <c r="J11" i="133"/>
  <c r="I11" i="133"/>
  <c r="I30" i="133"/>
  <c r="J30" i="133"/>
  <c r="I21" i="133"/>
  <c r="J21" i="133"/>
  <c r="K9" i="133"/>
  <c r="K22" i="133"/>
  <c r="K26" i="133"/>
  <c r="K27" i="133"/>
  <c r="K28" i="133"/>
  <c r="K36" i="133"/>
  <c r="K48" i="133"/>
  <c r="L2" i="133"/>
  <c r="L27" i="133"/>
  <c r="L48" i="133"/>
  <c r="M26" i="133"/>
  <c r="M28" i="133"/>
  <c r="M36" i="133"/>
  <c r="M48" i="133"/>
  <c r="N2" i="133"/>
  <c r="N22" i="133"/>
  <c r="N27" i="133"/>
  <c r="N28" i="133"/>
  <c r="O22" i="133"/>
  <c r="O28" i="133"/>
  <c r="O36" i="133"/>
  <c r="P2" i="133"/>
  <c r="P9" i="133"/>
  <c r="P27" i="133"/>
  <c r="P36" i="133"/>
  <c r="P48" i="133"/>
  <c r="Q2" i="133"/>
  <c r="Q9" i="133"/>
  <c r="Q22" i="133"/>
  <c r="Q26" i="133"/>
  <c r="Q27" i="133"/>
  <c r="Q28" i="133"/>
  <c r="Q36" i="133"/>
  <c r="Q48" i="133"/>
  <c r="R2" i="133"/>
  <c r="R22" i="133"/>
  <c r="R26" i="133"/>
  <c r="R27" i="133"/>
  <c r="R28" i="133"/>
  <c r="R36" i="133"/>
  <c r="R48" i="133"/>
  <c r="S2" i="133"/>
  <c r="S27" i="133"/>
  <c r="S36" i="133"/>
  <c r="S48" i="133"/>
  <c r="T2" i="133"/>
  <c r="T9" i="133"/>
  <c r="T22" i="133"/>
  <c r="T27" i="133"/>
  <c r="T28" i="133"/>
  <c r="T36" i="133"/>
  <c r="T48" i="133"/>
  <c r="U2" i="133"/>
  <c r="U9" i="133"/>
  <c r="U22" i="133"/>
  <c r="U26" i="133"/>
  <c r="U27" i="133"/>
  <c r="U28" i="133"/>
  <c r="U36" i="133"/>
  <c r="U48" i="133"/>
  <c r="V2" i="133"/>
  <c r="V9" i="133"/>
  <c r="V22" i="133"/>
  <c r="V26" i="133"/>
  <c r="V27" i="133"/>
  <c r="V28" i="133"/>
  <c r="V36" i="133"/>
  <c r="V48" i="133"/>
  <c r="W2" i="133"/>
  <c r="W9" i="133"/>
  <c r="W22" i="133"/>
  <c r="W26" i="133"/>
  <c r="W27" i="133"/>
  <c r="W28" i="133"/>
  <c r="W36" i="133"/>
  <c r="W48" i="133"/>
  <c r="D2" i="133"/>
  <c r="D9" i="133"/>
  <c r="D22" i="133"/>
  <c r="D26" i="133"/>
  <c r="D27" i="133"/>
  <c r="D28" i="133"/>
  <c r="D36" i="133"/>
  <c r="D48" i="133"/>
  <c r="E2" i="133"/>
  <c r="E9" i="133"/>
  <c r="E22" i="133"/>
  <c r="E26" i="133"/>
  <c r="E28" i="133"/>
  <c r="F2" i="133"/>
  <c r="F9" i="133"/>
  <c r="F22" i="133"/>
  <c r="F26" i="133"/>
  <c r="F36" i="133"/>
  <c r="F48" i="133"/>
  <c r="G9" i="133"/>
  <c r="G27" i="133"/>
  <c r="G36" i="133"/>
  <c r="G48" i="133"/>
  <c r="H2" i="133"/>
  <c r="H22" i="133"/>
  <c r="H26" i="133"/>
  <c r="H28" i="133"/>
  <c r="H36" i="133"/>
  <c r="L9" i="133"/>
  <c r="L22" i="133"/>
  <c r="L26" i="133"/>
  <c r="L28" i="133"/>
  <c r="L36" i="133"/>
  <c r="M2" i="133"/>
  <c r="M9" i="133"/>
  <c r="M22" i="133"/>
  <c r="M27" i="133"/>
  <c r="N9" i="133"/>
  <c r="N26" i="133"/>
  <c r="N36" i="133"/>
  <c r="N48" i="133"/>
  <c r="O2" i="133"/>
  <c r="O9" i="133"/>
  <c r="O26" i="133"/>
  <c r="O48" i="133"/>
  <c r="P22" i="133"/>
  <c r="P26" i="133"/>
  <c r="P28" i="133"/>
  <c r="R9" i="133"/>
  <c r="S9" i="133"/>
  <c r="S22" i="133"/>
  <c r="S26" i="133"/>
  <c r="S28" i="133"/>
  <c r="T26" i="133"/>
  <c r="E36" i="133"/>
  <c r="E48" i="133"/>
  <c r="G2" i="133"/>
  <c r="G22" i="133"/>
  <c r="G26" i="133"/>
  <c r="G28" i="133"/>
  <c r="H9" i="133"/>
  <c r="H27" i="133"/>
  <c r="O27" i="133"/>
  <c r="E27" i="133"/>
  <c r="F27" i="133"/>
  <c r="F28" i="133"/>
  <c r="I26" i="133"/>
  <c r="J2" i="133"/>
  <c r="J26" i="133"/>
  <c r="H48" i="133"/>
  <c r="I48" i="133"/>
  <c r="J48" i="133"/>
  <c r="I9" i="133"/>
  <c r="I27" i="133"/>
  <c r="J9" i="133"/>
  <c r="J27" i="133"/>
  <c r="I28" i="133"/>
  <c r="I2" i="133"/>
  <c r="J28" i="133"/>
  <c r="J36" i="133"/>
  <c r="K2" i="133"/>
  <c r="I36" i="133"/>
  <c r="I22" i="133"/>
  <c r="J22" i="133"/>
  <c r="K25" i="133"/>
  <c r="L25" i="133"/>
  <c r="N25" i="133"/>
  <c r="P25" i="133"/>
  <c r="Q25" i="133"/>
  <c r="R25" i="133"/>
  <c r="S25" i="133"/>
  <c r="T25" i="133"/>
  <c r="U25" i="133"/>
  <c r="V25" i="133"/>
  <c r="W25" i="133"/>
  <c r="D25" i="133"/>
  <c r="F25" i="133"/>
  <c r="G25" i="133"/>
  <c r="M25" i="133"/>
  <c r="E25" i="133"/>
  <c r="H25" i="133"/>
  <c r="O25" i="133"/>
  <c r="I25" i="133"/>
  <c r="J25" i="133"/>
  <c r="K15" i="133"/>
  <c r="K16" i="133"/>
  <c r="K17" i="133"/>
  <c r="K18" i="133"/>
  <c r="K45" i="133"/>
  <c r="K46" i="133"/>
  <c r="K47" i="133"/>
  <c r="L16" i="133"/>
  <c r="L18" i="133"/>
  <c r="L46" i="133"/>
  <c r="M45" i="133"/>
  <c r="M46" i="133"/>
  <c r="M47" i="133"/>
  <c r="N15" i="133"/>
  <c r="N16" i="133"/>
  <c r="N17" i="133"/>
  <c r="N18" i="133"/>
  <c r="O15" i="133"/>
  <c r="O17" i="133"/>
  <c r="P15" i="133"/>
  <c r="P16" i="133"/>
  <c r="P17" i="133"/>
  <c r="P18" i="133"/>
  <c r="P45" i="133"/>
  <c r="P46" i="133"/>
  <c r="P47" i="133"/>
  <c r="Q15" i="133"/>
  <c r="Q16" i="133"/>
  <c r="Q17" i="133"/>
  <c r="Q18" i="133"/>
  <c r="Q45" i="133"/>
  <c r="Q46" i="133"/>
  <c r="Q47" i="133"/>
  <c r="R15" i="133"/>
  <c r="R16" i="133"/>
  <c r="R17" i="133"/>
  <c r="R18" i="133"/>
  <c r="R45" i="133"/>
  <c r="R46" i="133"/>
  <c r="S18" i="133"/>
  <c r="S46" i="133"/>
  <c r="T15" i="133"/>
  <c r="T16" i="133"/>
  <c r="T17" i="133"/>
  <c r="T18" i="133"/>
  <c r="T45" i="133"/>
  <c r="T46" i="133"/>
  <c r="T47" i="133"/>
  <c r="U15" i="133"/>
  <c r="U16" i="133"/>
  <c r="U17" i="133"/>
  <c r="U18" i="133"/>
  <c r="U45" i="133"/>
  <c r="U46" i="133"/>
  <c r="U47" i="133"/>
  <c r="V15" i="133"/>
  <c r="V16" i="133"/>
  <c r="V17" i="133"/>
  <c r="V18" i="133"/>
  <c r="V45" i="133"/>
  <c r="V46" i="133"/>
  <c r="V47" i="133"/>
  <c r="W15" i="133"/>
  <c r="W16" i="133"/>
  <c r="W17" i="133"/>
  <c r="W18" i="133"/>
  <c r="W46" i="133"/>
  <c r="W47" i="133"/>
  <c r="D15" i="133"/>
  <c r="D16" i="133"/>
  <c r="D17" i="133"/>
  <c r="D18" i="133"/>
  <c r="D45" i="133"/>
  <c r="D47" i="133"/>
  <c r="E45" i="133"/>
  <c r="E47" i="133"/>
  <c r="F15" i="133"/>
  <c r="F16" i="133"/>
  <c r="F17" i="133"/>
  <c r="F18" i="133"/>
  <c r="F45" i="133"/>
  <c r="F46" i="133"/>
  <c r="F47" i="133"/>
  <c r="G15" i="133"/>
  <c r="G17" i="133"/>
  <c r="G18" i="133"/>
  <c r="G45" i="133"/>
  <c r="G46" i="133"/>
  <c r="L15" i="133"/>
  <c r="L17" i="133"/>
  <c r="L45" i="133"/>
  <c r="L47" i="133"/>
  <c r="M15" i="133"/>
  <c r="M16" i="133"/>
  <c r="M17" i="133"/>
  <c r="M18" i="133"/>
  <c r="N45" i="133"/>
  <c r="N46" i="133"/>
  <c r="N47" i="133"/>
  <c r="R47" i="133"/>
  <c r="S15" i="133"/>
  <c r="S16" i="133"/>
  <c r="S17" i="133"/>
  <c r="S45" i="133"/>
  <c r="S47" i="133"/>
  <c r="D46" i="133"/>
  <c r="E15" i="133"/>
  <c r="E16" i="133"/>
  <c r="E17" i="133"/>
  <c r="E18" i="133"/>
  <c r="W45" i="133"/>
  <c r="G16" i="133"/>
  <c r="G47" i="133"/>
  <c r="H15" i="133"/>
  <c r="H16" i="133"/>
  <c r="H17" i="133"/>
  <c r="H18" i="133"/>
  <c r="O16" i="133"/>
  <c r="O18" i="133"/>
  <c r="O45" i="133"/>
  <c r="O46" i="133"/>
  <c r="O47" i="133"/>
  <c r="E46" i="133"/>
  <c r="J47" i="133"/>
  <c r="J17" i="133"/>
  <c r="I47" i="133"/>
  <c r="I15" i="133"/>
  <c r="J15" i="133"/>
  <c r="I16" i="133"/>
  <c r="J16" i="133"/>
  <c r="I17" i="133"/>
  <c r="I18" i="133"/>
  <c r="H45" i="133"/>
  <c r="J18" i="133"/>
  <c r="I45" i="133"/>
  <c r="J45" i="133"/>
  <c r="H46" i="133"/>
  <c r="I46" i="133"/>
  <c r="J46" i="133"/>
  <c r="H47" i="133"/>
  <c r="A130" i="134" l="1"/>
  <c r="A134" i="134"/>
  <c r="A207" i="134"/>
  <c r="A208" i="134"/>
  <c r="A132" i="134"/>
  <c r="A210" i="134"/>
  <c r="A212" i="134"/>
  <c r="A214" i="134"/>
  <c r="S94" i="134"/>
  <c r="S15" i="134"/>
  <c r="S173" i="134"/>
  <c r="K25" i="134"/>
  <c r="K183" i="134"/>
  <c r="K104" i="134"/>
  <c r="E81" i="134"/>
  <c r="E2" i="134"/>
  <c r="E160" i="134"/>
  <c r="P26" i="134"/>
  <c r="P105" i="134"/>
  <c r="P184" i="134"/>
  <c r="I11" i="134"/>
  <c r="I169" i="134"/>
  <c r="I90" i="134"/>
  <c r="D11" i="134"/>
  <c r="D90" i="134"/>
  <c r="D169" i="134"/>
  <c r="V187" i="134"/>
  <c r="V29" i="134"/>
  <c r="V108" i="134"/>
  <c r="E45" i="134"/>
  <c r="E203" i="134"/>
  <c r="E124" i="134"/>
  <c r="J15" i="134"/>
  <c r="J94" i="134"/>
  <c r="J173" i="134"/>
  <c r="K115" i="134"/>
  <c r="K194" i="134"/>
  <c r="K36" i="134"/>
  <c r="S27" i="134"/>
  <c r="S106" i="134"/>
  <c r="S185" i="134"/>
  <c r="K27" i="134"/>
  <c r="K185" i="134"/>
  <c r="K106" i="134"/>
  <c r="P30" i="134"/>
  <c r="P109" i="134"/>
  <c r="P188" i="134"/>
  <c r="G47" i="134"/>
  <c r="G126" i="134"/>
  <c r="G205" i="134"/>
  <c r="E18" i="134"/>
  <c r="E176" i="134"/>
  <c r="E97" i="134"/>
  <c r="O15" i="134"/>
  <c r="O173" i="134"/>
  <c r="O94" i="134"/>
  <c r="I48" i="134"/>
  <c r="I127" i="134"/>
  <c r="I206" i="134"/>
  <c r="U48" i="134"/>
  <c r="U127" i="134"/>
  <c r="U206" i="134"/>
  <c r="P9" i="134"/>
  <c r="P88" i="134"/>
  <c r="P167" i="134"/>
  <c r="C100" i="134"/>
  <c r="C21" i="134"/>
  <c r="C179" i="134"/>
  <c r="I46" i="134"/>
  <c r="I204" i="134"/>
  <c r="I125" i="134"/>
  <c r="U97" i="134"/>
  <c r="U176" i="134"/>
  <c r="U18" i="134"/>
  <c r="H25" i="134"/>
  <c r="H104" i="134"/>
  <c r="H183" i="134"/>
  <c r="K184" i="134"/>
  <c r="K105" i="134"/>
  <c r="K26" i="134"/>
  <c r="J48" i="134"/>
  <c r="J206" i="134"/>
  <c r="J127" i="134"/>
  <c r="P11" i="134"/>
  <c r="P90" i="134"/>
  <c r="P169" i="134"/>
  <c r="H125" i="134"/>
  <c r="H204" i="134"/>
  <c r="H46" i="134"/>
  <c r="E174" i="134"/>
  <c r="E16" i="134"/>
  <c r="E95" i="134"/>
  <c r="N15" i="134"/>
  <c r="N94" i="134"/>
  <c r="N173" i="134"/>
  <c r="R88" i="134"/>
  <c r="R167" i="134"/>
  <c r="R9" i="134"/>
  <c r="O127" i="134"/>
  <c r="O206" i="134"/>
  <c r="O48" i="134"/>
  <c r="M45" i="134"/>
  <c r="M124" i="134"/>
  <c r="M203" i="134"/>
  <c r="Q18" i="134"/>
  <c r="Q176" i="134"/>
  <c r="Q97" i="134"/>
  <c r="I26" i="134"/>
  <c r="I105" i="134"/>
  <c r="I184" i="134"/>
  <c r="U27" i="134"/>
  <c r="U106" i="134"/>
  <c r="U185" i="134"/>
  <c r="O36" i="134"/>
  <c r="O194" i="134"/>
  <c r="O115" i="134"/>
  <c r="V100" i="134"/>
  <c r="V21" i="134"/>
  <c r="V179" i="134"/>
  <c r="M30" i="134"/>
  <c r="M188" i="134"/>
  <c r="M109" i="134"/>
  <c r="G175" i="134"/>
  <c r="G96" i="134"/>
  <c r="G17" i="134"/>
  <c r="Q17" i="134"/>
  <c r="Q175" i="134"/>
  <c r="Q96" i="134"/>
  <c r="I2" i="134"/>
  <c r="I81" i="134"/>
  <c r="I160" i="134"/>
  <c r="U26" i="134"/>
  <c r="U184" i="134"/>
  <c r="U105" i="134"/>
  <c r="V169" i="134"/>
  <c r="V11" i="134"/>
  <c r="V90" i="134"/>
  <c r="G16" i="134"/>
  <c r="G95" i="134"/>
  <c r="G174" i="134"/>
  <c r="D124" i="134"/>
  <c r="D203" i="134"/>
  <c r="D45" i="134"/>
  <c r="M16" i="134"/>
  <c r="M174" i="134"/>
  <c r="M95" i="134"/>
  <c r="G107" i="134"/>
  <c r="G186" i="134"/>
  <c r="G28" i="134"/>
  <c r="J26" i="134"/>
  <c r="J184" i="134"/>
  <c r="J105" i="134"/>
  <c r="L95" i="134"/>
  <c r="L16" i="134"/>
  <c r="L174" i="134"/>
  <c r="M15" i="134"/>
  <c r="M94" i="134"/>
  <c r="M173" i="134"/>
  <c r="U9" i="134"/>
  <c r="U167" i="134"/>
  <c r="U88" i="134"/>
  <c r="L94" i="134"/>
  <c r="L173" i="134"/>
  <c r="L15" i="134"/>
  <c r="P47" i="134"/>
  <c r="P205" i="134"/>
  <c r="P126" i="134"/>
  <c r="E185" i="134"/>
  <c r="E106" i="134"/>
  <c r="E27" i="134"/>
  <c r="U2" i="134"/>
  <c r="U81" i="134"/>
  <c r="U160" i="134"/>
  <c r="O11" i="134"/>
  <c r="O169" i="134"/>
  <c r="O90" i="134"/>
  <c r="F174" i="134"/>
  <c r="F95" i="134"/>
  <c r="F16" i="134"/>
  <c r="T18" i="134"/>
  <c r="T176" i="134"/>
  <c r="T97" i="134"/>
  <c r="D27" i="134"/>
  <c r="D106" i="134"/>
  <c r="D185" i="134"/>
  <c r="T48" i="134"/>
  <c r="T206" i="134"/>
  <c r="T127" i="134"/>
  <c r="H17" i="134"/>
  <c r="H175" i="134"/>
  <c r="H96" i="134"/>
  <c r="C17" i="134"/>
  <c r="C96" i="134"/>
  <c r="C175" i="134"/>
  <c r="V25" i="134"/>
  <c r="V104" i="134"/>
  <c r="V183" i="134"/>
  <c r="N9" i="134"/>
  <c r="N88" i="134"/>
  <c r="N167" i="134"/>
  <c r="T115" i="134"/>
  <c r="T36" i="134"/>
  <c r="T194" i="134"/>
  <c r="N11" i="134"/>
  <c r="N90" i="134"/>
  <c r="N169" i="134"/>
  <c r="I16" i="134"/>
  <c r="I95" i="134"/>
  <c r="I174" i="134"/>
  <c r="C16" i="134"/>
  <c r="C174" i="134"/>
  <c r="C95" i="134"/>
  <c r="U104" i="134"/>
  <c r="U183" i="134"/>
  <c r="U25" i="134"/>
  <c r="N2" i="134"/>
  <c r="N160" i="134"/>
  <c r="N81" i="134"/>
  <c r="T28" i="134"/>
  <c r="T186" i="134"/>
  <c r="T107" i="134"/>
  <c r="M186" i="134"/>
  <c r="M28" i="134"/>
  <c r="M107" i="134"/>
  <c r="J30" i="134"/>
  <c r="J109" i="134"/>
  <c r="J188" i="134"/>
  <c r="K94" i="134"/>
  <c r="K173" i="134"/>
  <c r="K15" i="134"/>
  <c r="K176" i="134"/>
  <c r="K18" i="134"/>
  <c r="K97" i="134"/>
  <c r="C2" i="134"/>
  <c r="C81" i="134"/>
  <c r="C160" i="134"/>
  <c r="I173" i="134"/>
  <c r="I94" i="134"/>
  <c r="I15" i="134"/>
  <c r="F46" i="134"/>
  <c r="F125" i="134"/>
  <c r="F204" i="134"/>
  <c r="K16" i="134"/>
  <c r="K95" i="134"/>
  <c r="K174" i="134"/>
  <c r="F28" i="134"/>
  <c r="F107" i="134"/>
  <c r="F186" i="134"/>
  <c r="V206" i="134"/>
  <c r="V127" i="134"/>
  <c r="V48" i="134"/>
  <c r="Q180" i="134"/>
  <c r="Q22" i="134"/>
  <c r="Q101" i="134"/>
  <c r="G30" i="134"/>
  <c r="G109" i="134"/>
  <c r="G188" i="134"/>
  <c r="J169" i="134"/>
  <c r="J11" i="134"/>
  <c r="J90" i="134"/>
  <c r="D187" i="134"/>
  <c r="D29" i="134"/>
  <c r="D108" i="134"/>
  <c r="P15" i="134"/>
  <c r="P94" i="134"/>
  <c r="P173" i="134"/>
  <c r="T22" i="134"/>
  <c r="T180" i="134"/>
  <c r="T101" i="134"/>
  <c r="H47" i="134"/>
  <c r="H205" i="134"/>
  <c r="H126" i="134"/>
  <c r="C46" i="134"/>
  <c r="C204" i="134"/>
  <c r="C125" i="134"/>
  <c r="F18" i="134"/>
  <c r="F176" i="134"/>
  <c r="F97" i="134"/>
  <c r="V18" i="134"/>
  <c r="V176" i="134"/>
  <c r="V97" i="134"/>
  <c r="S45" i="134"/>
  <c r="S203" i="134"/>
  <c r="S124" i="134"/>
  <c r="O47" i="134"/>
  <c r="O205" i="134"/>
  <c r="O126" i="134"/>
  <c r="J46" i="134"/>
  <c r="J204" i="134"/>
  <c r="J125" i="134"/>
  <c r="Q25" i="134"/>
  <c r="Q183" i="134"/>
  <c r="Q104" i="134"/>
  <c r="H2" i="134"/>
  <c r="H81" i="134"/>
  <c r="H160" i="134"/>
  <c r="F101" i="134"/>
  <c r="F22" i="134"/>
  <c r="F180" i="134"/>
  <c r="M9" i="134"/>
  <c r="M88" i="134"/>
  <c r="M167" i="134"/>
  <c r="E36" i="134"/>
  <c r="E115" i="134"/>
  <c r="E194" i="134"/>
  <c r="V28" i="134"/>
  <c r="V186" i="134"/>
  <c r="V107" i="134"/>
  <c r="T167" i="134"/>
  <c r="T88" i="134"/>
  <c r="T9" i="134"/>
  <c r="P127" i="134"/>
  <c r="P48" i="134"/>
  <c r="P206" i="134"/>
  <c r="L48" i="134"/>
  <c r="L127" i="134"/>
  <c r="L206" i="134"/>
  <c r="H21" i="134"/>
  <c r="H179" i="134"/>
  <c r="H100" i="134"/>
  <c r="F11" i="134"/>
  <c r="F90" i="134"/>
  <c r="F169" i="134"/>
  <c r="R179" i="134"/>
  <c r="R100" i="134"/>
  <c r="R21" i="134"/>
  <c r="M29" i="134"/>
  <c r="M108" i="134"/>
  <c r="M187" i="134"/>
  <c r="E46" i="134"/>
  <c r="E204" i="134"/>
  <c r="E125" i="134"/>
  <c r="S26" i="134"/>
  <c r="S184" i="134"/>
  <c r="S105" i="134"/>
  <c r="N46" i="134"/>
  <c r="N204" i="134"/>
  <c r="N125" i="134"/>
  <c r="R125" i="134"/>
  <c r="R204" i="134"/>
  <c r="R46" i="134"/>
  <c r="H9" i="134"/>
  <c r="H88" i="134"/>
  <c r="H167" i="134"/>
  <c r="V2" i="134"/>
  <c r="V160" i="134"/>
  <c r="V81" i="134"/>
  <c r="C30" i="134"/>
  <c r="C188" i="134"/>
  <c r="C109" i="134"/>
  <c r="U29" i="134"/>
  <c r="U108" i="134"/>
  <c r="U187" i="134"/>
  <c r="D26" i="134"/>
  <c r="D184" i="134"/>
  <c r="D105" i="134"/>
  <c r="K2" i="134"/>
  <c r="K160" i="134"/>
  <c r="K81" i="134"/>
  <c r="T187" i="134"/>
  <c r="T108" i="134"/>
  <c r="T29" i="134"/>
  <c r="N18" i="134"/>
  <c r="N176" i="134"/>
  <c r="N97" i="134"/>
  <c r="Q46" i="134"/>
  <c r="Q125" i="134"/>
  <c r="Q204" i="134"/>
  <c r="H48" i="134"/>
  <c r="H206" i="134"/>
  <c r="H127" i="134"/>
  <c r="U36" i="134"/>
  <c r="U115" i="134"/>
  <c r="U194" i="134"/>
  <c r="P2" i="134"/>
  <c r="P160" i="134"/>
  <c r="P81" i="134"/>
  <c r="C11" i="134"/>
  <c r="C169" i="134"/>
  <c r="C90" i="134"/>
  <c r="N16" i="134"/>
  <c r="N95" i="134"/>
  <c r="N174" i="134"/>
  <c r="U175" i="134"/>
  <c r="U17" i="134"/>
  <c r="U96" i="134"/>
  <c r="N25" i="134"/>
  <c r="N183" i="134"/>
  <c r="N104" i="134"/>
  <c r="K180" i="134"/>
  <c r="K101" i="134"/>
  <c r="K22" i="134"/>
  <c r="J36" i="134"/>
  <c r="J194" i="134"/>
  <c r="J115" i="134"/>
  <c r="G97" i="134"/>
  <c r="G18" i="134"/>
  <c r="G176" i="134"/>
  <c r="U16" i="134"/>
  <c r="U174" i="134"/>
  <c r="U95" i="134"/>
  <c r="G25" i="134"/>
  <c r="G104" i="134"/>
  <c r="G183" i="134"/>
  <c r="K9" i="134"/>
  <c r="K167" i="134"/>
  <c r="K88" i="134"/>
  <c r="J28" i="134"/>
  <c r="J107" i="134"/>
  <c r="J186" i="134"/>
  <c r="D126" i="134"/>
  <c r="D205" i="134"/>
  <c r="D47" i="134"/>
  <c r="D104" i="134"/>
  <c r="D183" i="134"/>
  <c r="D25" i="134"/>
  <c r="G36" i="134"/>
  <c r="G194" i="134"/>
  <c r="G115" i="134"/>
  <c r="O27" i="134"/>
  <c r="O106" i="134"/>
  <c r="O185" i="134"/>
  <c r="P29" i="134"/>
  <c r="P187" i="134"/>
  <c r="P108" i="134"/>
  <c r="H45" i="134"/>
  <c r="H124" i="134"/>
  <c r="H203" i="134"/>
  <c r="T47" i="134"/>
  <c r="T126" i="134"/>
  <c r="T205" i="134"/>
  <c r="H184" i="134"/>
  <c r="H26" i="134"/>
  <c r="H105" i="134"/>
  <c r="C47" i="134"/>
  <c r="C205" i="134"/>
  <c r="C126" i="134"/>
  <c r="Q94" i="134"/>
  <c r="Q173" i="134"/>
  <c r="Q15" i="134"/>
  <c r="E28" i="134"/>
  <c r="E107" i="134"/>
  <c r="E186" i="134"/>
  <c r="G26" i="134"/>
  <c r="G105" i="134"/>
  <c r="G184" i="134"/>
  <c r="O2" i="134"/>
  <c r="O81" i="134"/>
  <c r="O160" i="134"/>
  <c r="U179" i="134"/>
  <c r="U100" i="134"/>
  <c r="U21" i="134"/>
  <c r="G45" i="134"/>
  <c r="G124" i="134"/>
  <c r="G203" i="134"/>
  <c r="C45" i="134"/>
  <c r="C203" i="134"/>
  <c r="C124" i="134"/>
  <c r="L47" i="134"/>
  <c r="L126" i="134"/>
  <c r="L205" i="134"/>
  <c r="C27" i="134"/>
  <c r="C106" i="134"/>
  <c r="C185" i="134"/>
  <c r="L46" i="134"/>
  <c r="L125" i="134"/>
  <c r="L204" i="134"/>
  <c r="N179" i="134"/>
  <c r="N100" i="134"/>
  <c r="N21" i="134"/>
  <c r="I108" i="134"/>
  <c r="I29" i="134"/>
  <c r="I187" i="134"/>
  <c r="K45" i="134"/>
  <c r="K203" i="134"/>
  <c r="K124" i="134"/>
  <c r="L45" i="134"/>
  <c r="L124" i="134"/>
  <c r="L203" i="134"/>
  <c r="N27" i="134"/>
  <c r="N106" i="134"/>
  <c r="N185" i="134"/>
  <c r="C22" i="134"/>
  <c r="C180" i="134"/>
  <c r="C101" i="134"/>
  <c r="N22" i="134"/>
  <c r="N101" i="134"/>
  <c r="N180" i="134"/>
  <c r="K21" i="134"/>
  <c r="K100" i="134"/>
  <c r="K179" i="134"/>
  <c r="P18" i="134"/>
  <c r="P176" i="134"/>
  <c r="P97" i="134"/>
  <c r="T11" i="134"/>
  <c r="T169" i="134"/>
  <c r="T90" i="134"/>
  <c r="D96" i="134"/>
  <c r="D17" i="134"/>
  <c r="D175" i="134"/>
  <c r="P96" i="134"/>
  <c r="P17" i="134"/>
  <c r="P175" i="134"/>
  <c r="F106" i="134"/>
  <c r="F185" i="134"/>
  <c r="F27" i="134"/>
  <c r="V47" i="134"/>
  <c r="V126" i="134"/>
  <c r="V205" i="134"/>
  <c r="S183" i="134"/>
  <c r="S25" i="134"/>
  <c r="S104" i="134"/>
  <c r="M36" i="134"/>
  <c r="M194" i="134"/>
  <c r="M115" i="134"/>
  <c r="T184" i="134"/>
  <c r="T26" i="134"/>
  <c r="T105" i="134"/>
  <c r="S21" i="134"/>
  <c r="S179" i="134"/>
  <c r="S100" i="134"/>
  <c r="D94" i="134"/>
  <c r="D173" i="134"/>
  <c r="D15" i="134"/>
  <c r="S204" i="134"/>
  <c r="S125" i="134"/>
  <c r="S46" i="134"/>
  <c r="I186" i="134"/>
  <c r="I28" i="134"/>
  <c r="I107" i="134"/>
  <c r="E48" i="134"/>
  <c r="E127" i="134"/>
  <c r="E206" i="134"/>
  <c r="M2" i="134"/>
  <c r="M81" i="134"/>
  <c r="M160" i="134"/>
  <c r="I175" i="134"/>
  <c r="I17" i="134"/>
  <c r="I96" i="134"/>
  <c r="R47" i="134"/>
  <c r="R205" i="134"/>
  <c r="R126" i="134"/>
  <c r="F17" i="134"/>
  <c r="F175" i="134"/>
  <c r="F96" i="134"/>
  <c r="V17" i="134"/>
  <c r="V96" i="134"/>
  <c r="V175" i="134"/>
  <c r="S18" i="134"/>
  <c r="S176" i="134"/>
  <c r="S97" i="134"/>
  <c r="O46" i="134"/>
  <c r="O125" i="134"/>
  <c r="O204" i="134"/>
  <c r="J45" i="134"/>
  <c r="J203" i="134"/>
  <c r="J124" i="134"/>
  <c r="P25" i="134"/>
  <c r="P183" i="134"/>
  <c r="P104" i="134"/>
  <c r="H107" i="134"/>
  <c r="H186" i="134"/>
  <c r="H28" i="134"/>
  <c r="F2" i="134"/>
  <c r="F81" i="134"/>
  <c r="F160" i="134"/>
  <c r="L27" i="134"/>
  <c r="L106" i="134"/>
  <c r="L185" i="134"/>
  <c r="E184" i="134"/>
  <c r="E26" i="134"/>
  <c r="E105" i="134"/>
  <c r="V27" i="134"/>
  <c r="V185" i="134"/>
  <c r="V106" i="134"/>
  <c r="T2" i="134"/>
  <c r="T81" i="134"/>
  <c r="T160" i="134"/>
  <c r="P36" i="134"/>
  <c r="P115" i="134"/>
  <c r="P194" i="134"/>
  <c r="L36" i="134"/>
  <c r="L194" i="134"/>
  <c r="L115" i="134"/>
  <c r="I109" i="134"/>
  <c r="I188" i="134"/>
  <c r="I30" i="134"/>
  <c r="E21" i="134"/>
  <c r="E179" i="134"/>
  <c r="E100" i="134"/>
  <c r="R11" i="134"/>
  <c r="R90" i="134"/>
  <c r="R169" i="134"/>
  <c r="K108" i="134"/>
  <c r="K29" i="134"/>
  <c r="K187" i="134"/>
  <c r="N47" i="134"/>
  <c r="N205" i="134"/>
  <c r="N126" i="134"/>
  <c r="U47" i="134"/>
  <c r="U126" i="134"/>
  <c r="U205" i="134"/>
  <c r="J16" i="134"/>
  <c r="J95" i="134"/>
  <c r="J174" i="134"/>
  <c r="L2" i="134"/>
  <c r="L160" i="134"/>
  <c r="L81" i="134"/>
  <c r="V9" i="134"/>
  <c r="V167" i="134"/>
  <c r="V88" i="134"/>
  <c r="K48" i="134"/>
  <c r="K206" i="134"/>
  <c r="K127" i="134"/>
  <c r="Q11" i="134"/>
  <c r="Q169" i="134"/>
  <c r="Q90" i="134"/>
  <c r="R94" i="134"/>
  <c r="R173" i="134"/>
  <c r="R15" i="134"/>
  <c r="O174" i="134"/>
  <c r="O16" i="134"/>
  <c r="O95" i="134"/>
  <c r="R28" i="134"/>
  <c r="R107" i="134"/>
  <c r="R186" i="134"/>
  <c r="P22" i="134"/>
  <c r="P101" i="134"/>
  <c r="P180" i="134"/>
  <c r="Q47" i="134"/>
  <c r="Q205" i="134"/>
  <c r="Q126" i="134"/>
  <c r="R18" i="134"/>
  <c r="R176" i="134"/>
  <c r="R97" i="134"/>
  <c r="I25" i="134"/>
  <c r="I104" i="134"/>
  <c r="I183" i="134"/>
  <c r="K28" i="134"/>
  <c r="K186" i="134"/>
  <c r="K107" i="134"/>
  <c r="S180" i="134"/>
  <c r="S22" i="134"/>
  <c r="S101" i="134"/>
  <c r="N30" i="134"/>
  <c r="N109" i="134"/>
  <c r="N188" i="134"/>
  <c r="P21" i="134"/>
  <c r="P100" i="134"/>
  <c r="P179" i="134"/>
  <c r="M47" i="134"/>
  <c r="M126" i="134"/>
  <c r="M205" i="134"/>
  <c r="D22" i="134"/>
  <c r="D180" i="134"/>
  <c r="D101" i="134"/>
  <c r="G179" i="134"/>
  <c r="G100" i="134"/>
  <c r="G21" i="134"/>
  <c r="S29" i="134"/>
  <c r="S187" i="134"/>
  <c r="S108" i="134"/>
  <c r="U186" i="134"/>
  <c r="U28" i="134"/>
  <c r="U107" i="134"/>
  <c r="R29" i="134"/>
  <c r="R108" i="134"/>
  <c r="R187" i="134"/>
  <c r="D2" i="134"/>
  <c r="D81" i="134"/>
  <c r="D160" i="134"/>
  <c r="F188" i="134"/>
  <c r="F109" i="134"/>
  <c r="F30" i="134"/>
  <c r="I45" i="134"/>
  <c r="I203" i="134"/>
  <c r="I124" i="134"/>
  <c r="U94" i="134"/>
  <c r="U15" i="134"/>
  <c r="U173" i="134"/>
  <c r="M17" i="134"/>
  <c r="M96" i="134"/>
  <c r="M175" i="134"/>
  <c r="O28" i="134"/>
  <c r="O107" i="134"/>
  <c r="O186" i="134"/>
  <c r="R115" i="134"/>
  <c r="R36" i="134"/>
  <c r="R194" i="134"/>
  <c r="D21" i="134"/>
  <c r="D179" i="134"/>
  <c r="D100" i="134"/>
  <c r="L175" i="134"/>
  <c r="L17" i="134"/>
  <c r="L96" i="134"/>
  <c r="Q16" i="134"/>
  <c r="Q174" i="134"/>
  <c r="Q95" i="134"/>
  <c r="L25" i="134"/>
  <c r="L183" i="134"/>
  <c r="L104" i="134"/>
  <c r="O184" i="134"/>
  <c r="O26" i="134"/>
  <c r="O105" i="134"/>
  <c r="U22" i="134"/>
  <c r="U101" i="134"/>
  <c r="U180" i="134"/>
  <c r="O167" i="134"/>
  <c r="O88" i="134"/>
  <c r="O9" i="134"/>
  <c r="R30" i="134"/>
  <c r="R109" i="134"/>
  <c r="R188" i="134"/>
  <c r="M11" i="134"/>
  <c r="M90" i="134"/>
  <c r="M169" i="134"/>
  <c r="I18" i="134"/>
  <c r="I97" i="134"/>
  <c r="I176" i="134"/>
  <c r="T46" i="134"/>
  <c r="T204" i="134"/>
  <c r="T125" i="134"/>
  <c r="F183" i="134"/>
  <c r="F104" i="134"/>
  <c r="F25" i="134"/>
  <c r="O22" i="134"/>
  <c r="O101" i="134"/>
  <c r="O180" i="134"/>
  <c r="R2" i="134"/>
  <c r="R160" i="134"/>
  <c r="R81" i="134"/>
  <c r="J22" i="134"/>
  <c r="J180" i="134"/>
  <c r="J101" i="134"/>
  <c r="L30" i="134"/>
  <c r="L188" i="134"/>
  <c r="L109" i="134"/>
  <c r="F47" i="134"/>
  <c r="F126" i="134"/>
  <c r="F205" i="134"/>
  <c r="T124" i="134"/>
  <c r="T203" i="134"/>
  <c r="T45" i="134"/>
  <c r="E25" i="134"/>
  <c r="E183" i="134"/>
  <c r="E104" i="134"/>
  <c r="N48" i="134"/>
  <c r="N127" i="134"/>
  <c r="N206" i="134"/>
  <c r="Q48" i="134"/>
  <c r="Q127" i="134"/>
  <c r="Q206" i="134"/>
  <c r="N36" i="134"/>
  <c r="N194" i="134"/>
  <c r="N115" i="134"/>
  <c r="J9" i="134"/>
  <c r="J88" i="134"/>
  <c r="J167" i="134"/>
  <c r="U11" i="134"/>
  <c r="U90" i="134"/>
  <c r="U169" i="134"/>
  <c r="J29" i="134"/>
  <c r="J187" i="134"/>
  <c r="J108" i="134"/>
  <c r="H18" i="134"/>
  <c r="H97" i="134"/>
  <c r="H176" i="134"/>
  <c r="C176" i="134"/>
  <c r="C18" i="134"/>
  <c r="C97" i="134"/>
  <c r="C25" i="134"/>
  <c r="C183" i="134"/>
  <c r="C104" i="134"/>
  <c r="N26" i="134"/>
  <c r="N105" i="134"/>
  <c r="N184" i="134"/>
  <c r="C26" i="134"/>
  <c r="C184" i="134"/>
  <c r="C105" i="134"/>
  <c r="N28" i="134"/>
  <c r="N107" i="134"/>
  <c r="N186" i="134"/>
  <c r="K30" i="134"/>
  <c r="K188" i="134"/>
  <c r="K109" i="134"/>
  <c r="P203" i="134"/>
  <c r="P124" i="134"/>
  <c r="P45" i="134"/>
  <c r="T21" i="134"/>
  <c r="T100" i="134"/>
  <c r="T179" i="134"/>
  <c r="H29" i="134"/>
  <c r="H108" i="134"/>
  <c r="H187" i="134"/>
  <c r="K17" i="134"/>
  <c r="K96" i="134"/>
  <c r="K175" i="134"/>
  <c r="T16" i="134"/>
  <c r="T174" i="134"/>
  <c r="T95" i="134"/>
  <c r="H36" i="134"/>
  <c r="H194" i="134"/>
  <c r="H115" i="134"/>
  <c r="G185" i="134"/>
  <c r="G106" i="134"/>
  <c r="G27" i="134"/>
  <c r="C167" i="134"/>
  <c r="C9" i="134"/>
  <c r="C88" i="134"/>
  <c r="Q27" i="134"/>
  <c r="Q185" i="134"/>
  <c r="Q106" i="134"/>
  <c r="L21" i="134"/>
  <c r="L179" i="134"/>
  <c r="L100" i="134"/>
  <c r="H16" i="134"/>
  <c r="H174" i="134"/>
  <c r="H95" i="134"/>
  <c r="T15" i="134"/>
  <c r="T94" i="134"/>
  <c r="T173" i="134"/>
  <c r="J2" i="134"/>
  <c r="J160" i="134"/>
  <c r="J81" i="134"/>
  <c r="M48" i="134"/>
  <c r="M127" i="134"/>
  <c r="M206" i="134"/>
  <c r="T27" i="134"/>
  <c r="T106" i="134"/>
  <c r="T185" i="134"/>
  <c r="M27" i="134"/>
  <c r="M106" i="134"/>
  <c r="M185" i="134"/>
  <c r="S109" i="134"/>
  <c r="S188" i="134"/>
  <c r="S30" i="134"/>
  <c r="J21" i="134"/>
  <c r="J179" i="134"/>
  <c r="J100" i="134"/>
  <c r="G29" i="134"/>
  <c r="G187" i="134"/>
  <c r="G108" i="134"/>
  <c r="P16" i="134"/>
  <c r="P95" i="134"/>
  <c r="P174" i="134"/>
  <c r="F45" i="134"/>
  <c r="F124" i="134"/>
  <c r="F203" i="134"/>
  <c r="R104" i="134"/>
  <c r="R183" i="134"/>
  <c r="R25" i="134"/>
  <c r="M26" i="134"/>
  <c r="M105" i="134"/>
  <c r="M184" i="134"/>
  <c r="I179" i="134"/>
  <c r="I21" i="134"/>
  <c r="I100" i="134"/>
  <c r="I47" i="134"/>
  <c r="I126" i="134"/>
  <c r="I205" i="134"/>
  <c r="R45" i="134"/>
  <c r="R203" i="134"/>
  <c r="R124" i="134"/>
  <c r="F173" i="134"/>
  <c r="F94" i="134"/>
  <c r="F15" i="134"/>
  <c r="V16" i="134"/>
  <c r="V174" i="134"/>
  <c r="V95" i="134"/>
  <c r="S96" i="134"/>
  <c r="S175" i="134"/>
  <c r="S17" i="134"/>
  <c r="O45" i="134"/>
  <c r="O124" i="134"/>
  <c r="O203" i="134"/>
  <c r="J176" i="134"/>
  <c r="J97" i="134"/>
  <c r="J18" i="134"/>
  <c r="O183" i="134"/>
  <c r="O25" i="134"/>
  <c r="O104" i="134"/>
  <c r="I27" i="134"/>
  <c r="I106" i="134"/>
  <c r="I185" i="134"/>
  <c r="D48" i="134"/>
  <c r="D206" i="134"/>
  <c r="D127" i="134"/>
  <c r="L22" i="134"/>
  <c r="L101" i="134"/>
  <c r="L180" i="134"/>
  <c r="E22" i="134"/>
  <c r="E180" i="134"/>
  <c r="E101" i="134"/>
  <c r="V26" i="134"/>
  <c r="V184" i="134"/>
  <c r="V105" i="134"/>
  <c r="S48" i="134"/>
  <c r="S127" i="134"/>
  <c r="S206" i="134"/>
  <c r="P28" i="134"/>
  <c r="P107" i="134"/>
  <c r="P186" i="134"/>
  <c r="L28" i="134"/>
  <c r="L107" i="134"/>
  <c r="L186" i="134"/>
  <c r="H30" i="134"/>
  <c r="H109" i="134"/>
  <c r="H188" i="134"/>
  <c r="E169" i="134"/>
  <c r="E11" i="134"/>
  <c r="E90" i="134"/>
  <c r="Q30" i="134"/>
  <c r="Q109" i="134"/>
  <c r="Q188" i="134"/>
  <c r="F187" i="134"/>
  <c r="F29" i="134"/>
  <c r="F108" i="134"/>
  <c r="R16" i="134"/>
  <c r="R174" i="134"/>
  <c r="R95" i="134"/>
  <c r="O17" i="134"/>
  <c r="O175" i="134"/>
  <c r="O96" i="134"/>
  <c r="H185" i="134"/>
  <c r="H27" i="134"/>
  <c r="H106" i="134"/>
  <c r="S186" i="134"/>
  <c r="S107" i="134"/>
  <c r="S28" i="134"/>
  <c r="U46" i="134"/>
  <c r="U125" i="134"/>
  <c r="U204" i="134"/>
  <c r="J25" i="134"/>
  <c r="J183" i="134"/>
  <c r="J104" i="134"/>
  <c r="D107" i="134"/>
  <c r="D28" i="134"/>
  <c r="D186" i="134"/>
  <c r="E30" i="134"/>
  <c r="E109" i="134"/>
  <c r="E188" i="134"/>
  <c r="N45" i="134"/>
  <c r="N203" i="134"/>
  <c r="N124" i="134"/>
  <c r="U124" i="134"/>
  <c r="U203" i="134"/>
  <c r="U45" i="134"/>
  <c r="R26" i="134"/>
  <c r="R184" i="134"/>
  <c r="R105" i="134"/>
  <c r="E175" i="134"/>
  <c r="E17" i="134"/>
  <c r="E96" i="134"/>
  <c r="N17" i="134"/>
  <c r="N96" i="134"/>
  <c r="N175" i="134"/>
  <c r="R101" i="134"/>
  <c r="R22" i="134"/>
  <c r="R180" i="134"/>
  <c r="S88" i="134"/>
  <c r="S9" i="134"/>
  <c r="S167" i="134"/>
  <c r="M204" i="134"/>
  <c r="M46" i="134"/>
  <c r="M125" i="134"/>
  <c r="Q203" i="134"/>
  <c r="Q124" i="134"/>
  <c r="Q45" i="134"/>
  <c r="G48" i="134"/>
  <c r="G127" i="134"/>
  <c r="G206" i="134"/>
  <c r="D88" i="134"/>
  <c r="D9" i="134"/>
  <c r="D167" i="134"/>
  <c r="S2" i="134"/>
  <c r="S81" i="134"/>
  <c r="S160" i="134"/>
  <c r="G90" i="134"/>
  <c r="G169" i="134"/>
  <c r="G11" i="134"/>
  <c r="V188" i="134"/>
  <c r="V109" i="134"/>
  <c r="V30" i="134"/>
  <c r="O21" i="134"/>
  <c r="O179" i="134"/>
  <c r="O100" i="134"/>
  <c r="G46" i="134"/>
  <c r="G204" i="134"/>
  <c r="G125" i="134"/>
  <c r="E15" i="134"/>
  <c r="E173" i="134"/>
  <c r="E94" i="134"/>
  <c r="M18" i="134"/>
  <c r="M176" i="134"/>
  <c r="M97" i="134"/>
  <c r="Q9" i="134"/>
  <c r="Q88" i="134"/>
  <c r="Q167" i="134"/>
  <c r="R48" i="134"/>
  <c r="R206" i="134"/>
  <c r="R127" i="134"/>
  <c r="Q187" i="134"/>
  <c r="Q29" i="134"/>
  <c r="Q108" i="134"/>
  <c r="L18" i="134"/>
  <c r="L176" i="134"/>
  <c r="L97" i="134"/>
  <c r="C127" i="134"/>
  <c r="C206" i="134"/>
  <c r="C48" i="134"/>
  <c r="J106" i="134"/>
  <c r="J27" i="134"/>
  <c r="J185" i="134"/>
  <c r="M21" i="134"/>
  <c r="M179" i="134"/>
  <c r="M100" i="134"/>
  <c r="C115" i="134"/>
  <c r="C36" i="134"/>
  <c r="C194" i="134"/>
  <c r="R27" i="134"/>
  <c r="R106" i="134"/>
  <c r="R185" i="134"/>
  <c r="U30" i="134"/>
  <c r="U188" i="134"/>
  <c r="U109" i="134"/>
  <c r="O29" i="134"/>
  <c r="O108" i="134"/>
  <c r="O187" i="134"/>
  <c r="G15" i="134"/>
  <c r="G173" i="134"/>
  <c r="G94" i="134"/>
  <c r="C107" i="134"/>
  <c r="C186" i="134"/>
  <c r="C28" i="134"/>
  <c r="O30" i="134"/>
  <c r="O109" i="134"/>
  <c r="O188" i="134"/>
  <c r="L29" i="134"/>
  <c r="L187" i="134"/>
  <c r="L108" i="134"/>
  <c r="G180" i="134"/>
  <c r="G101" i="134"/>
  <c r="G22" i="134"/>
  <c r="L11" i="134"/>
  <c r="L90" i="134"/>
  <c r="L169" i="134"/>
  <c r="K47" i="134"/>
  <c r="K205" i="134"/>
  <c r="K126" i="134"/>
  <c r="P204" i="134"/>
  <c r="P125" i="134"/>
  <c r="P46" i="134"/>
  <c r="I22" i="134"/>
  <c r="I101" i="134"/>
  <c r="I180" i="134"/>
  <c r="G2" i="134"/>
  <c r="G81" i="134"/>
  <c r="G160" i="134"/>
  <c r="Q194" i="134"/>
  <c r="Q115" i="134"/>
  <c r="Q36" i="134"/>
  <c r="T30" i="134"/>
  <c r="T188" i="134"/>
  <c r="T109" i="134"/>
  <c r="V203" i="134"/>
  <c r="V45" i="134"/>
  <c r="V124" i="134"/>
  <c r="T96" i="134"/>
  <c r="T17" i="134"/>
  <c r="T175" i="134"/>
  <c r="H22" i="134"/>
  <c r="H180" i="134"/>
  <c r="H101" i="134"/>
  <c r="F48" i="134"/>
  <c r="F127" i="134"/>
  <c r="F206" i="134"/>
  <c r="Q28" i="134"/>
  <c r="Q107" i="134"/>
  <c r="Q186" i="134"/>
  <c r="D176" i="134"/>
  <c r="D97" i="134"/>
  <c r="D18" i="134"/>
  <c r="K46" i="134"/>
  <c r="K125" i="134"/>
  <c r="K204" i="134"/>
  <c r="F194" i="134"/>
  <c r="F36" i="134"/>
  <c r="F115" i="134"/>
  <c r="E29" i="134"/>
  <c r="E108" i="134"/>
  <c r="E187" i="134"/>
  <c r="C173" i="134"/>
  <c r="C15" i="134"/>
  <c r="C94" i="134"/>
  <c r="T183" i="134"/>
  <c r="T104" i="134"/>
  <c r="T25" i="134"/>
  <c r="G167" i="134"/>
  <c r="G9" i="134"/>
  <c r="G88" i="134"/>
  <c r="Q26" i="134"/>
  <c r="Q105" i="134"/>
  <c r="Q184" i="134"/>
  <c r="K11" i="134"/>
  <c r="K90" i="134"/>
  <c r="K169" i="134"/>
  <c r="D16" i="134"/>
  <c r="D95" i="134"/>
  <c r="D174" i="134"/>
  <c r="S47" i="134"/>
  <c r="S126" i="134"/>
  <c r="S205" i="134"/>
  <c r="I36" i="134"/>
  <c r="I115" i="134"/>
  <c r="I194" i="134"/>
  <c r="F88" i="134"/>
  <c r="F167" i="134"/>
  <c r="F9" i="134"/>
  <c r="M22" i="134"/>
  <c r="M101" i="134"/>
  <c r="M180" i="134"/>
  <c r="H173" i="134"/>
  <c r="H94" i="134"/>
  <c r="H15" i="134"/>
  <c r="V46" i="134"/>
  <c r="V125" i="134"/>
  <c r="V204" i="134"/>
  <c r="J126" i="134"/>
  <c r="J205" i="134"/>
  <c r="J47" i="134"/>
  <c r="F26" i="134"/>
  <c r="F184" i="134"/>
  <c r="F105" i="134"/>
  <c r="V36" i="134"/>
  <c r="V194" i="134"/>
  <c r="V115" i="134"/>
  <c r="Q2" i="134"/>
  <c r="Q81" i="134"/>
  <c r="Q160" i="134"/>
  <c r="F21" i="134"/>
  <c r="F179" i="134"/>
  <c r="F100" i="134"/>
  <c r="S11" i="134"/>
  <c r="S169" i="134"/>
  <c r="S90" i="134"/>
  <c r="N29" i="134"/>
  <c r="N108" i="134"/>
  <c r="N187" i="134"/>
  <c r="D125" i="134"/>
  <c r="D46" i="134"/>
  <c r="D204" i="134"/>
  <c r="R96" i="134"/>
  <c r="R17" i="134"/>
  <c r="R175" i="134"/>
  <c r="E205" i="134"/>
  <c r="E47" i="134"/>
  <c r="E126" i="134"/>
  <c r="V173" i="134"/>
  <c r="V94" i="134"/>
  <c r="V15" i="134"/>
  <c r="S16" i="134"/>
  <c r="S95" i="134"/>
  <c r="S174" i="134"/>
  <c r="O18" i="134"/>
  <c r="O176" i="134"/>
  <c r="O97" i="134"/>
  <c r="J175" i="134"/>
  <c r="J17" i="134"/>
  <c r="J96" i="134"/>
  <c r="M25" i="134"/>
  <c r="M183" i="134"/>
  <c r="M104" i="134"/>
  <c r="I9" i="134"/>
  <c r="I167" i="134"/>
  <c r="I88" i="134"/>
  <c r="D36" i="134"/>
  <c r="D194" i="134"/>
  <c r="D115" i="134"/>
  <c r="L9" i="134"/>
  <c r="L88" i="134"/>
  <c r="L167" i="134"/>
  <c r="E9" i="134"/>
  <c r="E167" i="134"/>
  <c r="E88" i="134"/>
  <c r="V101" i="134"/>
  <c r="V180" i="134"/>
  <c r="V22" i="134"/>
  <c r="S36" i="134"/>
  <c r="S194" i="134"/>
  <c r="S115" i="134"/>
  <c r="P27" i="134"/>
  <c r="P106" i="134"/>
  <c r="P185" i="134"/>
  <c r="L184" i="134"/>
  <c r="L105" i="134"/>
  <c r="L26" i="134"/>
  <c r="H11" i="134"/>
  <c r="H90" i="134"/>
  <c r="H169" i="134"/>
  <c r="D109" i="134"/>
  <c r="D188" i="134"/>
  <c r="D30" i="134"/>
  <c r="Q100" i="134"/>
  <c r="Q21" i="134"/>
  <c r="Q179" i="134"/>
  <c r="C29" i="134"/>
  <c r="C108" i="134"/>
  <c r="C187" i="134"/>
  <c r="B50" i="138"/>
  <c r="C50" i="138"/>
  <c r="B51" i="138"/>
  <c r="C51" i="138"/>
  <c r="B52" i="138"/>
  <c r="C52" i="138"/>
  <c r="B53" i="138"/>
  <c r="C53" i="138"/>
  <c r="B54" i="138"/>
  <c r="C54" i="138"/>
  <c r="B55" i="138"/>
  <c r="C55" i="138"/>
  <c r="B56" i="138"/>
  <c r="C56" i="138"/>
  <c r="C49" i="138"/>
  <c r="B49" i="138"/>
  <c r="D22" i="137"/>
  <c r="K2" i="137"/>
  <c r="L2" i="137"/>
  <c r="M2" i="137"/>
  <c r="N2" i="137"/>
  <c r="O2" i="137"/>
  <c r="P2" i="137"/>
  <c r="Q2" i="137"/>
  <c r="R2" i="137"/>
  <c r="S2" i="137"/>
  <c r="T2" i="137"/>
  <c r="U2" i="137"/>
  <c r="V2" i="137"/>
  <c r="W2" i="137"/>
  <c r="K3" i="137"/>
  <c r="L3" i="137"/>
  <c r="M3" i="137"/>
  <c r="N3" i="137"/>
  <c r="O3" i="137"/>
  <c r="P3" i="137"/>
  <c r="Q3" i="137"/>
  <c r="R3" i="137"/>
  <c r="S3" i="137"/>
  <c r="T3" i="137"/>
  <c r="U3" i="137"/>
  <c r="V3" i="137"/>
  <c r="W3" i="137"/>
  <c r="K4" i="137"/>
  <c r="L4" i="137"/>
  <c r="M4" i="137"/>
  <c r="N4" i="137"/>
  <c r="O4" i="137"/>
  <c r="P4" i="137"/>
  <c r="Q4" i="137"/>
  <c r="R4" i="137"/>
  <c r="S4" i="137"/>
  <c r="T4" i="137"/>
  <c r="U4" i="137"/>
  <c r="V4" i="137"/>
  <c r="W4" i="137"/>
  <c r="K5" i="137"/>
  <c r="L5" i="137"/>
  <c r="M5" i="137"/>
  <c r="N5" i="137"/>
  <c r="O5" i="137"/>
  <c r="P5" i="137"/>
  <c r="Q5" i="137"/>
  <c r="R5" i="137"/>
  <c r="S5" i="137"/>
  <c r="T5" i="137"/>
  <c r="U5" i="137"/>
  <c r="V5" i="137"/>
  <c r="W5" i="137"/>
  <c r="K6" i="137"/>
  <c r="L6" i="137"/>
  <c r="M6" i="137"/>
  <c r="N6" i="137"/>
  <c r="O6" i="137"/>
  <c r="P6" i="137"/>
  <c r="Q6" i="137"/>
  <c r="R6" i="137"/>
  <c r="S6" i="137"/>
  <c r="T6" i="137"/>
  <c r="U6" i="137"/>
  <c r="V6" i="137"/>
  <c r="W6" i="137"/>
  <c r="K7" i="137"/>
  <c r="L7" i="137"/>
  <c r="M7" i="137"/>
  <c r="N7" i="137"/>
  <c r="O7" i="137"/>
  <c r="P7" i="137"/>
  <c r="Q7" i="137"/>
  <c r="R7" i="137"/>
  <c r="S7" i="137"/>
  <c r="T7" i="137"/>
  <c r="U7" i="137"/>
  <c r="V7" i="137"/>
  <c r="W7" i="137"/>
  <c r="K8" i="137"/>
  <c r="L8" i="137"/>
  <c r="M8" i="137"/>
  <c r="N8" i="137"/>
  <c r="O8" i="137"/>
  <c r="P8" i="137"/>
  <c r="Q8" i="137"/>
  <c r="R8" i="137"/>
  <c r="S8" i="137"/>
  <c r="T8" i="137"/>
  <c r="U8" i="137"/>
  <c r="V8" i="137"/>
  <c r="W8" i="137"/>
  <c r="K9" i="137"/>
  <c r="L9" i="137"/>
  <c r="M9" i="137"/>
  <c r="N9" i="137"/>
  <c r="O9" i="137"/>
  <c r="P9" i="137"/>
  <c r="Q9" i="137"/>
  <c r="R9" i="137"/>
  <c r="S9" i="137"/>
  <c r="T9" i="137"/>
  <c r="U9" i="137"/>
  <c r="V9" i="137"/>
  <c r="W9" i="137"/>
  <c r="F2" i="137"/>
  <c r="G2" i="137"/>
  <c r="H2" i="137"/>
  <c r="I2" i="137"/>
  <c r="J2" i="137"/>
  <c r="F3" i="137"/>
  <c r="G3" i="137"/>
  <c r="H3" i="137"/>
  <c r="I3" i="137"/>
  <c r="J3" i="137"/>
  <c r="F4" i="137"/>
  <c r="G4" i="137"/>
  <c r="H4" i="137"/>
  <c r="I4" i="137"/>
  <c r="J4" i="137"/>
  <c r="F5" i="137"/>
  <c r="G5" i="137"/>
  <c r="H5" i="137"/>
  <c r="I5" i="137"/>
  <c r="J5" i="137"/>
  <c r="F6" i="137"/>
  <c r="G6" i="137"/>
  <c r="H6" i="137"/>
  <c r="I6" i="137"/>
  <c r="J6" i="137"/>
  <c r="F7" i="137"/>
  <c r="G7" i="137"/>
  <c r="H7" i="137"/>
  <c r="I7" i="137"/>
  <c r="J7" i="137"/>
  <c r="F8" i="137"/>
  <c r="G8" i="137"/>
  <c r="H8" i="137"/>
  <c r="I8" i="137"/>
  <c r="J8" i="137"/>
  <c r="F9" i="137"/>
  <c r="G9" i="137"/>
  <c r="H9" i="137"/>
  <c r="I9" i="137"/>
  <c r="J9" i="137"/>
  <c r="E4" i="137"/>
  <c r="E3" i="137"/>
  <c r="E2" i="137"/>
  <c r="E5" i="137"/>
  <c r="E6" i="137"/>
  <c r="E7" i="137"/>
  <c r="E8" i="137"/>
  <c r="E9" i="137"/>
  <c r="D3" i="137"/>
  <c r="D4" i="137"/>
  <c r="D5" i="137"/>
  <c r="D6" i="137"/>
  <c r="D7" i="137"/>
  <c r="D8" i="137"/>
  <c r="D9" i="137"/>
  <c r="E2" i="136"/>
  <c r="F2" i="136"/>
  <c r="G2" i="136"/>
  <c r="H2" i="136"/>
  <c r="I2" i="136"/>
  <c r="J2" i="136"/>
  <c r="K2" i="136"/>
  <c r="L2" i="136"/>
  <c r="M2" i="136"/>
  <c r="N2" i="136"/>
  <c r="O2" i="136"/>
  <c r="P2" i="136"/>
  <c r="Q2" i="136"/>
  <c r="R2" i="136"/>
  <c r="S2" i="136"/>
  <c r="T2" i="136"/>
  <c r="U2" i="136"/>
  <c r="V2" i="136"/>
  <c r="W2" i="136"/>
  <c r="E3" i="136"/>
  <c r="F3" i="136"/>
  <c r="G3" i="136"/>
  <c r="H3" i="136"/>
  <c r="I3" i="136"/>
  <c r="J3" i="136"/>
  <c r="K3" i="136"/>
  <c r="L3" i="136"/>
  <c r="M3" i="136"/>
  <c r="N3" i="136"/>
  <c r="O3" i="136"/>
  <c r="P3" i="136"/>
  <c r="Q3" i="136"/>
  <c r="R3" i="136"/>
  <c r="S3" i="136"/>
  <c r="T3" i="136"/>
  <c r="U3" i="136"/>
  <c r="V3" i="136"/>
  <c r="W3" i="136"/>
  <c r="E4" i="136"/>
  <c r="F4" i="136"/>
  <c r="G4" i="136"/>
  <c r="H4" i="136"/>
  <c r="I4" i="136"/>
  <c r="J4" i="136"/>
  <c r="K4" i="136"/>
  <c r="L4" i="136"/>
  <c r="M4" i="136"/>
  <c r="N4" i="136"/>
  <c r="O4" i="136"/>
  <c r="P4" i="136"/>
  <c r="Q4" i="136"/>
  <c r="R4" i="136"/>
  <c r="S4" i="136"/>
  <c r="T4" i="136"/>
  <c r="U4" i="136"/>
  <c r="V4" i="136"/>
  <c r="W4" i="136"/>
  <c r="E5" i="136"/>
  <c r="F5" i="136"/>
  <c r="G5" i="136"/>
  <c r="H5" i="136"/>
  <c r="I5" i="136"/>
  <c r="J5" i="136"/>
  <c r="K5" i="136"/>
  <c r="L5" i="136"/>
  <c r="M5" i="136"/>
  <c r="N5" i="136"/>
  <c r="O5" i="136"/>
  <c r="P5" i="136"/>
  <c r="Q5" i="136"/>
  <c r="R5" i="136"/>
  <c r="S5" i="136"/>
  <c r="T5" i="136"/>
  <c r="U5" i="136"/>
  <c r="V5" i="136"/>
  <c r="W5" i="136"/>
  <c r="E6" i="136"/>
  <c r="F6" i="136"/>
  <c r="G6" i="136"/>
  <c r="H6" i="136"/>
  <c r="I6" i="136"/>
  <c r="J6" i="136"/>
  <c r="K6" i="136"/>
  <c r="L6" i="136"/>
  <c r="M6" i="136"/>
  <c r="N6" i="136"/>
  <c r="O6" i="136"/>
  <c r="P6" i="136"/>
  <c r="Q6" i="136"/>
  <c r="R6" i="136"/>
  <c r="S6" i="136"/>
  <c r="T6" i="136"/>
  <c r="U6" i="136"/>
  <c r="V6" i="136"/>
  <c r="W6" i="136"/>
  <c r="E7" i="136"/>
  <c r="F7" i="136"/>
  <c r="G7" i="136"/>
  <c r="H7" i="136"/>
  <c r="I7" i="136"/>
  <c r="J7" i="136"/>
  <c r="K7" i="136"/>
  <c r="L7" i="136"/>
  <c r="M7" i="136"/>
  <c r="N7" i="136"/>
  <c r="O7" i="136"/>
  <c r="P7" i="136"/>
  <c r="Q7" i="136"/>
  <c r="R7" i="136"/>
  <c r="S7" i="136"/>
  <c r="T7" i="136"/>
  <c r="U7" i="136"/>
  <c r="V7" i="136"/>
  <c r="W7" i="136"/>
  <c r="E8" i="136"/>
  <c r="F8" i="136"/>
  <c r="G8" i="136"/>
  <c r="H8" i="136"/>
  <c r="I8" i="136"/>
  <c r="J8" i="136"/>
  <c r="K8" i="136"/>
  <c r="L8" i="136"/>
  <c r="M8" i="136"/>
  <c r="N8" i="136"/>
  <c r="O8" i="136"/>
  <c r="P8" i="136"/>
  <c r="Q8" i="136"/>
  <c r="R8" i="136"/>
  <c r="S8" i="136"/>
  <c r="T8" i="136"/>
  <c r="U8" i="136"/>
  <c r="V8" i="136"/>
  <c r="W8" i="136"/>
  <c r="E9" i="136"/>
  <c r="F9" i="136"/>
  <c r="G9" i="136"/>
  <c r="H9" i="136"/>
  <c r="I9" i="136"/>
  <c r="J9" i="136"/>
  <c r="K9" i="136"/>
  <c r="L9" i="136"/>
  <c r="M9" i="136"/>
  <c r="N9" i="136"/>
  <c r="O9" i="136"/>
  <c r="P9" i="136"/>
  <c r="Q9" i="136"/>
  <c r="R9" i="136"/>
  <c r="S9" i="136"/>
  <c r="T9" i="136"/>
  <c r="U9" i="136"/>
  <c r="V9" i="136"/>
  <c r="W9" i="136"/>
  <c r="E10" i="136"/>
  <c r="F10" i="136"/>
  <c r="G10" i="136"/>
  <c r="H10" i="136"/>
  <c r="I10" i="136"/>
  <c r="J10" i="136"/>
  <c r="K10" i="136"/>
  <c r="L10" i="136"/>
  <c r="M10" i="136"/>
  <c r="N10" i="136"/>
  <c r="O10" i="136"/>
  <c r="P10" i="136"/>
  <c r="Q10" i="136"/>
  <c r="R10" i="136"/>
  <c r="S10" i="136"/>
  <c r="T10" i="136"/>
  <c r="U10" i="136"/>
  <c r="V10" i="136"/>
  <c r="W10" i="136"/>
  <c r="E11" i="136"/>
  <c r="F11" i="136"/>
  <c r="G11" i="136"/>
  <c r="H11" i="136"/>
  <c r="I11" i="136"/>
  <c r="J11" i="136"/>
  <c r="K11" i="136"/>
  <c r="L11" i="136"/>
  <c r="M11" i="136"/>
  <c r="N11" i="136"/>
  <c r="O11" i="136"/>
  <c r="P11" i="136"/>
  <c r="Q11" i="136"/>
  <c r="R11" i="136"/>
  <c r="S11" i="136"/>
  <c r="T11" i="136"/>
  <c r="U11" i="136"/>
  <c r="V11" i="136"/>
  <c r="W11" i="136"/>
  <c r="E12" i="136"/>
  <c r="F12" i="136"/>
  <c r="G12" i="136"/>
  <c r="H12" i="136"/>
  <c r="I12" i="136"/>
  <c r="J12" i="136"/>
  <c r="K12" i="136"/>
  <c r="L12" i="136"/>
  <c r="M12" i="136"/>
  <c r="N12" i="136"/>
  <c r="O12" i="136"/>
  <c r="P12" i="136"/>
  <c r="Q12" i="136"/>
  <c r="R12" i="136"/>
  <c r="S12" i="136"/>
  <c r="T12" i="136"/>
  <c r="U12" i="136"/>
  <c r="V12" i="136"/>
  <c r="W12" i="136"/>
  <c r="E13" i="136"/>
  <c r="F13" i="136"/>
  <c r="G13" i="136"/>
  <c r="H13" i="136"/>
  <c r="I13" i="136"/>
  <c r="J13" i="136"/>
  <c r="K13" i="136"/>
  <c r="L13" i="136"/>
  <c r="M13" i="136"/>
  <c r="N13" i="136"/>
  <c r="O13" i="136"/>
  <c r="P13" i="136"/>
  <c r="Q13" i="136"/>
  <c r="R13" i="136"/>
  <c r="S13" i="136"/>
  <c r="T13" i="136"/>
  <c r="U13" i="136"/>
  <c r="V13" i="136"/>
  <c r="W13" i="136"/>
  <c r="E14" i="136"/>
  <c r="F14" i="136"/>
  <c r="G14" i="136"/>
  <c r="H14" i="136"/>
  <c r="I14" i="136"/>
  <c r="J14" i="136"/>
  <c r="K14" i="136"/>
  <c r="L14" i="136"/>
  <c r="M14" i="136"/>
  <c r="N14" i="136"/>
  <c r="O14" i="136"/>
  <c r="P14" i="136"/>
  <c r="Q14" i="136"/>
  <c r="R14" i="136"/>
  <c r="S14" i="136"/>
  <c r="T14" i="136"/>
  <c r="U14" i="136"/>
  <c r="V14" i="136"/>
  <c r="W14" i="136"/>
  <c r="E15" i="136"/>
  <c r="F15" i="136"/>
  <c r="G15" i="136"/>
  <c r="H15" i="136"/>
  <c r="I15" i="136"/>
  <c r="J15" i="136"/>
  <c r="K15" i="136"/>
  <c r="L15" i="136"/>
  <c r="M15" i="136"/>
  <c r="N15" i="136"/>
  <c r="O15" i="136"/>
  <c r="P15" i="136"/>
  <c r="Q15" i="136"/>
  <c r="R15" i="136"/>
  <c r="S15" i="136"/>
  <c r="T15" i="136"/>
  <c r="U15" i="136"/>
  <c r="V15" i="136"/>
  <c r="W15" i="136"/>
  <c r="E16" i="136"/>
  <c r="F16" i="136"/>
  <c r="G16" i="136"/>
  <c r="H16" i="136"/>
  <c r="I16" i="136"/>
  <c r="J16" i="136"/>
  <c r="K16" i="136"/>
  <c r="L16" i="136"/>
  <c r="M16" i="136"/>
  <c r="N16" i="136"/>
  <c r="O16" i="136"/>
  <c r="P16" i="136"/>
  <c r="Q16" i="136"/>
  <c r="R16" i="136"/>
  <c r="S16" i="136"/>
  <c r="T16" i="136"/>
  <c r="U16" i="136"/>
  <c r="V16" i="136"/>
  <c r="W16" i="136"/>
  <c r="E17" i="136"/>
  <c r="F17" i="136"/>
  <c r="G17" i="136"/>
  <c r="H17" i="136"/>
  <c r="I17" i="136"/>
  <c r="J17" i="136"/>
  <c r="K17" i="136"/>
  <c r="L17" i="136"/>
  <c r="M17" i="136"/>
  <c r="N17" i="136"/>
  <c r="O17" i="136"/>
  <c r="P17" i="136"/>
  <c r="Q17" i="136"/>
  <c r="R17" i="136"/>
  <c r="S17" i="136"/>
  <c r="T17" i="136"/>
  <c r="U17" i="136"/>
  <c r="V17" i="136"/>
  <c r="W17" i="136"/>
  <c r="E18" i="136"/>
  <c r="F18" i="136"/>
  <c r="G18" i="136"/>
  <c r="H18" i="136"/>
  <c r="I18" i="136"/>
  <c r="J18" i="136"/>
  <c r="K18" i="136"/>
  <c r="L18" i="136"/>
  <c r="M18" i="136"/>
  <c r="N18" i="136"/>
  <c r="O18" i="136"/>
  <c r="P18" i="136"/>
  <c r="Q18" i="136"/>
  <c r="R18" i="136"/>
  <c r="S18" i="136"/>
  <c r="T18" i="136"/>
  <c r="U18" i="136"/>
  <c r="V18" i="136"/>
  <c r="W18" i="136"/>
  <c r="E19" i="136"/>
  <c r="F19" i="136"/>
  <c r="G19" i="136"/>
  <c r="H19" i="136"/>
  <c r="I19" i="136"/>
  <c r="J19" i="136"/>
  <c r="K19" i="136"/>
  <c r="L19" i="136"/>
  <c r="M19" i="136"/>
  <c r="N19" i="136"/>
  <c r="O19" i="136"/>
  <c r="P19" i="136"/>
  <c r="Q19" i="136"/>
  <c r="R19" i="136"/>
  <c r="S19" i="136"/>
  <c r="T19" i="136"/>
  <c r="U19" i="136"/>
  <c r="V19" i="136"/>
  <c r="W19" i="136"/>
  <c r="E20" i="136"/>
  <c r="F20" i="136"/>
  <c r="G20" i="136"/>
  <c r="H20" i="136"/>
  <c r="I20" i="136"/>
  <c r="J20" i="136"/>
  <c r="K20" i="136"/>
  <c r="L20" i="136"/>
  <c r="M20" i="136"/>
  <c r="N20" i="136"/>
  <c r="O20" i="136"/>
  <c r="P20" i="136"/>
  <c r="Q20" i="136"/>
  <c r="R20" i="136"/>
  <c r="S20" i="136"/>
  <c r="T20" i="136"/>
  <c r="U20" i="136"/>
  <c r="V20" i="136"/>
  <c r="W20" i="136"/>
  <c r="E21" i="136"/>
  <c r="F21" i="136"/>
  <c r="G21" i="136"/>
  <c r="H21" i="136"/>
  <c r="I21" i="136"/>
  <c r="J21" i="136"/>
  <c r="K21" i="136"/>
  <c r="L21" i="136"/>
  <c r="M21" i="136"/>
  <c r="N21" i="136"/>
  <c r="O21" i="136"/>
  <c r="P21" i="136"/>
  <c r="Q21" i="136"/>
  <c r="R21" i="136"/>
  <c r="S21" i="136"/>
  <c r="T21" i="136"/>
  <c r="U21" i="136"/>
  <c r="V21" i="136"/>
  <c r="W21" i="136"/>
  <c r="E22" i="136"/>
  <c r="F22" i="136"/>
  <c r="G22" i="136"/>
  <c r="H22" i="136"/>
  <c r="I22" i="136"/>
  <c r="J22" i="136"/>
  <c r="K22" i="136"/>
  <c r="L22" i="136"/>
  <c r="M22" i="136"/>
  <c r="N22" i="136"/>
  <c r="O22" i="136"/>
  <c r="P22" i="136"/>
  <c r="Q22" i="136"/>
  <c r="R22" i="136"/>
  <c r="S22" i="136"/>
  <c r="T22" i="136"/>
  <c r="U22" i="136"/>
  <c r="V22" i="136"/>
  <c r="W22" i="136"/>
  <c r="E23" i="136"/>
  <c r="F23" i="136"/>
  <c r="G23" i="136"/>
  <c r="H23" i="136"/>
  <c r="I23" i="136"/>
  <c r="J23" i="136"/>
  <c r="K23" i="136"/>
  <c r="L23" i="136"/>
  <c r="M23" i="136"/>
  <c r="N23" i="136"/>
  <c r="O23" i="136"/>
  <c r="P23" i="136"/>
  <c r="Q23" i="136"/>
  <c r="R23" i="136"/>
  <c r="S23" i="136"/>
  <c r="T23" i="136"/>
  <c r="U23" i="136"/>
  <c r="V23" i="136"/>
  <c r="W23" i="136"/>
  <c r="E24" i="136"/>
  <c r="F24" i="136"/>
  <c r="G24" i="136"/>
  <c r="H24" i="136"/>
  <c r="I24" i="136"/>
  <c r="J24" i="136"/>
  <c r="K24" i="136"/>
  <c r="L24" i="136"/>
  <c r="M24" i="136"/>
  <c r="N24" i="136"/>
  <c r="O24" i="136"/>
  <c r="P24" i="136"/>
  <c r="Q24" i="136"/>
  <c r="R24" i="136"/>
  <c r="S24" i="136"/>
  <c r="T24" i="136"/>
  <c r="U24" i="136"/>
  <c r="V24" i="136"/>
  <c r="W24" i="136"/>
  <c r="E25" i="136"/>
  <c r="F25" i="136"/>
  <c r="G25" i="136"/>
  <c r="H25" i="136"/>
  <c r="I25" i="136"/>
  <c r="J25" i="136"/>
  <c r="K25" i="136"/>
  <c r="L25" i="136"/>
  <c r="M25" i="136"/>
  <c r="N25" i="136"/>
  <c r="O25" i="136"/>
  <c r="P25" i="136"/>
  <c r="Q25" i="136"/>
  <c r="R25" i="136"/>
  <c r="S25" i="136"/>
  <c r="T25" i="136"/>
  <c r="U25" i="136"/>
  <c r="V25" i="136"/>
  <c r="W25" i="136"/>
  <c r="E26" i="136"/>
  <c r="F26" i="136"/>
  <c r="G26" i="136"/>
  <c r="H26" i="136"/>
  <c r="I26" i="136"/>
  <c r="J26" i="136"/>
  <c r="K26" i="136"/>
  <c r="L26" i="136"/>
  <c r="M26" i="136"/>
  <c r="N26" i="136"/>
  <c r="O26" i="136"/>
  <c r="P26" i="136"/>
  <c r="Q26" i="136"/>
  <c r="R26" i="136"/>
  <c r="S26" i="136"/>
  <c r="T26" i="136"/>
  <c r="U26" i="136"/>
  <c r="V26" i="136"/>
  <c r="W26" i="136"/>
  <c r="E27" i="136"/>
  <c r="F27" i="136"/>
  <c r="G27" i="136"/>
  <c r="H27" i="136"/>
  <c r="I27" i="136"/>
  <c r="J27" i="136"/>
  <c r="K27" i="136"/>
  <c r="L27" i="136"/>
  <c r="M27" i="136"/>
  <c r="N27" i="136"/>
  <c r="O27" i="136"/>
  <c r="P27" i="136"/>
  <c r="Q27" i="136"/>
  <c r="R27" i="136"/>
  <c r="S27" i="136"/>
  <c r="T27" i="136"/>
  <c r="U27" i="136"/>
  <c r="V27" i="136"/>
  <c r="W27" i="136"/>
  <c r="E28" i="136"/>
  <c r="F28" i="136"/>
  <c r="G28" i="136"/>
  <c r="H28" i="136"/>
  <c r="I28" i="136"/>
  <c r="J28" i="136"/>
  <c r="K28" i="136"/>
  <c r="L28" i="136"/>
  <c r="M28" i="136"/>
  <c r="N28" i="136"/>
  <c r="O28" i="136"/>
  <c r="P28" i="136"/>
  <c r="Q28" i="136"/>
  <c r="R28" i="136"/>
  <c r="S28" i="136"/>
  <c r="T28" i="136"/>
  <c r="U28" i="136"/>
  <c r="V28" i="136"/>
  <c r="W28" i="136"/>
  <c r="E29" i="136"/>
  <c r="F29" i="136"/>
  <c r="G29" i="136"/>
  <c r="H29" i="136"/>
  <c r="I29" i="136"/>
  <c r="J29" i="136"/>
  <c r="K29" i="136"/>
  <c r="L29" i="136"/>
  <c r="M29" i="136"/>
  <c r="N29" i="136"/>
  <c r="O29" i="136"/>
  <c r="P29" i="136"/>
  <c r="Q29" i="136"/>
  <c r="R29" i="136"/>
  <c r="S29" i="136"/>
  <c r="T29" i="136"/>
  <c r="U29" i="136"/>
  <c r="V29" i="136"/>
  <c r="W29" i="136"/>
  <c r="E30" i="136"/>
  <c r="F30" i="136"/>
  <c r="G30" i="136"/>
  <c r="H30" i="136"/>
  <c r="I30" i="136"/>
  <c r="J30" i="136"/>
  <c r="K30" i="136"/>
  <c r="L30" i="136"/>
  <c r="M30" i="136"/>
  <c r="N30" i="136"/>
  <c r="O30" i="136"/>
  <c r="P30" i="136"/>
  <c r="Q30" i="136"/>
  <c r="R30" i="136"/>
  <c r="S30" i="136"/>
  <c r="T30" i="136"/>
  <c r="U30" i="136"/>
  <c r="V30" i="136"/>
  <c r="W30" i="136"/>
  <c r="E31" i="136"/>
  <c r="F31" i="136"/>
  <c r="G31" i="136"/>
  <c r="H31" i="136"/>
  <c r="I31" i="136"/>
  <c r="J31" i="136"/>
  <c r="K31" i="136"/>
  <c r="L31" i="136"/>
  <c r="M31" i="136"/>
  <c r="N31" i="136"/>
  <c r="O31" i="136"/>
  <c r="P31" i="136"/>
  <c r="Q31" i="136"/>
  <c r="R31" i="136"/>
  <c r="S31" i="136"/>
  <c r="T31" i="136"/>
  <c r="U31" i="136"/>
  <c r="V31" i="136"/>
  <c r="W31" i="136"/>
  <c r="E32" i="136"/>
  <c r="F32" i="136"/>
  <c r="G32" i="136"/>
  <c r="H32" i="136"/>
  <c r="I32" i="136"/>
  <c r="J32" i="136"/>
  <c r="K32" i="136"/>
  <c r="L32" i="136"/>
  <c r="M32" i="136"/>
  <c r="N32" i="136"/>
  <c r="O32" i="136"/>
  <c r="P32" i="136"/>
  <c r="Q32" i="136"/>
  <c r="R32" i="136"/>
  <c r="S32" i="136"/>
  <c r="T32" i="136"/>
  <c r="U32" i="136"/>
  <c r="V32" i="136"/>
  <c r="W32" i="136"/>
  <c r="E33" i="136"/>
  <c r="F33" i="136"/>
  <c r="G33" i="136"/>
  <c r="H33" i="136"/>
  <c r="I33" i="136"/>
  <c r="J33" i="136"/>
  <c r="K33" i="136"/>
  <c r="L33" i="136"/>
  <c r="M33" i="136"/>
  <c r="N33" i="136"/>
  <c r="O33" i="136"/>
  <c r="P33" i="136"/>
  <c r="Q33" i="136"/>
  <c r="R33" i="136"/>
  <c r="S33" i="136"/>
  <c r="T33" i="136"/>
  <c r="U33" i="136"/>
  <c r="V33" i="136"/>
  <c r="W33" i="136"/>
  <c r="E34" i="136"/>
  <c r="F34" i="136"/>
  <c r="G34" i="136"/>
  <c r="H34" i="136"/>
  <c r="I34" i="136"/>
  <c r="J34" i="136"/>
  <c r="K34" i="136"/>
  <c r="L34" i="136"/>
  <c r="M34" i="136"/>
  <c r="N34" i="136"/>
  <c r="O34" i="136"/>
  <c r="P34" i="136"/>
  <c r="Q34" i="136"/>
  <c r="R34" i="136"/>
  <c r="S34" i="136"/>
  <c r="T34" i="136"/>
  <c r="U34" i="136"/>
  <c r="V34" i="136"/>
  <c r="W34" i="136"/>
  <c r="E35" i="136"/>
  <c r="F35" i="136"/>
  <c r="G35" i="136"/>
  <c r="H35" i="136"/>
  <c r="I35" i="136"/>
  <c r="J35" i="136"/>
  <c r="K35" i="136"/>
  <c r="L35" i="136"/>
  <c r="M35" i="136"/>
  <c r="N35" i="136"/>
  <c r="O35" i="136"/>
  <c r="P35" i="136"/>
  <c r="Q35" i="136"/>
  <c r="R35" i="136"/>
  <c r="S35" i="136"/>
  <c r="T35" i="136"/>
  <c r="U35" i="136"/>
  <c r="V35" i="136"/>
  <c r="W35" i="136"/>
  <c r="E36" i="136"/>
  <c r="F36" i="136"/>
  <c r="G36" i="136"/>
  <c r="H36" i="136"/>
  <c r="I36" i="136"/>
  <c r="J36" i="136"/>
  <c r="K36" i="136"/>
  <c r="L36" i="136"/>
  <c r="M36" i="136"/>
  <c r="N36" i="136"/>
  <c r="O36" i="136"/>
  <c r="P36" i="136"/>
  <c r="Q36" i="136"/>
  <c r="R36" i="136"/>
  <c r="S36" i="136"/>
  <c r="T36" i="136"/>
  <c r="U36" i="136"/>
  <c r="V36" i="136"/>
  <c r="W36" i="136"/>
  <c r="E37" i="136"/>
  <c r="F37" i="136"/>
  <c r="G37" i="136"/>
  <c r="H37" i="136"/>
  <c r="I37" i="136"/>
  <c r="J37" i="136"/>
  <c r="K37" i="136"/>
  <c r="L37" i="136"/>
  <c r="M37" i="136"/>
  <c r="N37" i="136"/>
  <c r="O37" i="136"/>
  <c r="P37" i="136"/>
  <c r="Q37" i="136"/>
  <c r="R37" i="136"/>
  <c r="S37" i="136"/>
  <c r="T37" i="136"/>
  <c r="U37" i="136"/>
  <c r="V37" i="136"/>
  <c r="W37" i="136"/>
  <c r="E38" i="136"/>
  <c r="F38" i="136"/>
  <c r="G38" i="136"/>
  <c r="H38" i="136"/>
  <c r="I38" i="136"/>
  <c r="J38" i="136"/>
  <c r="K38" i="136"/>
  <c r="L38" i="136"/>
  <c r="M38" i="136"/>
  <c r="N38" i="136"/>
  <c r="O38" i="136"/>
  <c r="P38" i="136"/>
  <c r="Q38" i="136"/>
  <c r="R38" i="136"/>
  <c r="S38" i="136"/>
  <c r="T38" i="136"/>
  <c r="U38" i="136"/>
  <c r="V38" i="136"/>
  <c r="W38" i="136"/>
  <c r="E39" i="136"/>
  <c r="F39" i="136"/>
  <c r="G39" i="136"/>
  <c r="H39" i="136"/>
  <c r="I39" i="136"/>
  <c r="J39" i="136"/>
  <c r="K39" i="136"/>
  <c r="L39" i="136"/>
  <c r="M39" i="136"/>
  <c r="N39" i="136"/>
  <c r="O39" i="136"/>
  <c r="P39" i="136"/>
  <c r="Q39" i="136"/>
  <c r="R39" i="136"/>
  <c r="S39" i="136"/>
  <c r="T39" i="136"/>
  <c r="U39" i="136"/>
  <c r="V39" i="136"/>
  <c r="W39" i="136"/>
  <c r="E40" i="136"/>
  <c r="F40" i="136"/>
  <c r="G40" i="136"/>
  <c r="H40" i="136"/>
  <c r="I40" i="136"/>
  <c r="J40" i="136"/>
  <c r="K40" i="136"/>
  <c r="L40" i="136"/>
  <c r="M40" i="136"/>
  <c r="N40" i="136"/>
  <c r="O40" i="136"/>
  <c r="P40" i="136"/>
  <c r="Q40" i="136"/>
  <c r="R40" i="136"/>
  <c r="S40" i="136"/>
  <c r="T40" i="136"/>
  <c r="U40" i="136"/>
  <c r="V40" i="136"/>
  <c r="W40" i="136"/>
  <c r="E41" i="136"/>
  <c r="F41" i="136"/>
  <c r="G41" i="136"/>
  <c r="H41" i="136"/>
  <c r="I41" i="136"/>
  <c r="J41" i="136"/>
  <c r="K41" i="136"/>
  <c r="L41" i="136"/>
  <c r="M41" i="136"/>
  <c r="N41" i="136"/>
  <c r="O41" i="136"/>
  <c r="P41" i="136"/>
  <c r="Q41" i="136"/>
  <c r="R41" i="136"/>
  <c r="S41" i="136"/>
  <c r="T41" i="136"/>
  <c r="U41" i="136"/>
  <c r="V41" i="136"/>
  <c r="W41" i="136"/>
  <c r="E42" i="136"/>
  <c r="F42" i="136"/>
  <c r="G42" i="136"/>
  <c r="H42" i="136"/>
  <c r="I42" i="136"/>
  <c r="J42" i="136"/>
  <c r="K42" i="136"/>
  <c r="L42" i="136"/>
  <c r="M42" i="136"/>
  <c r="N42" i="136"/>
  <c r="O42" i="136"/>
  <c r="P42" i="136"/>
  <c r="Q42" i="136"/>
  <c r="R42" i="136"/>
  <c r="S42" i="136"/>
  <c r="T42" i="136"/>
  <c r="U42" i="136"/>
  <c r="V42" i="136"/>
  <c r="W42" i="136"/>
  <c r="E43" i="136"/>
  <c r="F43" i="136"/>
  <c r="G43" i="136"/>
  <c r="H43" i="136"/>
  <c r="I43" i="136"/>
  <c r="J43" i="136"/>
  <c r="K43" i="136"/>
  <c r="L43" i="136"/>
  <c r="M43" i="136"/>
  <c r="N43" i="136"/>
  <c r="O43" i="136"/>
  <c r="P43" i="136"/>
  <c r="Q43" i="136"/>
  <c r="R43" i="136"/>
  <c r="S43" i="136"/>
  <c r="T43" i="136"/>
  <c r="U43" i="136"/>
  <c r="V43" i="136"/>
  <c r="W43" i="136"/>
  <c r="E44" i="136"/>
  <c r="F44" i="136"/>
  <c r="G44" i="136"/>
  <c r="H44" i="136"/>
  <c r="I44" i="136"/>
  <c r="J44" i="136"/>
  <c r="K44" i="136"/>
  <c r="L44" i="136"/>
  <c r="M44" i="136"/>
  <c r="N44" i="136"/>
  <c r="O44" i="136"/>
  <c r="P44" i="136"/>
  <c r="Q44" i="136"/>
  <c r="R44" i="136"/>
  <c r="S44" i="136"/>
  <c r="T44" i="136"/>
  <c r="U44" i="136"/>
  <c r="V44" i="136"/>
  <c r="W44" i="136"/>
  <c r="E45" i="136"/>
  <c r="F45" i="136"/>
  <c r="G45" i="136"/>
  <c r="H45" i="136"/>
  <c r="I45" i="136"/>
  <c r="J45" i="136"/>
  <c r="K45" i="136"/>
  <c r="L45" i="136"/>
  <c r="M45" i="136"/>
  <c r="N45" i="136"/>
  <c r="O45" i="136"/>
  <c r="P45" i="136"/>
  <c r="Q45" i="136"/>
  <c r="R45" i="136"/>
  <c r="S45" i="136"/>
  <c r="T45" i="136"/>
  <c r="U45" i="136"/>
  <c r="V45" i="136"/>
  <c r="W45" i="136"/>
  <c r="E46" i="136"/>
  <c r="F46" i="136"/>
  <c r="G46" i="136"/>
  <c r="H46" i="136"/>
  <c r="I46" i="136"/>
  <c r="J46" i="136"/>
  <c r="K46" i="136"/>
  <c r="L46" i="136"/>
  <c r="M46" i="136"/>
  <c r="N46" i="136"/>
  <c r="O46" i="136"/>
  <c r="P46" i="136"/>
  <c r="Q46" i="136"/>
  <c r="R46" i="136"/>
  <c r="S46" i="136"/>
  <c r="T46" i="136"/>
  <c r="U46" i="136"/>
  <c r="V46" i="136"/>
  <c r="W46" i="136"/>
  <c r="E47" i="136"/>
  <c r="F47" i="136"/>
  <c r="G47" i="136"/>
  <c r="H47" i="136"/>
  <c r="I47" i="136"/>
  <c r="J47" i="136"/>
  <c r="K47" i="136"/>
  <c r="L47" i="136"/>
  <c r="M47" i="136"/>
  <c r="N47" i="136"/>
  <c r="O47" i="136"/>
  <c r="P47" i="136"/>
  <c r="Q47" i="136"/>
  <c r="R47" i="136"/>
  <c r="S47" i="136"/>
  <c r="T47" i="136"/>
  <c r="U47" i="136"/>
  <c r="V47" i="136"/>
  <c r="W47" i="136"/>
  <c r="E48" i="136"/>
  <c r="F48" i="136"/>
  <c r="G48" i="136"/>
  <c r="H48" i="136"/>
  <c r="I48" i="136"/>
  <c r="J48" i="136"/>
  <c r="K48" i="136"/>
  <c r="L48" i="136"/>
  <c r="M48" i="136"/>
  <c r="N48" i="136"/>
  <c r="O48" i="136"/>
  <c r="P48" i="136"/>
  <c r="Q48" i="136"/>
  <c r="R48" i="136"/>
  <c r="S48" i="136"/>
  <c r="T48" i="136"/>
  <c r="U48" i="136"/>
  <c r="V48" i="136"/>
  <c r="W48" i="136"/>
  <c r="D3" i="136"/>
  <c r="D4" i="136"/>
  <c r="D5" i="136"/>
  <c r="D6" i="136"/>
  <c r="D7" i="136"/>
  <c r="D8" i="136"/>
  <c r="D9" i="136"/>
  <c r="D10" i="136"/>
  <c r="D11" i="136"/>
  <c r="D12" i="136"/>
  <c r="D13" i="136"/>
  <c r="D14" i="136"/>
  <c r="D15" i="136"/>
  <c r="D16" i="136"/>
  <c r="D17" i="136"/>
  <c r="D18" i="136"/>
  <c r="D19" i="136"/>
  <c r="D20" i="136"/>
  <c r="D21" i="136"/>
  <c r="D22" i="136"/>
  <c r="D23" i="136"/>
  <c r="D24" i="136"/>
  <c r="D25" i="136"/>
  <c r="D26" i="136"/>
  <c r="D27" i="136"/>
  <c r="D28" i="136"/>
  <c r="D29" i="136"/>
  <c r="D30" i="136"/>
  <c r="D31" i="136"/>
  <c r="D32" i="136"/>
  <c r="D33" i="136"/>
  <c r="D34" i="136"/>
  <c r="D35" i="136"/>
  <c r="D36" i="136"/>
  <c r="D37" i="136"/>
  <c r="D38" i="136"/>
  <c r="D39" i="136"/>
  <c r="D40" i="136"/>
  <c r="D41" i="136"/>
  <c r="D42" i="136"/>
  <c r="D43" i="136"/>
  <c r="D44" i="136"/>
  <c r="D45" i="136"/>
  <c r="D46" i="136"/>
  <c r="D47" i="136"/>
  <c r="D48" i="136"/>
  <c r="D2" i="136"/>
  <c r="G9" i="135"/>
  <c r="G3" i="135"/>
  <c r="G4" i="135"/>
  <c r="G5" i="135"/>
  <c r="G6" i="135"/>
  <c r="G7" i="135"/>
  <c r="G8" i="135"/>
  <c r="G2" i="135"/>
  <c r="N6" i="51" l="1"/>
  <c r="N13" i="51"/>
  <c r="N11" i="51"/>
  <c r="N8" i="51"/>
  <c r="G11" i="135"/>
  <c r="N14" i="51" s="1"/>
  <c r="N12" i="51"/>
  <c r="H8" i="135"/>
  <c r="O12" i="51" s="1"/>
  <c r="H6" i="135"/>
  <c r="O10" i="51" s="1"/>
  <c r="N10" i="51"/>
  <c r="N9" i="51"/>
  <c r="N7" i="51"/>
  <c r="D154" i="134"/>
  <c r="O154" i="134"/>
  <c r="O75" i="134"/>
  <c r="H75" i="134"/>
  <c r="I233" i="134"/>
  <c r="F75" i="134"/>
  <c r="I75" i="134"/>
  <c r="C154" i="134"/>
  <c r="T154" i="134"/>
  <c r="K75" i="134"/>
  <c r="N75" i="134"/>
  <c r="O233" i="134"/>
  <c r="Q233" i="134"/>
  <c r="S233" i="134"/>
  <c r="S154" i="134"/>
  <c r="U233" i="134"/>
  <c r="Q75" i="134"/>
  <c r="S75" i="134"/>
  <c r="J154" i="134"/>
  <c r="R154" i="134"/>
  <c r="L233" i="134"/>
  <c r="M75" i="134"/>
  <c r="U154" i="134"/>
  <c r="D75" i="134"/>
  <c r="K154" i="134"/>
  <c r="C75" i="134"/>
  <c r="N154" i="134"/>
  <c r="E154" i="134"/>
  <c r="J233" i="134"/>
  <c r="R233" i="134"/>
  <c r="L75" i="134"/>
  <c r="U75" i="134"/>
  <c r="V154" i="134"/>
  <c r="D233" i="134"/>
  <c r="F154" i="134"/>
  <c r="V75" i="134"/>
  <c r="C233" i="134"/>
  <c r="T233" i="134"/>
  <c r="E75" i="134"/>
  <c r="K233" i="134"/>
  <c r="M233" i="134"/>
  <c r="Q154" i="134"/>
  <c r="L154" i="134"/>
  <c r="M154" i="134"/>
  <c r="J75" i="134"/>
  <c r="R75" i="134"/>
  <c r="H233" i="134"/>
  <c r="F233" i="134"/>
  <c r="G233" i="134"/>
  <c r="V233" i="134"/>
  <c r="G154" i="134"/>
  <c r="I154" i="134"/>
  <c r="G75" i="134"/>
  <c r="E233" i="134"/>
  <c r="P154" i="134"/>
  <c r="P233" i="134"/>
  <c r="N233" i="134"/>
  <c r="T75" i="134"/>
  <c r="P75" i="134"/>
  <c r="H154" i="134"/>
  <c r="B205" i="138"/>
  <c r="B127" i="138"/>
  <c r="C49" i="133"/>
  <c r="C205" i="138"/>
  <c r="C56" i="133"/>
  <c r="C212" i="138"/>
  <c r="B56" i="133"/>
  <c r="B212" i="138"/>
  <c r="B134" i="138"/>
  <c r="C55" i="133"/>
  <c r="C211" i="138"/>
  <c r="B55" i="133"/>
  <c r="B133" i="138"/>
  <c r="B211" i="138"/>
  <c r="B54" i="133"/>
  <c r="B210" i="138"/>
  <c r="B132" i="138"/>
  <c r="C53" i="133"/>
  <c r="C209" i="138"/>
  <c r="B53" i="133"/>
  <c r="B131" i="138"/>
  <c r="B209" i="138"/>
  <c r="C52" i="133"/>
  <c r="C208" i="138"/>
  <c r="C51" i="133"/>
  <c r="C207" i="138"/>
  <c r="B51" i="133"/>
  <c r="B207" i="138"/>
  <c r="B129" i="138"/>
  <c r="C50" i="133"/>
  <c r="C206" i="138"/>
  <c r="C54" i="133"/>
  <c r="C210" i="138"/>
  <c r="B52" i="133"/>
  <c r="B208" i="138"/>
  <c r="B130" i="138"/>
  <c r="B50" i="133"/>
  <c r="B206" i="138"/>
  <c r="B128" i="138"/>
  <c r="H17" i="137"/>
  <c r="N18" i="137"/>
  <c r="H15" i="137"/>
  <c r="I17" i="137"/>
  <c r="G17" i="137"/>
  <c r="M20" i="137"/>
  <c r="I18" i="137"/>
  <c r="R20" i="137"/>
  <c r="H18" i="137"/>
  <c r="E10" i="137"/>
  <c r="B49" i="133"/>
  <c r="O20" i="137"/>
  <c r="T10" i="137"/>
  <c r="M10" i="137"/>
  <c r="W15" i="137"/>
  <c r="N20" i="137"/>
  <c r="S10" i="137"/>
  <c r="L10" i="137"/>
  <c r="K10" i="137"/>
  <c r="F14" i="137"/>
  <c r="F17" i="137"/>
  <c r="L20" i="137"/>
  <c r="Q15" i="137"/>
  <c r="R10" i="137"/>
  <c r="W16" i="137"/>
  <c r="V16" i="137"/>
  <c r="M18" i="137"/>
  <c r="P19" i="137"/>
  <c r="U16" i="137"/>
  <c r="L18" i="137"/>
  <c r="P10" i="137"/>
  <c r="T16" i="137"/>
  <c r="K18" i="137"/>
  <c r="J18" i="137"/>
  <c r="T21" i="137"/>
  <c r="G10" i="137"/>
  <c r="G18" i="137"/>
  <c r="S21" i="137"/>
  <c r="F18" i="137"/>
  <c r="L17" i="137"/>
  <c r="R21" i="137"/>
  <c r="W17" i="137"/>
  <c r="J16" i="137"/>
  <c r="Q21" i="137"/>
  <c r="K17" i="137"/>
  <c r="P21" i="137"/>
  <c r="I16" i="137"/>
  <c r="O21" i="137"/>
  <c r="H16" i="137"/>
  <c r="Q20" i="137"/>
  <c r="G16" i="137"/>
  <c r="O19" i="137"/>
  <c r="F16" i="137"/>
  <c r="H10" i="137"/>
  <c r="I10" i="137"/>
  <c r="L19" i="137"/>
  <c r="K19" i="137"/>
  <c r="F15" i="137"/>
  <c r="J10" i="137"/>
  <c r="M19" i="137"/>
  <c r="G15" i="137"/>
  <c r="O10" i="137"/>
  <c r="J19" i="137"/>
  <c r="W14" i="137"/>
  <c r="N19" i="137"/>
  <c r="V15" i="137"/>
  <c r="J17" i="137"/>
  <c r="P20" i="137"/>
  <c r="U10" i="137"/>
  <c r="N10" i="137"/>
  <c r="I19" i="137"/>
  <c r="V14" i="137"/>
  <c r="W10" i="137"/>
  <c r="N21" i="137"/>
  <c r="T14" i="137"/>
  <c r="V10" i="137"/>
  <c r="K20" i="137"/>
  <c r="U15" i="137"/>
  <c r="E14" i="137"/>
  <c r="S15" i="137"/>
  <c r="J21" i="137"/>
  <c r="R15" i="137"/>
  <c r="E20" i="137"/>
  <c r="I21" i="137"/>
  <c r="G20" i="137"/>
  <c r="W18" i="137"/>
  <c r="O14" i="137"/>
  <c r="Q10" i="137"/>
  <c r="E19" i="137"/>
  <c r="H21" i="137"/>
  <c r="F20" i="137"/>
  <c r="V18" i="137"/>
  <c r="T17" i="137"/>
  <c r="R16" i="137"/>
  <c r="N14" i="137"/>
  <c r="E18" i="137"/>
  <c r="G21" i="137"/>
  <c r="W19" i="137"/>
  <c r="U18" i="137"/>
  <c r="S17" i="137"/>
  <c r="Q16" i="137"/>
  <c r="O15" i="137"/>
  <c r="M14" i="137"/>
  <c r="E17" i="137"/>
  <c r="F21" i="137"/>
  <c r="V19" i="137"/>
  <c r="T18" i="137"/>
  <c r="R17" i="137"/>
  <c r="P16" i="137"/>
  <c r="N15" i="137"/>
  <c r="L14" i="137"/>
  <c r="G19" i="137"/>
  <c r="V17" i="137"/>
  <c r="P15" i="137"/>
  <c r="E16" i="137"/>
  <c r="W20" i="137"/>
  <c r="U19" i="137"/>
  <c r="S18" i="137"/>
  <c r="Q17" i="137"/>
  <c r="O16" i="137"/>
  <c r="M15" i="137"/>
  <c r="K14" i="137"/>
  <c r="H19" i="137"/>
  <c r="U17" i="137"/>
  <c r="M16" i="137"/>
  <c r="V21" i="137"/>
  <c r="T20" i="137"/>
  <c r="R19" i="137"/>
  <c r="P18" i="137"/>
  <c r="N17" i="137"/>
  <c r="L16" i="137"/>
  <c r="J15" i="137"/>
  <c r="H14" i="137"/>
  <c r="F10" i="137"/>
  <c r="D10" i="137"/>
  <c r="U14" i="137"/>
  <c r="J20" i="137"/>
  <c r="T15" i="137"/>
  <c r="I20" i="137"/>
  <c r="Q14" i="137"/>
  <c r="F19" i="137"/>
  <c r="S16" i="137"/>
  <c r="L15" i="137"/>
  <c r="W21" i="137"/>
  <c r="Q18" i="137"/>
  <c r="I14" i="137"/>
  <c r="U21" i="137"/>
  <c r="S20" i="137"/>
  <c r="Q19" i="137"/>
  <c r="O18" i="137"/>
  <c r="M17" i="137"/>
  <c r="K16" i="137"/>
  <c r="I15" i="137"/>
  <c r="G14" i="137"/>
  <c r="M21" i="137"/>
  <c r="S14" i="137"/>
  <c r="L21" i="137"/>
  <c r="R14" i="137"/>
  <c r="K21" i="137"/>
  <c r="E21" i="137"/>
  <c r="H20" i="137"/>
  <c r="P14" i="137"/>
  <c r="E15" i="137"/>
  <c r="V20" i="137"/>
  <c r="T19" i="137"/>
  <c r="R18" i="137"/>
  <c r="P17" i="137"/>
  <c r="N16" i="137"/>
  <c r="J14" i="137"/>
  <c r="U20" i="137"/>
  <c r="S19" i="137"/>
  <c r="O17" i="137"/>
  <c r="K15" i="137"/>
  <c r="B16" i="1"/>
  <c r="J7" i="51" l="1"/>
  <c r="I7" i="51"/>
  <c r="K7" i="51"/>
  <c r="H3" i="135"/>
  <c r="O7" i="51" s="1"/>
  <c r="H7" i="135"/>
  <c r="O11" i="51" s="1"/>
  <c r="H5" i="135"/>
  <c r="O9" i="51" s="1"/>
  <c r="J6" i="51"/>
  <c r="Q11" i="51" s="1"/>
  <c r="D43" i="137" s="1"/>
  <c r="I6" i="51"/>
  <c r="P6" i="51" s="1"/>
  <c r="K6" i="51"/>
  <c r="R9" i="51" s="1"/>
  <c r="D53" i="137" s="1"/>
  <c r="H4" i="135"/>
  <c r="O8" i="51" s="1"/>
  <c r="H9" i="135"/>
  <c r="O13" i="51" s="1"/>
  <c r="H2" i="135"/>
  <c r="I51" i="133"/>
  <c r="B56" i="134"/>
  <c r="B214" i="134" s="1"/>
  <c r="U53" i="133"/>
  <c r="B50" i="134"/>
  <c r="B129" i="134" s="1"/>
  <c r="K51" i="133"/>
  <c r="D54" i="133"/>
  <c r="K55" i="133"/>
  <c r="Q52" i="133"/>
  <c r="K56" i="133"/>
  <c r="E51" i="133"/>
  <c r="U54" i="133"/>
  <c r="N55" i="133"/>
  <c r="D51" i="133"/>
  <c r="M51" i="133"/>
  <c r="M54" i="133"/>
  <c r="F55" i="133"/>
  <c r="H51" i="133"/>
  <c r="F51" i="133"/>
  <c r="L51" i="133"/>
  <c r="M55" i="133"/>
  <c r="T55" i="133"/>
  <c r="S56" i="133"/>
  <c r="G56" i="133"/>
  <c r="L55" i="133"/>
  <c r="L53" i="133"/>
  <c r="Q56" i="133"/>
  <c r="V54" i="133"/>
  <c r="O56" i="133"/>
  <c r="R53" i="133"/>
  <c r="W53" i="133"/>
  <c r="M53" i="133"/>
  <c r="P52" i="133"/>
  <c r="T53" i="133"/>
  <c r="N52" i="133"/>
  <c r="G53" i="133"/>
  <c r="E55" i="133"/>
  <c r="L56" i="133"/>
  <c r="G51" i="133"/>
  <c r="I53" i="133"/>
  <c r="V53" i="133"/>
  <c r="H55" i="133"/>
  <c r="P56" i="133"/>
  <c r="E53" i="133"/>
  <c r="O52" i="133"/>
  <c r="G52" i="133"/>
  <c r="J54" i="133"/>
  <c r="V52" i="133"/>
  <c r="W55" i="133"/>
  <c r="W51" i="133"/>
  <c r="D56" i="133"/>
  <c r="J53" i="133"/>
  <c r="B54" i="134"/>
  <c r="B212" i="134" s="1"/>
  <c r="N53" i="133"/>
  <c r="H53" i="133"/>
  <c r="K53" i="133"/>
  <c r="B53" i="134"/>
  <c r="B132" i="134" s="1"/>
  <c r="I52" i="133"/>
  <c r="W56" i="133"/>
  <c r="S53" i="133"/>
  <c r="G55" i="133"/>
  <c r="S51" i="133"/>
  <c r="O53" i="133"/>
  <c r="P55" i="133"/>
  <c r="T56" i="133"/>
  <c r="F53" i="133"/>
  <c r="D53" i="133"/>
  <c r="T54" i="133"/>
  <c r="F52" i="133"/>
  <c r="T52" i="133"/>
  <c r="Q53" i="133"/>
  <c r="R55" i="133"/>
  <c r="P53" i="133"/>
  <c r="O51" i="133"/>
  <c r="B55" i="134"/>
  <c r="B213" i="134" s="1"/>
  <c r="R56" i="133"/>
  <c r="E54" i="133"/>
  <c r="S54" i="133"/>
  <c r="T51" i="133"/>
  <c r="M52" i="133"/>
  <c r="N56" i="133"/>
  <c r="J52" i="133"/>
  <c r="I54" i="133"/>
  <c r="Q51" i="133"/>
  <c r="D52" i="133"/>
  <c r="R54" i="133"/>
  <c r="F54" i="133"/>
  <c r="U55" i="133"/>
  <c r="F56" i="133"/>
  <c r="U52" i="133"/>
  <c r="P54" i="133"/>
  <c r="L54" i="133"/>
  <c r="Q55" i="133"/>
  <c r="S55" i="133"/>
  <c r="E56" i="133"/>
  <c r="P51" i="133"/>
  <c r="W52" i="133"/>
  <c r="Q54" i="133"/>
  <c r="I55" i="133"/>
  <c r="V56" i="133"/>
  <c r="N51" i="133"/>
  <c r="H52" i="133"/>
  <c r="I56" i="133"/>
  <c r="K54" i="133"/>
  <c r="D55" i="133"/>
  <c r="V51" i="133"/>
  <c r="R52" i="133"/>
  <c r="W54" i="133"/>
  <c r="J55" i="133"/>
  <c r="M56" i="133"/>
  <c r="O54" i="133"/>
  <c r="V55" i="133"/>
  <c r="J56" i="133"/>
  <c r="G54" i="133"/>
  <c r="O55" i="133"/>
  <c r="U56" i="133"/>
  <c r="B208" i="134"/>
  <c r="H54" i="133"/>
  <c r="N54" i="133"/>
  <c r="S52" i="133"/>
  <c r="B51" i="134"/>
  <c r="E52" i="133"/>
  <c r="J51" i="133"/>
  <c r="L52" i="133"/>
  <c r="R51" i="133"/>
  <c r="U51" i="133"/>
  <c r="B52" i="134"/>
  <c r="K52" i="133"/>
  <c r="H56" i="133"/>
  <c r="W22" i="137"/>
  <c r="I22" i="137"/>
  <c r="V22" i="137"/>
  <c r="H22" i="137"/>
  <c r="U49" i="133"/>
  <c r="R49" i="133"/>
  <c r="E49" i="133"/>
  <c r="M49" i="133"/>
  <c r="H49" i="133"/>
  <c r="J49" i="133"/>
  <c r="V49" i="133"/>
  <c r="F49" i="133"/>
  <c r="K49" i="133"/>
  <c r="B49" i="134"/>
  <c r="G49" i="133"/>
  <c r="W49" i="133"/>
  <c r="L49" i="133"/>
  <c r="S49" i="133"/>
  <c r="N49" i="133"/>
  <c r="D49" i="133"/>
  <c r="Q49" i="133"/>
  <c r="I49" i="133"/>
  <c r="P49" i="133"/>
  <c r="T49" i="133"/>
  <c r="O49" i="133"/>
  <c r="L22" i="137"/>
  <c r="F22" i="137"/>
  <c r="J22" i="137"/>
  <c r="O22" i="137"/>
  <c r="K22" i="137"/>
  <c r="E22" i="137"/>
  <c r="M22" i="137"/>
  <c r="G22" i="137"/>
  <c r="N22" i="137"/>
  <c r="Q22" i="137"/>
  <c r="S22" i="137"/>
  <c r="R22" i="137"/>
  <c r="U22" i="137"/>
  <c r="T22" i="137"/>
  <c r="P22" i="137"/>
  <c r="Q6" i="51" l="1"/>
  <c r="B135" i="134"/>
  <c r="E53" i="137"/>
  <c r="D208" i="138"/>
  <c r="D89" i="137"/>
  <c r="P10" i="51"/>
  <c r="D30" i="137" s="1"/>
  <c r="Q8" i="51"/>
  <c r="D40" i="137" s="1"/>
  <c r="R7" i="51"/>
  <c r="D51" i="137" s="1"/>
  <c r="H11" i="135"/>
  <c r="O14" i="51" s="1"/>
  <c r="O6" i="51"/>
  <c r="R10" i="51"/>
  <c r="D54" i="137" s="1"/>
  <c r="P13" i="51"/>
  <c r="D33" i="137" s="1"/>
  <c r="Q10" i="51"/>
  <c r="D42" i="137" s="1"/>
  <c r="Q13" i="51"/>
  <c r="D45" i="137" s="1"/>
  <c r="R8" i="51"/>
  <c r="D52" i="137" s="1"/>
  <c r="P11" i="51"/>
  <c r="D31" i="137" s="1"/>
  <c r="R12" i="51"/>
  <c r="D56" i="137" s="1"/>
  <c r="P7" i="51"/>
  <c r="D27" i="137" s="1"/>
  <c r="Q7" i="51"/>
  <c r="D39" i="137" s="1"/>
  <c r="R13" i="51"/>
  <c r="D57" i="137" s="1"/>
  <c r="P8" i="51"/>
  <c r="D28" i="137" s="1"/>
  <c r="D26" i="137"/>
  <c r="R11" i="51"/>
  <c r="D55" i="137" s="1"/>
  <c r="P12" i="51"/>
  <c r="D32" i="137" s="1"/>
  <c r="D132" i="138"/>
  <c r="C133" i="134" s="1"/>
  <c r="E43" i="137"/>
  <c r="D79" i="137"/>
  <c r="R6" i="51"/>
  <c r="P9" i="51"/>
  <c r="D29" i="137" s="1"/>
  <c r="Q9" i="51"/>
  <c r="D41" i="137" s="1"/>
  <c r="Q12" i="51"/>
  <c r="D44" i="137" s="1"/>
  <c r="B133" i="134"/>
  <c r="B134" i="134"/>
  <c r="B211" i="134"/>
  <c r="B210" i="134"/>
  <c r="B131" i="134"/>
  <c r="C210" i="134"/>
  <c r="B207" i="134"/>
  <c r="B128" i="134"/>
  <c r="B130" i="134"/>
  <c r="B209" i="134"/>
  <c r="D34" i="137" l="1"/>
  <c r="D62" i="137"/>
  <c r="D91" i="137"/>
  <c r="D210" i="138"/>
  <c r="E55" i="137"/>
  <c r="D77" i="137"/>
  <c r="D130" i="138"/>
  <c r="E41" i="137"/>
  <c r="E56" i="137"/>
  <c r="D211" i="138"/>
  <c r="D92" i="137"/>
  <c r="Q14" i="51"/>
  <c r="D38" i="137"/>
  <c r="E52" i="137"/>
  <c r="D88" i="137"/>
  <c r="D207" i="138"/>
  <c r="P14" i="51"/>
  <c r="D49" i="138"/>
  <c r="D61" i="138" s="1"/>
  <c r="D80" i="137"/>
  <c r="D133" i="138"/>
  <c r="E44" i="137"/>
  <c r="E28" i="137"/>
  <c r="D51" i="138"/>
  <c r="D64" i="137"/>
  <c r="E26" i="137"/>
  <c r="E49" i="138" s="1"/>
  <c r="D128" i="138"/>
  <c r="E39" i="137"/>
  <c r="D75" i="137"/>
  <c r="D76" i="137"/>
  <c r="E40" i="137"/>
  <c r="D129" i="138"/>
  <c r="D67" i="137"/>
  <c r="D54" i="138"/>
  <c r="E31" i="137"/>
  <c r="E132" i="138"/>
  <c r="F43" i="137"/>
  <c r="E79" i="137"/>
  <c r="D81" i="137"/>
  <c r="E45" i="137"/>
  <c r="D134" i="138"/>
  <c r="D93" i="137"/>
  <c r="E57" i="137"/>
  <c r="D212" i="138"/>
  <c r="D53" i="138"/>
  <c r="D66" i="137"/>
  <c r="E30" i="137"/>
  <c r="D122" i="147"/>
  <c r="D144" i="138"/>
  <c r="D78" i="137"/>
  <c r="D131" i="138"/>
  <c r="E42" i="137"/>
  <c r="D193" i="147"/>
  <c r="D220" i="138"/>
  <c r="D209" i="138"/>
  <c r="E54" i="137"/>
  <c r="D90" i="137"/>
  <c r="D206" i="138"/>
  <c r="D87" i="137"/>
  <c r="E51" i="137"/>
  <c r="D63" i="137"/>
  <c r="D70" i="137" s="1"/>
  <c r="D50" i="138"/>
  <c r="E27" i="137"/>
  <c r="D65" i="137"/>
  <c r="E29" i="137"/>
  <c r="D52" i="138"/>
  <c r="R14" i="51"/>
  <c r="D50" i="137"/>
  <c r="D68" i="137"/>
  <c r="D55" i="138"/>
  <c r="E32" i="137"/>
  <c r="E33" i="137"/>
  <c r="D69" i="137"/>
  <c r="D56" i="138"/>
  <c r="E89" i="137"/>
  <c r="F53" i="137"/>
  <c r="E208" i="138"/>
  <c r="C223" i="134"/>
  <c r="C146" i="134"/>
  <c r="C194" i="144" l="1"/>
  <c r="C138" i="144"/>
  <c r="C26" i="144"/>
  <c r="C82" i="144"/>
  <c r="C210" i="144"/>
  <c r="C154" i="144"/>
  <c r="C98" i="144"/>
  <c r="C42" i="144"/>
  <c r="F26" i="137"/>
  <c r="E62" i="137"/>
  <c r="C49" i="134"/>
  <c r="D75" i="138"/>
  <c r="E193" i="147"/>
  <c r="E220" i="138"/>
  <c r="D210" i="134"/>
  <c r="G53" i="137"/>
  <c r="F208" i="138"/>
  <c r="F89" i="137"/>
  <c r="E209" i="138"/>
  <c r="E90" i="137"/>
  <c r="F54" i="137"/>
  <c r="E122" i="147"/>
  <c r="E144" i="138"/>
  <c r="D133" i="134"/>
  <c r="D51" i="147"/>
  <c r="D68" i="138"/>
  <c r="C56" i="134"/>
  <c r="D194" i="147"/>
  <c r="D221" i="138"/>
  <c r="C211" i="134"/>
  <c r="D191" i="147"/>
  <c r="C208" i="134"/>
  <c r="D218" i="138"/>
  <c r="D44" i="147"/>
  <c r="D58" i="138"/>
  <c r="E80" i="137"/>
  <c r="F44" i="137"/>
  <c r="E133" i="138"/>
  <c r="D123" i="147"/>
  <c r="D145" i="138"/>
  <c r="C134" i="134"/>
  <c r="E134" i="138"/>
  <c r="E81" i="137"/>
  <c r="F45" i="137"/>
  <c r="G43" i="137"/>
  <c r="F79" i="137"/>
  <c r="F132" i="138"/>
  <c r="E54" i="138"/>
  <c r="F31" i="137"/>
  <c r="E67" i="137"/>
  <c r="D49" i="147"/>
  <c r="D66" i="138"/>
  <c r="C54" i="134"/>
  <c r="D121" i="147"/>
  <c r="D143" i="138"/>
  <c r="C132" i="134"/>
  <c r="E76" i="137"/>
  <c r="E129" i="138"/>
  <c r="F40" i="137"/>
  <c r="D47" i="147"/>
  <c r="D64" i="138"/>
  <c r="C52" i="134"/>
  <c r="E77" i="137"/>
  <c r="E130" i="138"/>
  <c r="F41" i="137"/>
  <c r="E128" i="138"/>
  <c r="F39" i="137"/>
  <c r="E75" i="137"/>
  <c r="E50" i="138"/>
  <c r="E63" i="137"/>
  <c r="F27" i="137"/>
  <c r="D118" i="147"/>
  <c r="C129" i="134"/>
  <c r="D140" i="138"/>
  <c r="D45" i="147"/>
  <c r="C50" i="134"/>
  <c r="D62" i="138"/>
  <c r="E93" i="137"/>
  <c r="F57" i="137"/>
  <c r="E212" i="138"/>
  <c r="E34" i="137"/>
  <c r="E68" i="137"/>
  <c r="E55" i="138"/>
  <c r="F32" i="137"/>
  <c r="E207" i="138"/>
  <c r="E88" i="137"/>
  <c r="F52" i="137"/>
  <c r="D127" i="138"/>
  <c r="E38" i="137"/>
  <c r="D74" i="137"/>
  <c r="D82" i="137" s="1"/>
  <c r="D58" i="137"/>
  <c r="D86" i="137"/>
  <c r="D94" i="137" s="1"/>
  <c r="E50" i="137"/>
  <c r="D205" i="138"/>
  <c r="F30" i="137"/>
  <c r="E53" i="138"/>
  <c r="E66" i="137"/>
  <c r="E52" i="138"/>
  <c r="E65" i="137"/>
  <c r="F29" i="137"/>
  <c r="D48" i="147"/>
  <c r="D65" i="138"/>
  <c r="C53" i="134"/>
  <c r="E210" i="138"/>
  <c r="F55" i="137"/>
  <c r="E91" i="137"/>
  <c r="D192" i="147"/>
  <c r="D219" i="138"/>
  <c r="C209" i="134"/>
  <c r="D205" i="147"/>
  <c r="D196" i="147"/>
  <c r="D223" i="138"/>
  <c r="C213" i="134"/>
  <c r="F56" i="137"/>
  <c r="E211" i="138"/>
  <c r="E92" i="137"/>
  <c r="D120" i="147"/>
  <c r="D142" i="138"/>
  <c r="C131" i="134"/>
  <c r="D197" i="147"/>
  <c r="D224" i="138"/>
  <c r="C214" i="134"/>
  <c r="E206" i="138"/>
  <c r="E87" i="137"/>
  <c r="F51" i="137"/>
  <c r="D46" i="147"/>
  <c r="D63" i="138"/>
  <c r="C51" i="134"/>
  <c r="D195" i="147"/>
  <c r="D222" i="138"/>
  <c r="C212" i="134"/>
  <c r="F33" i="137"/>
  <c r="E56" i="138"/>
  <c r="E69" i="137"/>
  <c r="E131" i="138"/>
  <c r="E78" i="137"/>
  <c r="F42" i="137"/>
  <c r="D50" i="147"/>
  <c r="D67" i="138"/>
  <c r="C55" i="134"/>
  <c r="D119" i="147"/>
  <c r="D141" i="138"/>
  <c r="C130" i="134"/>
  <c r="D134" i="147"/>
  <c r="D124" i="147"/>
  <c r="D146" i="138"/>
  <c r="C135" i="134"/>
  <c r="F28" i="137"/>
  <c r="E51" i="138"/>
  <c r="E64" i="137"/>
  <c r="E44" i="147"/>
  <c r="E61" i="138"/>
  <c r="D49" i="134"/>
  <c r="G26" i="137"/>
  <c r="F49" i="138"/>
  <c r="F62" i="137"/>
  <c r="C194" i="152" l="1"/>
  <c r="C26" i="152"/>
  <c r="C138" i="152"/>
  <c r="C82" i="152"/>
  <c r="C98" i="152"/>
  <c r="C210" i="152"/>
  <c r="C154" i="152"/>
  <c r="C42" i="152"/>
  <c r="E58" i="138"/>
  <c r="D70" i="138"/>
  <c r="F34" i="137"/>
  <c r="E70" i="137"/>
  <c r="C62" i="134"/>
  <c r="C76" i="134"/>
  <c r="C78" i="134" s="1"/>
  <c r="E75" i="138"/>
  <c r="F64" i="137"/>
  <c r="F51" i="138"/>
  <c r="G28" i="137"/>
  <c r="G27" i="137"/>
  <c r="F50" i="138"/>
  <c r="F63" i="137"/>
  <c r="C148" i="134"/>
  <c r="D206" i="147"/>
  <c r="C58" i="134"/>
  <c r="E120" i="147"/>
  <c r="E142" i="138"/>
  <c r="D131" i="134"/>
  <c r="E134" i="147"/>
  <c r="E123" i="147"/>
  <c r="E145" i="138"/>
  <c r="D134" i="134"/>
  <c r="E121" i="147"/>
  <c r="E143" i="138"/>
  <c r="D132" i="134"/>
  <c r="E196" i="147"/>
  <c r="E223" i="138"/>
  <c r="D213" i="134"/>
  <c r="F80" i="137"/>
  <c r="F133" i="138"/>
  <c r="G44" i="137"/>
  <c r="E48" i="147"/>
  <c r="E65" i="138"/>
  <c r="D53" i="134"/>
  <c r="E51" i="147"/>
  <c r="E68" i="138"/>
  <c r="D56" i="134"/>
  <c r="C226" i="134"/>
  <c r="F53" i="138"/>
  <c r="G30" i="137"/>
  <c r="F66" i="137"/>
  <c r="D57" i="147"/>
  <c r="G208" i="138"/>
  <c r="G89" i="137"/>
  <c r="H53" i="137"/>
  <c r="D207" i="147"/>
  <c r="F67" i="137"/>
  <c r="G31" i="137"/>
  <c r="F54" i="138"/>
  <c r="E49" i="147"/>
  <c r="E66" i="138"/>
  <c r="D54" i="134"/>
  <c r="F87" i="137"/>
  <c r="G51" i="137"/>
  <c r="F206" i="138"/>
  <c r="G52" i="137"/>
  <c r="F207" i="138"/>
  <c r="F88" i="137"/>
  <c r="E118" i="147"/>
  <c r="D129" i="134"/>
  <c r="E140" i="138"/>
  <c r="E191" i="147"/>
  <c r="D208" i="134"/>
  <c r="E218" i="138"/>
  <c r="E192" i="147"/>
  <c r="E219" i="138"/>
  <c r="D209" i="134"/>
  <c r="G132" i="138"/>
  <c r="H43" i="137"/>
  <c r="G79" i="137"/>
  <c r="F68" i="137"/>
  <c r="F55" i="138"/>
  <c r="G32" i="137"/>
  <c r="F81" i="137"/>
  <c r="G45" i="137"/>
  <c r="F134" i="138"/>
  <c r="D63" i="147"/>
  <c r="C66" i="134"/>
  <c r="E50" i="147"/>
  <c r="E67" i="138"/>
  <c r="D55" i="134"/>
  <c r="C68" i="134"/>
  <c r="C65" i="134"/>
  <c r="D62" i="147"/>
  <c r="F52" i="138"/>
  <c r="F65" i="137"/>
  <c r="G29" i="137"/>
  <c r="D132" i="147"/>
  <c r="F93" i="137"/>
  <c r="G57" i="137"/>
  <c r="F212" i="138"/>
  <c r="E47" i="147"/>
  <c r="E64" i="138"/>
  <c r="D52" i="134"/>
  <c r="C63" i="134"/>
  <c r="F193" i="147"/>
  <c r="F220" i="138"/>
  <c r="E210" i="134"/>
  <c r="G33" i="137"/>
  <c r="F69" i="137"/>
  <c r="F56" i="138"/>
  <c r="D231" i="138"/>
  <c r="D190" i="147"/>
  <c r="C207" i="134"/>
  <c r="D217" i="138"/>
  <c r="D226" i="138" s="1"/>
  <c r="D214" i="138"/>
  <c r="D133" i="147"/>
  <c r="D53" i="147"/>
  <c r="D56" i="147"/>
  <c r="D70" i="147"/>
  <c r="D72" i="147" s="1"/>
  <c r="D223" i="134"/>
  <c r="D61" i="147"/>
  <c r="C64" i="134"/>
  <c r="F38" i="137"/>
  <c r="E74" i="137"/>
  <c r="E82" i="137" s="1"/>
  <c r="E127" i="138"/>
  <c r="E45" i="147"/>
  <c r="E62" i="138"/>
  <c r="D50" i="134"/>
  <c r="C224" i="134"/>
  <c r="D136" i="147"/>
  <c r="D204" i="147"/>
  <c r="F122" i="147"/>
  <c r="F144" i="138"/>
  <c r="E133" i="134"/>
  <c r="C69" i="134"/>
  <c r="F91" i="137"/>
  <c r="F210" i="138"/>
  <c r="G55" i="137"/>
  <c r="F130" i="138"/>
  <c r="F77" i="137"/>
  <c r="G41" i="137"/>
  <c r="E195" i="147"/>
  <c r="E222" i="138"/>
  <c r="D212" i="134"/>
  <c r="D146" i="134"/>
  <c r="E124" i="147"/>
  <c r="E146" i="138"/>
  <c r="D135" i="134"/>
  <c r="D60" i="147"/>
  <c r="C147" i="134"/>
  <c r="E197" i="147"/>
  <c r="E224" i="138"/>
  <c r="D214" i="134"/>
  <c r="G54" i="137"/>
  <c r="F209" i="138"/>
  <c r="F90" i="137"/>
  <c r="F131" i="138"/>
  <c r="G42" i="137"/>
  <c r="F78" i="137"/>
  <c r="G40" i="137"/>
  <c r="F76" i="137"/>
  <c r="F129" i="138"/>
  <c r="E194" i="147"/>
  <c r="E221" i="138"/>
  <c r="D211" i="134"/>
  <c r="C145" i="134"/>
  <c r="C225" i="134"/>
  <c r="D208" i="147"/>
  <c r="E205" i="138"/>
  <c r="E58" i="137"/>
  <c r="E86" i="137"/>
  <c r="E94" i="137" s="1"/>
  <c r="F50" i="137"/>
  <c r="C142" i="134"/>
  <c r="C67" i="134"/>
  <c r="D203" i="147"/>
  <c r="C222" i="134"/>
  <c r="D58" i="147"/>
  <c r="D117" i="147"/>
  <c r="D139" i="138"/>
  <c r="D148" i="138" s="1"/>
  <c r="D153" i="138"/>
  <c r="C128" i="134"/>
  <c r="D136" i="138"/>
  <c r="F75" i="137"/>
  <c r="F128" i="138"/>
  <c r="G39" i="137"/>
  <c r="C143" i="134"/>
  <c r="C227" i="134"/>
  <c r="D131" i="147"/>
  <c r="D209" i="147"/>
  <c r="C144" i="134"/>
  <c r="D59" i="147"/>
  <c r="D135" i="147"/>
  <c r="E119" i="147"/>
  <c r="E141" i="138"/>
  <c r="D130" i="134"/>
  <c r="F92" i="137"/>
  <c r="G56" i="137"/>
  <c r="F211" i="138"/>
  <c r="E46" i="147"/>
  <c r="E63" i="138"/>
  <c r="D51" i="134"/>
  <c r="D130" i="147"/>
  <c r="C221" i="134"/>
  <c r="E205" i="147"/>
  <c r="E56" i="147"/>
  <c r="F44" i="147"/>
  <c r="D62" i="134"/>
  <c r="F61" i="138"/>
  <c r="E49" i="134"/>
  <c r="H26" i="137"/>
  <c r="G62" i="137"/>
  <c r="G49" i="138"/>
  <c r="D98" i="144" l="1"/>
  <c r="D42" i="144"/>
  <c r="D154" i="144"/>
  <c r="D210" i="144"/>
  <c r="C192" i="152"/>
  <c r="C24" i="152"/>
  <c r="C136" i="152"/>
  <c r="C80" i="152"/>
  <c r="C209" i="144"/>
  <c r="C153" i="144"/>
  <c r="C97" i="144"/>
  <c r="C41" i="144"/>
  <c r="C122" i="144"/>
  <c r="C10" i="144"/>
  <c r="C66" i="144"/>
  <c r="C178" i="144"/>
  <c r="C190" i="144"/>
  <c r="C134" i="144"/>
  <c r="C78" i="144"/>
  <c r="C22" i="144"/>
  <c r="C62" i="144"/>
  <c r="C6" i="144"/>
  <c r="C174" i="144"/>
  <c r="C118" i="144"/>
  <c r="C62" i="152"/>
  <c r="C6" i="152"/>
  <c r="C118" i="152"/>
  <c r="C174" i="152"/>
  <c r="C192" i="144"/>
  <c r="C136" i="144"/>
  <c r="C80" i="144"/>
  <c r="C24" i="144"/>
  <c r="C84" i="152"/>
  <c r="C196" i="152"/>
  <c r="C140" i="152"/>
  <c r="C28" i="152"/>
  <c r="C211" i="144"/>
  <c r="C43" i="144"/>
  <c r="C155" i="144"/>
  <c r="C99" i="144"/>
  <c r="C191" i="152"/>
  <c r="C135" i="152"/>
  <c r="C23" i="152"/>
  <c r="C79" i="152"/>
  <c r="C157" i="152"/>
  <c r="C101" i="152"/>
  <c r="C213" i="152"/>
  <c r="C45" i="152"/>
  <c r="D82" i="152"/>
  <c r="D26" i="152"/>
  <c r="D194" i="152"/>
  <c r="D138" i="152"/>
  <c r="D59" i="144"/>
  <c r="D3" i="144"/>
  <c r="D171" i="144"/>
  <c r="D115" i="144"/>
  <c r="C214" i="144"/>
  <c r="C46" i="144"/>
  <c r="C102" i="144"/>
  <c r="C158" i="144"/>
  <c r="C212" i="144"/>
  <c r="C44" i="144"/>
  <c r="C156" i="144"/>
  <c r="C100" i="144"/>
  <c r="C63" i="144"/>
  <c r="C119" i="144"/>
  <c r="C7" i="144"/>
  <c r="C175" i="144"/>
  <c r="C213" i="144"/>
  <c r="C45" i="144"/>
  <c r="C101" i="144"/>
  <c r="C157" i="144"/>
  <c r="C115" i="152"/>
  <c r="C59" i="152"/>
  <c r="C3" i="152"/>
  <c r="C171" i="152"/>
  <c r="C177" i="152"/>
  <c r="C121" i="152"/>
  <c r="C65" i="152"/>
  <c r="C9" i="152"/>
  <c r="C97" i="152"/>
  <c r="C153" i="152"/>
  <c r="C209" i="152"/>
  <c r="C41" i="152"/>
  <c r="C122" i="152"/>
  <c r="C66" i="152"/>
  <c r="C10" i="152"/>
  <c r="C178" i="152"/>
  <c r="D194" i="144"/>
  <c r="D26" i="144"/>
  <c r="D138" i="144"/>
  <c r="D82" i="144"/>
  <c r="C99" i="152"/>
  <c r="C155" i="152"/>
  <c r="C211" i="152"/>
  <c r="C43" i="152"/>
  <c r="C5" i="152"/>
  <c r="C173" i="152"/>
  <c r="C117" i="152"/>
  <c r="C61" i="152"/>
  <c r="C96" i="152"/>
  <c r="C40" i="152"/>
  <c r="C152" i="152"/>
  <c r="C208" i="152"/>
  <c r="F70" i="137"/>
  <c r="C64" i="144"/>
  <c r="C8" i="144"/>
  <c r="C120" i="144"/>
  <c r="C176" i="144"/>
  <c r="C195" i="152"/>
  <c r="C139" i="152"/>
  <c r="C83" i="152"/>
  <c r="C27" i="152"/>
  <c r="C116" i="152"/>
  <c r="C172" i="152"/>
  <c r="C60" i="152"/>
  <c r="C4" i="152"/>
  <c r="C63" i="152"/>
  <c r="C7" i="152"/>
  <c r="C119" i="152"/>
  <c r="C175" i="152"/>
  <c r="C193" i="144"/>
  <c r="C137" i="144"/>
  <c r="C81" i="144"/>
  <c r="C25" i="144"/>
  <c r="C172" i="144"/>
  <c r="C4" i="144"/>
  <c r="C116" i="144"/>
  <c r="C60" i="144"/>
  <c r="C61" i="144"/>
  <c r="C5" i="144"/>
  <c r="C173" i="144"/>
  <c r="C117" i="144"/>
  <c r="C196" i="144"/>
  <c r="C84" i="144"/>
  <c r="C28" i="144"/>
  <c r="C140" i="144"/>
  <c r="C193" i="152"/>
  <c r="C25" i="152"/>
  <c r="C137" i="152"/>
  <c r="C81" i="152"/>
  <c r="C44" i="152"/>
  <c r="C100" i="152"/>
  <c r="C156" i="152"/>
  <c r="C212" i="152"/>
  <c r="C59" i="144"/>
  <c r="C3" i="144"/>
  <c r="C171" i="144"/>
  <c r="C115" i="144"/>
  <c r="C65" i="144"/>
  <c r="C121" i="144"/>
  <c r="C9" i="144"/>
  <c r="C177" i="144"/>
  <c r="C195" i="144"/>
  <c r="C83" i="144"/>
  <c r="C27" i="144"/>
  <c r="C139" i="144"/>
  <c r="C214" i="152"/>
  <c r="C158" i="152"/>
  <c r="C102" i="152"/>
  <c r="C46" i="152"/>
  <c r="C135" i="144"/>
  <c r="C191" i="144"/>
  <c r="C79" i="144"/>
  <c r="C23" i="144"/>
  <c r="D3" i="152"/>
  <c r="D171" i="152"/>
  <c r="D59" i="152"/>
  <c r="D115" i="152"/>
  <c r="D98" i="152"/>
  <c r="D210" i="152"/>
  <c r="D42" i="152"/>
  <c r="D154" i="152"/>
  <c r="C208" i="144"/>
  <c r="C152" i="144"/>
  <c r="C96" i="144"/>
  <c r="C40" i="144"/>
  <c r="C190" i="152"/>
  <c r="C134" i="152"/>
  <c r="C22" i="152"/>
  <c r="C78" i="152"/>
  <c r="C64" i="152"/>
  <c r="C120" i="152"/>
  <c r="C176" i="152"/>
  <c r="C8" i="152"/>
  <c r="C71" i="134"/>
  <c r="D76" i="134"/>
  <c r="D78" i="134" s="1"/>
  <c r="E70" i="138"/>
  <c r="E70" i="147"/>
  <c r="E72" i="147" s="1"/>
  <c r="F58" i="138"/>
  <c r="D65" i="147"/>
  <c r="G34" i="137"/>
  <c r="F192" i="147"/>
  <c r="F219" i="138"/>
  <c r="E209" i="134"/>
  <c r="H57" i="137"/>
  <c r="G212" i="138"/>
  <c r="G93" i="137"/>
  <c r="G207" i="138"/>
  <c r="H52" i="137"/>
  <c r="G88" i="137"/>
  <c r="G81" i="137"/>
  <c r="G134" i="138"/>
  <c r="H45" i="137"/>
  <c r="F119" i="147"/>
  <c r="F141" i="138"/>
  <c r="E130" i="134"/>
  <c r="D69" i="134"/>
  <c r="D63" i="134"/>
  <c r="D67" i="134"/>
  <c r="E132" i="147"/>
  <c r="E207" i="147"/>
  <c r="E61" i="147"/>
  <c r="F121" i="147"/>
  <c r="F143" i="138"/>
  <c r="E132" i="134"/>
  <c r="E60" i="147"/>
  <c r="D64" i="134"/>
  <c r="H44" i="137"/>
  <c r="G80" i="137"/>
  <c r="G133" i="138"/>
  <c r="G50" i="137"/>
  <c r="F205" i="138"/>
  <c r="F86" i="137"/>
  <c r="F94" i="137" s="1"/>
  <c r="F58" i="137"/>
  <c r="F194" i="147"/>
  <c r="F221" i="138"/>
  <c r="E211" i="134"/>
  <c r="F120" i="147"/>
  <c r="F142" i="138"/>
  <c r="E131" i="134"/>
  <c r="G38" i="137"/>
  <c r="F127" i="138"/>
  <c r="F74" i="137"/>
  <c r="F82" i="137" s="1"/>
  <c r="F123" i="147"/>
  <c r="F145" i="138"/>
  <c r="E134" i="134"/>
  <c r="E223" i="134"/>
  <c r="E204" i="147"/>
  <c r="D226" i="134"/>
  <c r="G92" i="137"/>
  <c r="G211" i="138"/>
  <c r="H56" i="137"/>
  <c r="D207" i="134"/>
  <c r="E231" i="138"/>
  <c r="E190" i="147"/>
  <c r="E217" i="138"/>
  <c r="E226" i="138" s="1"/>
  <c r="E214" i="138"/>
  <c r="E209" i="147"/>
  <c r="F205" i="147"/>
  <c r="D68" i="134"/>
  <c r="E208" i="147"/>
  <c r="F45" i="147"/>
  <c r="F62" i="138"/>
  <c r="E50" i="134"/>
  <c r="D143" i="134"/>
  <c r="E203" i="147"/>
  <c r="G193" i="147"/>
  <c r="G220" i="138"/>
  <c r="F210" i="134"/>
  <c r="D145" i="134"/>
  <c r="G50" i="138"/>
  <c r="H27" i="137"/>
  <c r="G63" i="137"/>
  <c r="D148" i="134"/>
  <c r="E206" i="147"/>
  <c r="G206" i="138"/>
  <c r="H51" i="137"/>
  <c r="G87" i="137"/>
  <c r="G55" i="138"/>
  <c r="G68" i="137"/>
  <c r="H32" i="137"/>
  <c r="D225" i="134"/>
  <c r="G130" i="138"/>
  <c r="H41" i="137"/>
  <c r="G77" i="137"/>
  <c r="I43" i="137"/>
  <c r="H132" i="138"/>
  <c r="H79" i="137"/>
  <c r="G122" i="147"/>
  <c r="G144" i="138"/>
  <c r="F133" i="134"/>
  <c r="F196" i="147"/>
  <c r="F223" i="138"/>
  <c r="E213" i="134"/>
  <c r="F118" i="147"/>
  <c r="E129" i="134"/>
  <c r="F140" i="138"/>
  <c r="I53" i="137"/>
  <c r="H89" i="137"/>
  <c r="H208" i="138"/>
  <c r="D221" i="134"/>
  <c r="C137" i="134"/>
  <c r="C141" i="134"/>
  <c r="C155" i="134"/>
  <c r="C157" i="134" s="1"/>
  <c r="E146" i="134"/>
  <c r="E62" i="147"/>
  <c r="H28" i="137"/>
  <c r="G64" i="137"/>
  <c r="G51" i="138"/>
  <c r="D126" i="147"/>
  <c r="D129" i="147"/>
  <c r="D143" i="147"/>
  <c r="D145" i="147" s="1"/>
  <c r="G66" i="137"/>
  <c r="H30" i="137"/>
  <c r="G53" i="138"/>
  <c r="F197" i="147"/>
  <c r="F224" i="138"/>
  <c r="E214" i="134"/>
  <c r="F48" i="147"/>
  <c r="F65" i="138"/>
  <c r="E53" i="134"/>
  <c r="F75" i="138"/>
  <c r="F191" i="147"/>
  <c r="E208" i="134"/>
  <c r="F218" i="138"/>
  <c r="D144" i="134"/>
  <c r="H40" i="137"/>
  <c r="G129" i="138"/>
  <c r="G76" i="137"/>
  <c r="G52" i="138"/>
  <c r="H29" i="137"/>
  <c r="G65" i="137"/>
  <c r="E63" i="147"/>
  <c r="C220" i="134"/>
  <c r="C216" i="134"/>
  <c r="C234" i="134"/>
  <c r="C236" i="134" s="1"/>
  <c r="D66" i="134"/>
  <c r="E57" i="147"/>
  <c r="D199" i="147"/>
  <c r="D216" i="147"/>
  <c r="D218" i="147" s="1"/>
  <c r="D202" i="147"/>
  <c r="F47" i="147"/>
  <c r="F64" i="138"/>
  <c r="E52" i="134"/>
  <c r="D128" i="134"/>
  <c r="E153" i="138"/>
  <c r="E117" i="147"/>
  <c r="E136" i="138"/>
  <c r="E139" i="138"/>
  <c r="E148" i="138" s="1"/>
  <c r="E53" i="147"/>
  <c r="E58" i="147"/>
  <c r="G209" i="138"/>
  <c r="G90" i="137"/>
  <c r="H54" i="137"/>
  <c r="H55" i="137"/>
  <c r="G91" i="137"/>
  <c r="G210" i="138"/>
  <c r="G56" i="138"/>
  <c r="G69" i="137"/>
  <c r="H33" i="137"/>
  <c r="G75" i="137"/>
  <c r="G128" i="138"/>
  <c r="H39" i="137"/>
  <c r="D227" i="134"/>
  <c r="F195" i="147"/>
  <c r="F222" i="138"/>
  <c r="E212" i="134"/>
  <c r="D58" i="134"/>
  <c r="E131" i="147"/>
  <c r="D65" i="134"/>
  <c r="D142" i="134"/>
  <c r="E133" i="147"/>
  <c r="F46" i="147"/>
  <c r="F63" i="138"/>
  <c r="E51" i="134"/>
  <c r="E59" i="147"/>
  <c r="D224" i="134"/>
  <c r="E135" i="147"/>
  <c r="E136" i="147"/>
  <c r="F124" i="147"/>
  <c r="F146" i="138"/>
  <c r="E135" i="134"/>
  <c r="F50" i="147"/>
  <c r="F67" i="138"/>
  <c r="E55" i="134"/>
  <c r="G131" i="138"/>
  <c r="H42" i="137"/>
  <c r="G78" i="137"/>
  <c r="F49" i="147"/>
  <c r="F66" i="138"/>
  <c r="E54" i="134"/>
  <c r="F51" i="147"/>
  <c r="F68" i="138"/>
  <c r="E56" i="134"/>
  <c r="G54" i="138"/>
  <c r="G67" i="137"/>
  <c r="H31" i="137"/>
  <c r="D222" i="134"/>
  <c r="F134" i="147"/>
  <c r="E130" i="147"/>
  <c r="D147" i="134"/>
  <c r="F56" i="147"/>
  <c r="G44" i="147"/>
  <c r="E62" i="134"/>
  <c r="G61" i="138"/>
  <c r="F49" i="134"/>
  <c r="I26" i="137"/>
  <c r="H62" i="137"/>
  <c r="H49" i="138"/>
  <c r="D208" i="144" l="1"/>
  <c r="D40" i="144"/>
  <c r="D152" i="144"/>
  <c r="D96" i="144"/>
  <c r="D212" i="152"/>
  <c r="D44" i="152"/>
  <c r="D156" i="152"/>
  <c r="D100" i="152"/>
  <c r="C123" i="152"/>
  <c r="D196" i="152"/>
  <c r="D84" i="152"/>
  <c r="D140" i="152"/>
  <c r="D28" i="152"/>
  <c r="D64" i="144"/>
  <c r="D120" i="144"/>
  <c r="D8" i="144"/>
  <c r="D176" i="144"/>
  <c r="D209" i="144"/>
  <c r="D97" i="144"/>
  <c r="D153" i="144"/>
  <c r="D41" i="144"/>
  <c r="D27" i="152"/>
  <c r="D139" i="152"/>
  <c r="D83" i="152"/>
  <c r="D195" i="152"/>
  <c r="D116" i="152"/>
  <c r="D60" i="152"/>
  <c r="D4" i="152"/>
  <c r="D172" i="152"/>
  <c r="D158" i="152"/>
  <c r="D102" i="152"/>
  <c r="D46" i="152"/>
  <c r="D214" i="152"/>
  <c r="D4" i="144"/>
  <c r="D60" i="144"/>
  <c r="D116" i="144"/>
  <c r="D172" i="144"/>
  <c r="D99" i="144"/>
  <c r="D155" i="144"/>
  <c r="D211" i="144"/>
  <c r="D43" i="144"/>
  <c r="D175" i="144"/>
  <c r="D63" i="144"/>
  <c r="D119" i="144"/>
  <c r="D7" i="144"/>
  <c r="D66" i="144"/>
  <c r="D122" i="144"/>
  <c r="D178" i="144"/>
  <c r="D10" i="144"/>
  <c r="C179" i="144"/>
  <c r="D174" i="152"/>
  <c r="D118" i="152"/>
  <c r="D62" i="152"/>
  <c r="D6" i="152"/>
  <c r="D43" i="152"/>
  <c r="D155" i="152"/>
  <c r="D211" i="152"/>
  <c r="D99" i="152"/>
  <c r="C67" i="144"/>
  <c r="C11" i="144"/>
  <c r="D192" i="144"/>
  <c r="D136" i="144"/>
  <c r="D80" i="144"/>
  <c r="D24" i="144"/>
  <c r="D9" i="152"/>
  <c r="D65" i="152"/>
  <c r="D177" i="152"/>
  <c r="D121" i="152"/>
  <c r="E59" i="144"/>
  <c r="E115" i="144"/>
  <c r="E171" i="144"/>
  <c r="E3" i="144"/>
  <c r="C189" i="144"/>
  <c r="C197" i="144" s="1"/>
  <c r="C77" i="144"/>
  <c r="C85" i="144" s="1"/>
  <c r="C133" i="144"/>
  <c r="C141" i="144" s="1"/>
  <c r="C21" i="144"/>
  <c r="C29" i="144" s="1"/>
  <c r="D65" i="144"/>
  <c r="D177" i="144"/>
  <c r="D121" i="144"/>
  <c r="D9" i="144"/>
  <c r="E210" i="152"/>
  <c r="E154" i="152"/>
  <c r="E98" i="152"/>
  <c r="E42" i="152"/>
  <c r="D196" i="144"/>
  <c r="D140" i="144"/>
  <c r="D84" i="144"/>
  <c r="D28" i="144"/>
  <c r="D61" i="152"/>
  <c r="D173" i="152"/>
  <c r="D5" i="152"/>
  <c r="D117" i="152"/>
  <c r="D138" i="147"/>
  <c r="C133" i="152"/>
  <c r="C141" i="152" s="1"/>
  <c r="C189" i="152"/>
  <c r="C197" i="152" s="1"/>
  <c r="C77" i="152"/>
  <c r="C85" i="152" s="1"/>
  <c r="C21" i="152"/>
  <c r="C29" i="152" s="1"/>
  <c r="D209" i="152"/>
  <c r="D153" i="152"/>
  <c r="D97" i="152"/>
  <c r="D41" i="152"/>
  <c r="D61" i="144"/>
  <c r="D5" i="144"/>
  <c r="D173" i="144"/>
  <c r="D117" i="144"/>
  <c r="D175" i="152"/>
  <c r="D63" i="152"/>
  <c r="D119" i="152"/>
  <c r="D7" i="152"/>
  <c r="D135" i="144"/>
  <c r="D79" i="144"/>
  <c r="D191" i="144"/>
  <c r="D23" i="144"/>
  <c r="C179" i="152"/>
  <c r="D214" i="144"/>
  <c r="D158" i="144"/>
  <c r="D102" i="144"/>
  <c r="D46" i="144"/>
  <c r="E3" i="152"/>
  <c r="E115" i="152"/>
  <c r="E59" i="152"/>
  <c r="E171" i="152"/>
  <c r="D212" i="144"/>
  <c r="D156" i="144"/>
  <c r="D100" i="144"/>
  <c r="D44" i="144"/>
  <c r="D195" i="144"/>
  <c r="D139" i="144"/>
  <c r="D83" i="144"/>
  <c r="D27" i="144"/>
  <c r="D213" i="152"/>
  <c r="D45" i="152"/>
  <c r="D101" i="152"/>
  <c r="D157" i="152"/>
  <c r="E194" i="152"/>
  <c r="E82" i="152"/>
  <c r="E138" i="152"/>
  <c r="E26" i="152"/>
  <c r="C103" i="144"/>
  <c r="C229" i="134"/>
  <c r="C151" i="144"/>
  <c r="C159" i="144" s="1"/>
  <c r="C207" i="144"/>
  <c r="C215" i="144" s="1"/>
  <c r="C39" i="144"/>
  <c r="C95" i="144"/>
  <c r="C123" i="144"/>
  <c r="D193" i="152"/>
  <c r="D137" i="152"/>
  <c r="D81" i="152"/>
  <c r="D25" i="152"/>
  <c r="D134" i="144"/>
  <c r="D22" i="144"/>
  <c r="D190" i="144"/>
  <c r="D78" i="144"/>
  <c r="D6" i="144"/>
  <c r="D118" i="144"/>
  <c r="D174" i="144"/>
  <c r="D62" i="144"/>
  <c r="D193" i="144"/>
  <c r="D81" i="144"/>
  <c r="D25" i="144"/>
  <c r="D137" i="144"/>
  <c r="E98" i="144"/>
  <c r="E154" i="144"/>
  <c r="E210" i="144"/>
  <c r="E42" i="144"/>
  <c r="D40" i="152"/>
  <c r="D152" i="152"/>
  <c r="D96" i="152"/>
  <c r="D208" i="152"/>
  <c r="C67" i="152"/>
  <c r="E194" i="144"/>
  <c r="E26" i="144"/>
  <c r="E138" i="144"/>
  <c r="E82" i="144"/>
  <c r="C47" i="152"/>
  <c r="C215" i="152"/>
  <c r="C11" i="152"/>
  <c r="D8" i="152"/>
  <c r="D176" i="152"/>
  <c r="D120" i="152"/>
  <c r="D64" i="152"/>
  <c r="D211" i="147"/>
  <c r="C39" i="152"/>
  <c r="C151" i="152"/>
  <c r="C159" i="152" s="1"/>
  <c r="C95" i="152"/>
  <c r="C103" i="152" s="1"/>
  <c r="C207" i="152"/>
  <c r="D134" i="152"/>
  <c r="D22" i="152"/>
  <c r="D190" i="152"/>
  <c r="D78" i="152"/>
  <c r="D192" i="152"/>
  <c r="D136" i="152"/>
  <c r="D80" i="152"/>
  <c r="D24" i="152"/>
  <c r="D10" i="152"/>
  <c r="D66" i="152"/>
  <c r="D178" i="152"/>
  <c r="D122" i="152"/>
  <c r="D191" i="152"/>
  <c r="D79" i="152"/>
  <c r="D135" i="152"/>
  <c r="D23" i="152"/>
  <c r="D101" i="144"/>
  <c r="D157" i="144"/>
  <c r="D45" i="144"/>
  <c r="D213" i="144"/>
  <c r="C150" i="134"/>
  <c r="E58" i="134"/>
  <c r="F70" i="138"/>
  <c r="F70" i="147"/>
  <c r="F72" i="147" s="1"/>
  <c r="G123" i="147"/>
  <c r="G145" i="138"/>
  <c r="F134" i="134"/>
  <c r="F208" i="134"/>
  <c r="G191" i="147"/>
  <c r="G218" i="138"/>
  <c r="H51" i="138"/>
  <c r="H64" i="137"/>
  <c r="I28" i="137"/>
  <c r="H34" i="137"/>
  <c r="E65" i="147"/>
  <c r="H87" i="137"/>
  <c r="I51" i="137"/>
  <c r="H206" i="138"/>
  <c r="F53" i="147"/>
  <c r="F57" i="147"/>
  <c r="E226" i="134"/>
  <c r="F58" i="147"/>
  <c r="G70" i="137"/>
  <c r="D71" i="134"/>
  <c r="F61" i="147"/>
  <c r="G51" i="147"/>
  <c r="G68" i="138"/>
  <c r="F56" i="134"/>
  <c r="G75" i="138"/>
  <c r="F146" i="134"/>
  <c r="E68" i="134"/>
  <c r="G124" i="147"/>
  <c r="G146" i="138"/>
  <c r="F135" i="134"/>
  <c r="E227" i="134"/>
  <c r="H122" i="147"/>
  <c r="H144" i="138"/>
  <c r="G133" i="134"/>
  <c r="H63" i="137"/>
  <c r="H50" i="138"/>
  <c r="I27" i="137"/>
  <c r="F117" i="147"/>
  <c r="F139" i="138"/>
  <c r="F148" i="138" s="1"/>
  <c r="F136" i="138"/>
  <c r="F153" i="138"/>
  <c r="E128" i="134"/>
  <c r="F133" i="147"/>
  <c r="C47" i="144"/>
  <c r="E144" i="134"/>
  <c r="G120" i="147"/>
  <c r="G142" i="138"/>
  <c r="F131" i="134"/>
  <c r="F132" i="147"/>
  <c r="G197" i="147"/>
  <c r="G224" i="138"/>
  <c r="F214" i="134"/>
  <c r="E126" i="147"/>
  <c r="E143" i="147"/>
  <c r="E145" i="147" s="1"/>
  <c r="E129" i="147"/>
  <c r="G49" i="147"/>
  <c r="G66" i="138"/>
  <c r="F54" i="134"/>
  <c r="F129" i="134"/>
  <c r="G118" i="147"/>
  <c r="G140" i="138"/>
  <c r="G119" i="147"/>
  <c r="G141" i="138"/>
  <c r="F130" i="134"/>
  <c r="E222" i="134"/>
  <c r="E221" i="134"/>
  <c r="E143" i="134"/>
  <c r="F203" i="147"/>
  <c r="F131" i="147"/>
  <c r="G134" i="147"/>
  <c r="F135" i="147"/>
  <c r="F60" i="147"/>
  <c r="E145" i="134"/>
  <c r="F209" i="147"/>
  <c r="G48" i="147"/>
  <c r="G65" i="138"/>
  <c r="F53" i="134"/>
  <c r="I41" i="137"/>
  <c r="H130" i="138"/>
  <c r="H77" i="137"/>
  <c r="E199" i="147"/>
  <c r="E202" i="147"/>
  <c r="E216" i="147"/>
  <c r="E218" i="147" s="1"/>
  <c r="F207" i="147"/>
  <c r="E224" i="134"/>
  <c r="I57" i="137"/>
  <c r="H212" i="138"/>
  <c r="H93" i="137"/>
  <c r="D141" i="134"/>
  <c r="D137" i="134"/>
  <c r="D155" i="134"/>
  <c r="D157" i="134" s="1"/>
  <c r="G47" i="147"/>
  <c r="G64" i="138"/>
  <c r="F52" i="134"/>
  <c r="H92" i="137"/>
  <c r="H211" i="138"/>
  <c r="I56" i="137"/>
  <c r="E69" i="134"/>
  <c r="G196" i="147"/>
  <c r="G223" i="138"/>
  <c r="F213" i="134"/>
  <c r="F63" i="147"/>
  <c r="F59" i="147"/>
  <c r="H129" i="138"/>
  <c r="H76" i="137"/>
  <c r="I40" i="137"/>
  <c r="G46" i="147"/>
  <c r="G63" i="138"/>
  <c r="F51" i="134"/>
  <c r="E142" i="134"/>
  <c r="G50" i="147"/>
  <c r="G67" i="138"/>
  <c r="F55" i="134"/>
  <c r="F231" i="138"/>
  <c r="F190" i="147"/>
  <c r="F217" i="138"/>
  <c r="F226" i="138" s="1"/>
  <c r="F214" i="138"/>
  <c r="E207" i="134"/>
  <c r="G195" i="147"/>
  <c r="G222" i="138"/>
  <c r="F212" i="134"/>
  <c r="F208" i="147"/>
  <c r="H133" i="138"/>
  <c r="H80" i="137"/>
  <c r="I44" i="137"/>
  <c r="H131" i="138"/>
  <c r="I42" i="137"/>
  <c r="H78" i="137"/>
  <c r="G121" i="147"/>
  <c r="G143" i="138"/>
  <c r="F132" i="134"/>
  <c r="H91" i="137"/>
  <c r="I55" i="137"/>
  <c r="H210" i="138"/>
  <c r="E147" i="134"/>
  <c r="H209" i="138"/>
  <c r="H90" i="137"/>
  <c r="I54" i="137"/>
  <c r="E66" i="134"/>
  <c r="I45" i="137"/>
  <c r="H81" i="137"/>
  <c r="H134" i="138"/>
  <c r="F62" i="147"/>
  <c r="G194" i="147"/>
  <c r="G221" i="138"/>
  <c r="F211" i="134"/>
  <c r="E148" i="134"/>
  <c r="I79" i="137"/>
  <c r="J43" i="137"/>
  <c r="I132" i="138"/>
  <c r="G45" i="147"/>
  <c r="G62" i="138"/>
  <c r="F50" i="134"/>
  <c r="G74" i="137"/>
  <c r="G82" i="137" s="1"/>
  <c r="G127" i="138"/>
  <c r="H38" i="137"/>
  <c r="H207" i="138"/>
  <c r="H88" i="137"/>
  <c r="I52" i="137"/>
  <c r="E76" i="134"/>
  <c r="E78" i="134" s="1"/>
  <c r="F136" i="147"/>
  <c r="G192" i="147"/>
  <c r="G219" i="138"/>
  <c r="F209" i="134"/>
  <c r="E225" i="134"/>
  <c r="G58" i="138"/>
  <c r="H66" i="137"/>
  <c r="I30" i="137"/>
  <c r="H53" i="138"/>
  <c r="F223" i="134"/>
  <c r="H54" i="138"/>
  <c r="H67" i="137"/>
  <c r="I31" i="137"/>
  <c r="H65" i="137"/>
  <c r="H52" i="138"/>
  <c r="I29" i="137"/>
  <c r="H193" i="147"/>
  <c r="H220" i="138"/>
  <c r="G210" i="134"/>
  <c r="G205" i="147"/>
  <c r="D216" i="134"/>
  <c r="D234" i="134"/>
  <c r="D236" i="134" s="1"/>
  <c r="D220" i="134"/>
  <c r="F206" i="147"/>
  <c r="H128" i="138"/>
  <c r="I39" i="137"/>
  <c r="H75" i="137"/>
  <c r="E65" i="134"/>
  <c r="I208" i="138"/>
  <c r="J53" i="137"/>
  <c r="I89" i="137"/>
  <c r="I32" i="137"/>
  <c r="H55" i="138"/>
  <c r="H68" i="137"/>
  <c r="E67" i="134"/>
  <c r="E64" i="134"/>
  <c r="H69" i="137"/>
  <c r="H56" i="138"/>
  <c r="I33" i="137"/>
  <c r="F130" i="147"/>
  <c r="E63" i="134"/>
  <c r="H50" i="137"/>
  <c r="G86" i="137"/>
  <c r="G94" i="137" s="1"/>
  <c r="G58" i="137"/>
  <c r="G205" i="138"/>
  <c r="F204" i="147"/>
  <c r="H44" i="147"/>
  <c r="G56" i="147"/>
  <c r="F62" i="134"/>
  <c r="J26" i="137"/>
  <c r="I49" i="138"/>
  <c r="I62" i="137"/>
  <c r="H61" i="138"/>
  <c r="G49" i="134"/>
  <c r="D11" i="144" l="1"/>
  <c r="H70" i="137"/>
  <c r="E191" i="144"/>
  <c r="E135" i="144"/>
  <c r="E79" i="144"/>
  <c r="E23" i="144"/>
  <c r="E155" i="152"/>
  <c r="E43" i="152"/>
  <c r="E211" i="152"/>
  <c r="E99" i="152"/>
  <c r="F194" i="144"/>
  <c r="F26" i="144"/>
  <c r="F138" i="144"/>
  <c r="F82" i="144"/>
  <c r="E99" i="144"/>
  <c r="E155" i="144"/>
  <c r="E211" i="144"/>
  <c r="E43" i="144"/>
  <c r="E45" i="152"/>
  <c r="E101" i="152"/>
  <c r="E157" i="152"/>
  <c r="E213" i="152"/>
  <c r="E193" i="152"/>
  <c r="E137" i="152"/>
  <c r="E81" i="152"/>
  <c r="E25" i="152"/>
  <c r="D123" i="144"/>
  <c r="F98" i="152"/>
  <c r="F210" i="152"/>
  <c r="F42" i="152"/>
  <c r="F154" i="152"/>
  <c r="D67" i="144"/>
  <c r="E175" i="144"/>
  <c r="E7" i="144"/>
  <c r="E63" i="144"/>
  <c r="E119" i="144"/>
  <c r="D197" i="144"/>
  <c r="D197" i="152"/>
  <c r="G70" i="138"/>
  <c r="D215" i="152"/>
  <c r="E139" i="144"/>
  <c r="E195" i="144"/>
  <c r="E83" i="144"/>
  <c r="E27" i="144"/>
  <c r="H75" i="138"/>
  <c r="D67" i="152"/>
  <c r="F210" i="144"/>
  <c r="F98" i="144"/>
  <c r="F154" i="144"/>
  <c r="F42" i="144"/>
  <c r="E175" i="152"/>
  <c r="E119" i="152"/>
  <c r="E63" i="152"/>
  <c r="E7" i="152"/>
  <c r="E27" i="152"/>
  <c r="E83" i="152"/>
  <c r="E195" i="152"/>
  <c r="E139" i="152"/>
  <c r="E214" i="144"/>
  <c r="E102" i="144"/>
  <c r="E46" i="144"/>
  <c r="E158" i="144"/>
  <c r="E212" i="144"/>
  <c r="E156" i="144"/>
  <c r="E100" i="144"/>
  <c r="E44" i="144"/>
  <c r="E208" i="144"/>
  <c r="E40" i="144"/>
  <c r="E152" i="144"/>
  <c r="E96" i="144"/>
  <c r="E44" i="152"/>
  <c r="E212" i="152"/>
  <c r="E100" i="152"/>
  <c r="E156" i="152"/>
  <c r="D179" i="144"/>
  <c r="E28" i="152"/>
  <c r="E140" i="152"/>
  <c r="E196" i="152"/>
  <c r="E84" i="152"/>
  <c r="E118" i="152"/>
  <c r="E6" i="152"/>
  <c r="E174" i="152"/>
  <c r="E62" i="152"/>
  <c r="E10" i="152"/>
  <c r="E66" i="152"/>
  <c r="E122" i="152"/>
  <c r="E178" i="152"/>
  <c r="E61" i="152"/>
  <c r="E173" i="152"/>
  <c r="E5" i="152"/>
  <c r="E117" i="152"/>
  <c r="E213" i="144"/>
  <c r="E101" i="144"/>
  <c r="E157" i="144"/>
  <c r="E45" i="144"/>
  <c r="D141" i="144"/>
  <c r="E138" i="147"/>
  <c r="D77" i="152"/>
  <c r="D85" i="152" s="1"/>
  <c r="D21" i="152"/>
  <c r="D29" i="152" s="1"/>
  <c r="D133" i="152"/>
  <c r="D141" i="152" s="1"/>
  <c r="D189" i="152"/>
  <c r="D123" i="152"/>
  <c r="F59" i="144"/>
  <c r="F3" i="144"/>
  <c r="F115" i="144"/>
  <c r="F171" i="144"/>
  <c r="E174" i="144"/>
  <c r="E6" i="144"/>
  <c r="E62" i="144"/>
  <c r="E118" i="144"/>
  <c r="E190" i="144"/>
  <c r="E134" i="144"/>
  <c r="E78" i="144"/>
  <c r="E22" i="144"/>
  <c r="F194" i="152"/>
  <c r="F138" i="152"/>
  <c r="F82" i="152"/>
  <c r="F26" i="152"/>
  <c r="D229" i="134"/>
  <c r="D39" i="144"/>
  <c r="D47" i="144" s="1"/>
  <c r="D95" i="144"/>
  <c r="D103" i="144" s="1"/>
  <c r="D207" i="144"/>
  <c r="D215" i="144" s="1"/>
  <c r="D151" i="144"/>
  <c r="D159" i="144" s="1"/>
  <c r="E209" i="144"/>
  <c r="E41" i="144"/>
  <c r="E153" i="144"/>
  <c r="E97" i="144"/>
  <c r="E9" i="152"/>
  <c r="E121" i="152"/>
  <c r="E177" i="152"/>
  <c r="E65" i="152"/>
  <c r="E116" i="144"/>
  <c r="E60" i="144"/>
  <c r="E4" i="144"/>
  <c r="E172" i="144"/>
  <c r="E134" i="152"/>
  <c r="E190" i="152"/>
  <c r="E22" i="152"/>
  <c r="E78" i="152"/>
  <c r="E211" i="147"/>
  <c r="D207" i="152"/>
  <c r="D39" i="152"/>
  <c r="D47" i="152" s="1"/>
  <c r="D95" i="152"/>
  <c r="D103" i="152" s="1"/>
  <c r="D151" i="152"/>
  <c r="D159" i="152" s="1"/>
  <c r="E8" i="152"/>
  <c r="E176" i="152"/>
  <c r="E120" i="152"/>
  <c r="E64" i="152"/>
  <c r="E61" i="144"/>
  <c r="E173" i="144"/>
  <c r="E117" i="144"/>
  <c r="E5" i="144"/>
  <c r="E116" i="152"/>
  <c r="E60" i="152"/>
  <c r="E4" i="152"/>
  <c r="E172" i="152"/>
  <c r="D179" i="152"/>
  <c r="D11" i="152"/>
  <c r="E25" i="144"/>
  <c r="E81" i="144"/>
  <c r="E193" i="144"/>
  <c r="E137" i="144"/>
  <c r="F171" i="152"/>
  <c r="F115" i="152"/>
  <c r="F59" i="152"/>
  <c r="F3" i="152"/>
  <c r="D133" i="144"/>
  <c r="D189" i="144"/>
  <c r="D77" i="144"/>
  <c r="D85" i="144" s="1"/>
  <c r="D21" i="144"/>
  <c r="E191" i="152"/>
  <c r="E79" i="152"/>
  <c r="E135" i="152"/>
  <c r="E23" i="152"/>
  <c r="E24" i="152"/>
  <c r="E192" i="152"/>
  <c r="E136" i="152"/>
  <c r="E80" i="152"/>
  <c r="E65" i="144"/>
  <c r="E9" i="144"/>
  <c r="E177" i="144"/>
  <c r="E121" i="144"/>
  <c r="E192" i="144"/>
  <c r="E24" i="144"/>
  <c r="E136" i="144"/>
  <c r="E80" i="144"/>
  <c r="E66" i="144"/>
  <c r="E10" i="144"/>
  <c r="E178" i="144"/>
  <c r="E122" i="144"/>
  <c r="E8" i="144"/>
  <c r="E64" i="144"/>
  <c r="E120" i="144"/>
  <c r="E176" i="144"/>
  <c r="E46" i="152"/>
  <c r="E214" i="152"/>
  <c r="E158" i="152"/>
  <c r="E102" i="152"/>
  <c r="E153" i="152"/>
  <c r="E97" i="152"/>
  <c r="E209" i="152"/>
  <c r="E41" i="152"/>
  <c r="E196" i="144"/>
  <c r="E140" i="144"/>
  <c r="E28" i="144"/>
  <c r="E84" i="144"/>
  <c r="E152" i="152"/>
  <c r="E208" i="152"/>
  <c r="E96" i="152"/>
  <c r="E40" i="152"/>
  <c r="D150" i="134"/>
  <c r="D29" i="144"/>
  <c r="E71" i="134"/>
  <c r="I34" i="137"/>
  <c r="F65" i="147"/>
  <c r="H58" i="138"/>
  <c r="H197" i="147"/>
  <c r="H224" i="138"/>
  <c r="G214" i="134"/>
  <c r="J57" i="137"/>
  <c r="I93" i="137"/>
  <c r="I212" i="138"/>
  <c r="F148" i="134"/>
  <c r="G223" i="134"/>
  <c r="F222" i="134"/>
  <c r="E234" i="134"/>
  <c r="E236" i="134" s="1"/>
  <c r="E216" i="134"/>
  <c r="E220" i="134"/>
  <c r="F224" i="134"/>
  <c r="H205" i="147"/>
  <c r="J42" i="137"/>
  <c r="I131" i="138"/>
  <c r="I78" i="137"/>
  <c r="I206" i="138"/>
  <c r="J51" i="137"/>
  <c r="I87" i="137"/>
  <c r="J45" i="137"/>
  <c r="I134" i="138"/>
  <c r="I81" i="137"/>
  <c r="J28" i="137"/>
  <c r="I51" i="138"/>
  <c r="I64" i="137"/>
  <c r="H205" i="138"/>
  <c r="I50" i="137"/>
  <c r="H58" i="137"/>
  <c r="H86" i="137"/>
  <c r="H94" i="137" s="1"/>
  <c r="I67" i="137"/>
  <c r="J31" i="137"/>
  <c r="I54" i="138"/>
  <c r="H127" i="138"/>
  <c r="H74" i="137"/>
  <c r="H82" i="137" s="1"/>
  <c r="I38" i="137"/>
  <c r="F65" i="134"/>
  <c r="H120" i="147"/>
  <c r="H142" i="138"/>
  <c r="G131" i="134"/>
  <c r="G209" i="147"/>
  <c r="J39" i="137"/>
  <c r="I75" i="137"/>
  <c r="I128" i="138"/>
  <c r="G153" i="138"/>
  <c r="F128" i="134"/>
  <c r="G117" i="147"/>
  <c r="G136" i="138"/>
  <c r="G139" i="138"/>
  <c r="G148" i="138" s="1"/>
  <c r="F64" i="134"/>
  <c r="I130" i="138"/>
  <c r="J41" i="137"/>
  <c r="I77" i="137"/>
  <c r="F129" i="147"/>
  <c r="F126" i="147"/>
  <c r="F143" i="147"/>
  <c r="F145" i="147" s="1"/>
  <c r="G63" i="147"/>
  <c r="G51" i="134"/>
  <c r="H46" i="147"/>
  <c r="H63" i="138"/>
  <c r="G130" i="147"/>
  <c r="G136" i="147"/>
  <c r="F68" i="134"/>
  <c r="J29" i="137"/>
  <c r="I52" i="138"/>
  <c r="I65" i="137"/>
  <c r="E155" i="134"/>
  <c r="E157" i="134" s="1"/>
  <c r="E141" i="134"/>
  <c r="E137" i="134"/>
  <c r="H196" i="147"/>
  <c r="H223" i="138"/>
  <c r="G213" i="134"/>
  <c r="F63" i="134"/>
  <c r="G58" i="147"/>
  <c r="F144" i="134"/>
  <c r="H45" i="147"/>
  <c r="G50" i="134"/>
  <c r="H62" i="138"/>
  <c r="G203" i="147"/>
  <c r="F145" i="134"/>
  <c r="K53" i="137"/>
  <c r="J208" i="138"/>
  <c r="J89" i="137"/>
  <c r="H121" i="147"/>
  <c r="H143" i="138"/>
  <c r="G132" i="134"/>
  <c r="I193" i="147"/>
  <c r="I220" i="138"/>
  <c r="H210" i="134"/>
  <c r="F227" i="134"/>
  <c r="H192" i="147"/>
  <c r="H219" i="138"/>
  <c r="G209" i="134"/>
  <c r="F66" i="134"/>
  <c r="H194" i="147"/>
  <c r="H221" i="138"/>
  <c r="G211" i="134"/>
  <c r="J40" i="137"/>
  <c r="I129" i="138"/>
  <c r="I76" i="137"/>
  <c r="G60" i="147"/>
  <c r="F221" i="134"/>
  <c r="F67" i="134"/>
  <c r="H47" i="147"/>
  <c r="H64" i="138"/>
  <c r="G52" i="134"/>
  <c r="F76" i="134"/>
  <c r="F78" i="134" s="1"/>
  <c r="J33" i="137"/>
  <c r="I69" i="137"/>
  <c r="I56" i="138"/>
  <c r="H48" i="147"/>
  <c r="H65" i="138"/>
  <c r="G53" i="134"/>
  <c r="G57" i="147"/>
  <c r="F225" i="134"/>
  <c r="F143" i="134"/>
  <c r="G132" i="147"/>
  <c r="G146" i="134"/>
  <c r="F147" i="134"/>
  <c r="F142" i="134"/>
  <c r="F226" i="134"/>
  <c r="F202" i="147"/>
  <c r="F199" i="147"/>
  <c r="F216" i="147"/>
  <c r="F218" i="147" s="1"/>
  <c r="I211" i="138"/>
  <c r="I92" i="137"/>
  <c r="J56" i="137"/>
  <c r="H123" i="147"/>
  <c r="H145" i="138"/>
  <c r="G134" i="134"/>
  <c r="H51" i="147"/>
  <c r="H68" i="138"/>
  <c r="G56" i="134"/>
  <c r="I66" i="137"/>
  <c r="J30" i="137"/>
  <c r="I53" i="138"/>
  <c r="I122" i="147"/>
  <c r="I144" i="138"/>
  <c r="H133" i="134"/>
  <c r="H119" i="147"/>
  <c r="H141" i="138"/>
  <c r="G130" i="134"/>
  <c r="I210" i="138"/>
  <c r="J55" i="137"/>
  <c r="I91" i="137"/>
  <c r="G133" i="147"/>
  <c r="H50" i="147"/>
  <c r="H67" i="138"/>
  <c r="G55" i="134"/>
  <c r="G204" i="147"/>
  <c r="G61" i="147"/>
  <c r="I68" i="137"/>
  <c r="I55" i="138"/>
  <c r="J32" i="137"/>
  <c r="G206" i="147"/>
  <c r="G208" i="147"/>
  <c r="H191" i="147"/>
  <c r="H218" i="138"/>
  <c r="G208" i="134"/>
  <c r="G190" i="147"/>
  <c r="F207" i="134"/>
  <c r="G231" i="138"/>
  <c r="G214" i="138"/>
  <c r="G217" i="138"/>
  <c r="G226" i="138" s="1"/>
  <c r="J52" i="137"/>
  <c r="I207" i="138"/>
  <c r="I88" i="137"/>
  <c r="H124" i="147"/>
  <c r="H146" i="138"/>
  <c r="G135" i="134"/>
  <c r="I133" i="138"/>
  <c r="I80" i="137"/>
  <c r="J44" i="137"/>
  <c r="G62" i="147"/>
  <c r="F69" i="134"/>
  <c r="F58" i="134"/>
  <c r="H118" i="147"/>
  <c r="H140" i="138"/>
  <c r="G129" i="134"/>
  <c r="H49" i="147"/>
  <c r="H66" i="138"/>
  <c r="G54" i="134"/>
  <c r="I209" i="138"/>
  <c r="I90" i="137"/>
  <c r="J54" i="137"/>
  <c r="G59" i="147"/>
  <c r="I63" i="137"/>
  <c r="J27" i="137"/>
  <c r="I50" i="138"/>
  <c r="G70" i="147"/>
  <c r="G72" i="147" s="1"/>
  <c r="G53" i="147"/>
  <c r="J132" i="138"/>
  <c r="K43" i="137"/>
  <c r="J79" i="137"/>
  <c r="H195" i="147"/>
  <c r="H222" i="138"/>
  <c r="G212" i="134"/>
  <c r="G207" i="147"/>
  <c r="G131" i="147"/>
  <c r="H134" i="147"/>
  <c r="G135" i="147"/>
  <c r="I44" i="147"/>
  <c r="H56" i="147"/>
  <c r="G62" i="134"/>
  <c r="I61" i="138"/>
  <c r="H49" i="134"/>
  <c r="K26" i="137"/>
  <c r="J62" i="137"/>
  <c r="J49" i="138"/>
  <c r="E11" i="144" l="1"/>
  <c r="F99" i="144"/>
  <c r="F211" i="144"/>
  <c r="F43" i="144"/>
  <c r="F155" i="144"/>
  <c r="F214" i="144"/>
  <c r="F46" i="144"/>
  <c r="F158" i="144"/>
  <c r="F102" i="144"/>
  <c r="E229" i="134"/>
  <c r="E39" i="144"/>
  <c r="E47" i="144" s="1"/>
  <c r="E95" i="144"/>
  <c r="E207" i="144"/>
  <c r="E215" i="144" s="1"/>
  <c r="E151" i="144"/>
  <c r="E159" i="144" s="1"/>
  <c r="E123" i="144"/>
  <c r="F61" i="144"/>
  <c r="F173" i="144"/>
  <c r="F117" i="144"/>
  <c r="F5" i="144"/>
  <c r="E179" i="144"/>
  <c r="E67" i="144"/>
  <c r="F209" i="144"/>
  <c r="F41" i="144"/>
  <c r="F97" i="144"/>
  <c r="F153" i="144"/>
  <c r="E123" i="152"/>
  <c r="F81" i="152"/>
  <c r="F193" i="152"/>
  <c r="F137" i="152"/>
  <c r="F25" i="152"/>
  <c r="G210" i="144"/>
  <c r="G154" i="144"/>
  <c r="G98" i="144"/>
  <c r="G42" i="144"/>
  <c r="E11" i="152"/>
  <c r="F196" i="144"/>
  <c r="F140" i="144"/>
  <c r="F28" i="144"/>
  <c r="F84" i="144"/>
  <c r="E103" i="144"/>
  <c r="E179" i="152"/>
  <c r="G59" i="144"/>
  <c r="G171" i="144"/>
  <c r="G3" i="144"/>
  <c r="G115" i="144"/>
  <c r="E67" i="152"/>
  <c r="G171" i="152"/>
  <c r="G115" i="152"/>
  <c r="G59" i="152"/>
  <c r="G3" i="152"/>
  <c r="F8" i="144"/>
  <c r="F64" i="144"/>
  <c r="F176" i="144"/>
  <c r="F120" i="144"/>
  <c r="F211" i="147"/>
  <c r="E39" i="152"/>
  <c r="E47" i="152" s="1"/>
  <c r="E207" i="152"/>
  <c r="E215" i="152" s="1"/>
  <c r="E151" i="152"/>
  <c r="E159" i="152" s="1"/>
  <c r="E95" i="152"/>
  <c r="E103" i="152" s="1"/>
  <c r="F208" i="144"/>
  <c r="F40" i="144"/>
  <c r="F152" i="144"/>
  <c r="F96" i="144"/>
  <c r="F9" i="144"/>
  <c r="F65" i="144"/>
  <c r="F121" i="144"/>
  <c r="F177" i="144"/>
  <c r="F211" i="152"/>
  <c r="F155" i="152"/>
  <c r="F99" i="152"/>
  <c r="F43" i="152"/>
  <c r="F118" i="144"/>
  <c r="F174" i="144"/>
  <c r="F6" i="144"/>
  <c r="F62" i="144"/>
  <c r="E29" i="152"/>
  <c r="F65" i="152"/>
  <c r="F177" i="152"/>
  <c r="F121" i="152"/>
  <c r="F9" i="152"/>
  <c r="F192" i="144"/>
  <c r="F24" i="144"/>
  <c r="F136" i="144"/>
  <c r="F80" i="144"/>
  <c r="G210" i="152"/>
  <c r="G42" i="152"/>
  <c r="G98" i="152"/>
  <c r="G154" i="152"/>
  <c r="E133" i="144"/>
  <c r="E141" i="144" s="1"/>
  <c r="E77" i="144"/>
  <c r="E85" i="144" s="1"/>
  <c r="E21" i="144"/>
  <c r="E29" i="144" s="1"/>
  <c r="E189" i="144"/>
  <c r="E197" i="144" s="1"/>
  <c r="F118" i="152"/>
  <c r="F62" i="152"/>
  <c r="F6" i="152"/>
  <c r="F174" i="152"/>
  <c r="F140" i="152"/>
  <c r="F28" i="152"/>
  <c r="F196" i="152"/>
  <c r="F84" i="152"/>
  <c r="G138" i="152"/>
  <c r="G26" i="152"/>
  <c r="G82" i="152"/>
  <c r="G194" i="152"/>
  <c r="F134" i="144"/>
  <c r="F78" i="144"/>
  <c r="F22" i="144"/>
  <c r="F190" i="144"/>
  <c r="F100" i="152"/>
  <c r="F156" i="152"/>
  <c r="F212" i="152"/>
  <c r="F44" i="152"/>
  <c r="G194" i="144"/>
  <c r="G26" i="144"/>
  <c r="G82" i="144"/>
  <c r="G138" i="144"/>
  <c r="F40" i="152"/>
  <c r="F152" i="152"/>
  <c r="F208" i="152"/>
  <c r="F96" i="152"/>
  <c r="F66" i="144"/>
  <c r="F178" i="144"/>
  <c r="F10" i="144"/>
  <c r="F122" i="144"/>
  <c r="F175" i="144"/>
  <c r="F63" i="144"/>
  <c r="F119" i="144"/>
  <c r="F7" i="144"/>
  <c r="F138" i="147"/>
  <c r="E77" i="152"/>
  <c r="E85" i="152" s="1"/>
  <c r="E21" i="152"/>
  <c r="E133" i="152"/>
  <c r="E141" i="152" s="1"/>
  <c r="E189" i="152"/>
  <c r="E197" i="152" s="1"/>
  <c r="F176" i="152"/>
  <c r="F120" i="152"/>
  <c r="F64" i="152"/>
  <c r="F8" i="152"/>
  <c r="F41" i="152"/>
  <c r="F209" i="152"/>
  <c r="F153" i="152"/>
  <c r="F97" i="152"/>
  <c r="F83" i="152"/>
  <c r="F27" i="152"/>
  <c r="F195" i="152"/>
  <c r="F139" i="152"/>
  <c r="F63" i="152"/>
  <c r="F7" i="152"/>
  <c r="F119" i="152"/>
  <c r="F175" i="152"/>
  <c r="F190" i="152"/>
  <c r="F78" i="152"/>
  <c r="F22" i="152"/>
  <c r="F134" i="152"/>
  <c r="F191" i="152"/>
  <c r="F135" i="152"/>
  <c r="F79" i="152"/>
  <c r="F23" i="152"/>
  <c r="F195" i="144"/>
  <c r="F83" i="144"/>
  <c r="F139" i="144"/>
  <c r="F27" i="144"/>
  <c r="F46" i="152"/>
  <c r="F214" i="152"/>
  <c r="F158" i="152"/>
  <c r="F102" i="152"/>
  <c r="F80" i="152"/>
  <c r="F24" i="152"/>
  <c r="F136" i="152"/>
  <c r="F192" i="152"/>
  <c r="F100" i="144"/>
  <c r="F156" i="144"/>
  <c r="F44" i="144"/>
  <c r="F212" i="144"/>
  <c r="F172" i="152"/>
  <c r="F116" i="152"/>
  <c r="F60" i="152"/>
  <c r="F4" i="152"/>
  <c r="F173" i="152"/>
  <c r="F117" i="152"/>
  <c r="F5" i="152"/>
  <c r="F61" i="152"/>
  <c r="F60" i="144"/>
  <c r="F116" i="144"/>
  <c r="F172" i="144"/>
  <c r="F4" i="144"/>
  <c r="F213" i="144"/>
  <c r="F101" i="144"/>
  <c r="F45" i="144"/>
  <c r="F157" i="144"/>
  <c r="F81" i="144"/>
  <c r="F25" i="144"/>
  <c r="F137" i="144"/>
  <c r="F193" i="144"/>
  <c r="F45" i="152"/>
  <c r="F101" i="152"/>
  <c r="F213" i="152"/>
  <c r="F157" i="152"/>
  <c r="F191" i="144"/>
  <c r="F79" i="144"/>
  <c r="F135" i="144"/>
  <c r="F23" i="144"/>
  <c r="F10" i="152"/>
  <c r="F66" i="152"/>
  <c r="F178" i="152"/>
  <c r="F122" i="152"/>
  <c r="E150" i="134"/>
  <c r="F71" i="134"/>
  <c r="I58" i="138"/>
  <c r="I70" i="137"/>
  <c r="G76" i="134"/>
  <c r="G78" i="134" s="1"/>
  <c r="H70" i="147"/>
  <c r="H72" i="147" s="1"/>
  <c r="G65" i="147"/>
  <c r="H70" i="138"/>
  <c r="H207" i="147"/>
  <c r="F234" i="134"/>
  <c r="F236" i="134" s="1"/>
  <c r="F220" i="134"/>
  <c r="F216" i="134"/>
  <c r="G199" i="147"/>
  <c r="G202" i="147"/>
  <c r="G216" i="147"/>
  <c r="G218" i="147" s="1"/>
  <c r="J54" i="138"/>
  <c r="J67" i="137"/>
  <c r="K31" i="137"/>
  <c r="I75" i="138"/>
  <c r="H223" i="134"/>
  <c r="I205" i="147"/>
  <c r="J63" i="137"/>
  <c r="K27" i="137"/>
  <c r="J50" i="138"/>
  <c r="J75" i="137"/>
  <c r="J128" i="138"/>
  <c r="K39" i="137"/>
  <c r="H203" i="147"/>
  <c r="I195" i="147"/>
  <c r="H212" i="134"/>
  <c r="I222" i="138"/>
  <c r="H51" i="134"/>
  <c r="I46" i="147"/>
  <c r="I63" i="138"/>
  <c r="I196" i="147"/>
  <c r="I223" i="138"/>
  <c r="H213" i="134"/>
  <c r="G66" i="134"/>
  <c r="K89" i="137"/>
  <c r="K208" i="138"/>
  <c r="L53" i="137"/>
  <c r="H208" i="147"/>
  <c r="H53" i="147"/>
  <c r="I124" i="147"/>
  <c r="I146" i="138"/>
  <c r="H135" i="134"/>
  <c r="I194" i="147"/>
  <c r="H211" i="134"/>
  <c r="I221" i="138"/>
  <c r="H136" i="147"/>
  <c r="G143" i="134"/>
  <c r="H60" i="147"/>
  <c r="H206" i="147"/>
  <c r="G144" i="134"/>
  <c r="K45" i="137"/>
  <c r="J134" i="138"/>
  <c r="J81" i="137"/>
  <c r="G221" i="134"/>
  <c r="G64" i="134"/>
  <c r="I123" i="147"/>
  <c r="I145" i="138"/>
  <c r="H134" i="134"/>
  <c r="J193" i="147"/>
  <c r="J220" i="138"/>
  <c r="I210" i="134"/>
  <c r="G224" i="134"/>
  <c r="I192" i="147"/>
  <c r="I219" i="138"/>
  <c r="H209" i="134"/>
  <c r="H55" i="134"/>
  <c r="I67" i="138"/>
  <c r="I50" i="147"/>
  <c r="H131" i="147"/>
  <c r="H132" i="147"/>
  <c r="J206" i="138"/>
  <c r="J87" i="137"/>
  <c r="K51" i="137"/>
  <c r="H59" i="147"/>
  <c r="H62" i="147"/>
  <c r="J50" i="137"/>
  <c r="I58" i="137"/>
  <c r="I205" i="138"/>
  <c r="I86" i="137"/>
  <c r="I94" i="137" s="1"/>
  <c r="H135" i="147"/>
  <c r="G207" i="134"/>
  <c r="H217" i="138"/>
  <c r="H226" i="138" s="1"/>
  <c r="H214" i="138"/>
  <c r="H190" i="147"/>
  <c r="H231" i="138"/>
  <c r="J51" i="138"/>
  <c r="K28" i="137"/>
  <c r="J64" i="137"/>
  <c r="I68" i="138"/>
  <c r="H56" i="134"/>
  <c r="I51" i="147"/>
  <c r="G58" i="134"/>
  <c r="H61" i="147"/>
  <c r="K52" i="137"/>
  <c r="J207" i="138"/>
  <c r="J88" i="137"/>
  <c r="H146" i="134"/>
  <c r="J69" i="137"/>
  <c r="J56" i="138"/>
  <c r="K33" i="137"/>
  <c r="J130" i="138"/>
  <c r="J77" i="137"/>
  <c r="K41" i="137"/>
  <c r="I218" i="138"/>
  <c r="H208" i="134"/>
  <c r="I191" i="147"/>
  <c r="K57" i="137"/>
  <c r="J212" i="138"/>
  <c r="J93" i="137"/>
  <c r="G68" i="134"/>
  <c r="H54" i="134"/>
  <c r="I49" i="147"/>
  <c r="I66" i="138"/>
  <c r="K132" i="138"/>
  <c r="K79" i="137"/>
  <c r="L43" i="137"/>
  <c r="G129" i="147"/>
  <c r="G143" i="147"/>
  <c r="G145" i="147" s="1"/>
  <c r="G126" i="147"/>
  <c r="F141" i="134"/>
  <c r="F137" i="134"/>
  <c r="F155" i="134"/>
  <c r="F157" i="134" s="1"/>
  <c r="G147" i="134"/>
  <c r="H129" i="134"/>
  <c r="I140" i="138"/>
  <c r="I118" i="147"/>
  <c r="H50" i="134"/>
  <c r="I45" i="147"/>
  <c r="I62" i="138"/>
  <c r="G145" i="134"/>
  <c r="H58" i="147"/>
  <c r="H133" i="147"/>
  <c r="K40" i="137"/>
  <c r="J76" i="137"/>
  <c r="J129" i="138"/>
  <c r="G148" i="134"/>
  <c r="G142" i="134"/>
  <c r="G222" i="134"/>
  <c r="I47" i="147"/>
  <c r="H52" i="134"/>
  <c r="I64" i="138"/>
  <c r="I120" i="147"/>
  <c r="I142" i="138"/>
  <c r="H131" i="134"/>
  <c r="G227" i="134"/>
  <c r="G128" i="134"/>
  <c r="H136" i="138"/>
  <c r="H153" i="138"/>
  <c r="H117" i="147"/>
  <c r="H139" i="138"/>
  <c r="H148" i="138" s="1"/>
  <c r="H57" i="147"/>
  <c r="J211" i="138"/>
  <c r="J92" i="137"/>
  <c r="K56" i="137"/>
  <c r="I119" i="147"/>
  <c r="H130" i="134"/>
  <c r="I141" i="138"/>
  <c r="J68" i="137"/>
  <c r="K32" i="137"/>
  <c r="J55" i="138"/>
  <c r="J34" i="137"/>
  <c r="K29" i="137"/>
  <c r="J52" i="138"/>
  <c r="J65" i="137"/>
  <c r="J38" i="137"/>
  <c r="I74" i="137"/>
  <c r="I82" i="137" s="1"/>
  <c r="I127" i="138"/>
  <c r="I121" i="147"/>
  <c r="I143" i="138"/>
  <c r="H132" i="134"/>
  <c r="K30" i="137"/>
  <c r="J53" i="138"/>
  <c r="J66" i="137"/>
  <c r="G63" i="134"/>
  <c r="G69" i="134"/>
  <c r="J122" i="147"/>
  <c r="J144" i="138"/>
  <c r="I133" i="134"/>
  <c r="H63" i="147"/>
  <c r="J133" i="138"/>
  <c r="J80" i="137"/>
  <c r="K44" i="137"/>
  <c r="K55" i="137"/>
  <c r="J210" i="138"/>
  <c r="J91" i="137"/>
  <c r="G226" i="134"/>
  <c r="J209" i="138"/>
  <c r="K54" i="137"/>
  <c r="J90" i="137"/>
  <c r="G67" i="134"/>
  <c r="I197" i="147"/>
  <c r="H214" i="134"/>
  <c r="I224" i="138"/>
  <c r="G225" i="134"/>
  <c r="I134" i="147"/>
  <c r="H130" i="147"/>
  <c r="I48" i="147"/>
  <c r="I65" i="138"/>
  <c r="H53" i="134"/>
  <c r="G65" i="134"/>
  <c r="H204" i="147"/>
  <c r="J131" i="138"/>
  <c r="J78" i="137"/>
  <c r="K42" i="137"/>
  <c r="H209" i="147"/>
  <c r="I56" i="147"/>
  <c r="J44" i="147"/>
  <c r="H62" i="134"/>
  <c r="J61" i="138"/>
  <c r="I49" i="134"/>
  <c r="L26" i="137"/>
  <c r="K62" i="137"/>
  <c r="K49" i="138"/>
  <c r="F11" i="144" l="1"/>
  <c r="G193" i="152"/>
  <c r="G137" i="152"/>
  <c r="G81" i="152"/>
  <c r="G25" i="152"/>
  <c r="G173" i="152"/>
  <c r="G117" i="152"/>
  <c r="G5" i="152"/>
  <c r="G61" i="152"/>
  <c r="H59" i="144"/>
  <c r="H171" i="144"/>
  <c r="H3" i="144"/>
  <c r="H115" i="144"/>
  <c r="G137" i="144"/>
  <c r="G193" i="144"/>
  <c r="G81" i="144"/>
  <c r="G25" i="144"/>
  <c r="G65" i="144"/>
  <c r="G9" i="144"/>
  <c r="G121" i="144"/>
  <c r="G177" i="144"/>
  <c r="G211" i="147"/>
  <c r="F39" i="152"/>
  <c r="F47" i="152" s="1"/>
  <c r="F207" i="152"/>
  <c r="F215" i="152" s="1"/>
  <c r="F95" i="152"/>
  <c r="F103" i="152" s="1"/>
  <c r="F151" i="152"/>
  <c r="F159" i="152" s="1"/>
  <c r="G43" i="152"/>
  <c r="G155" i="152"/>
  <c r="G211" i="152"/>
  <c r="G99" i="152"/>
  <c r="G119" i="152"/>
  <c r="G63" i="152"/>
  <c r="G7" i="152"/>
  <c r="G175" i="152"/>
  <c r="F229" i="134"/>
  <c r="F39" i="144"/>
  <c r="F47" i="144" s="1"/>
  <c r="F151" i="144"/>
  <c r="F159" i="144" s="1"/>
  <c r="F95" i="144"/>
  <c r="F103" i="144" s="1"/>
  <c r="F207" i="144"/>
  <c r="F215" i="144" s="1"/>
  <c r="G212" i="152"/>
  <c r="G156" i="152"/>
  <c r="G100" i="152"/>
  <c r="G44" i="152"/>
  <c r="G40" i="152"/>
  <c r="G152" i="152"/>
  <c r="G208" i="152"/>
  <c r="G96" i="152"/>
  <c r="G41" i="152"/>
  <c r="G209" i="152"/>
  <c r="G153" i="152"/>
  <c r="G97" i="152"/>
  <c r="G83" i="144"/>
  <c r="G139" i="144"/>
  <c r="G27" i="144"/>
  <c r="G195" i="144"/>
  <c r="G62" i="144"/>
  <c r="G6" i="144"/>
  <c r="G118" i="144"/>
  <c r="G174" i="144"/>
  <c r="G99" i="144"/>
  <c r="G211" i="144"/>
  <c r="G43" i="144"/>
  <c r="G155" i="144"/>
  <c r="G66" i="152"/>
  <c r="G178" i="152"/>
  <c r="G122" i="152"/>
  <c r="G10" i="152"/>
  <c r="F133" i="144"/>
  <c r="F141" i="144" s="1"/>
  <c r="F77" i="144"/>
  <c r="F85" i="144" s="1"/>
  <c r="F21" i="144"/>
  <c r="F29" i="144" s="1"/>
  <c r="F189" i="144"/>
  <c r="F197" i="144" s="1"/>
  <c r="G195" i="152"/>
  <c r="G139" i="152"/>
  <c r="G83" i="152"/>
  <c r="G27" i="152"/>
  <c r="F179" i="152"/>
  <c r="G192" i="152"/>
  <c r="G80" i="152"/>
  <c r="G136" i="152"/>
  <c r="G24" i="152"/>
  <c r="G135" i="152"/>
  <c r="G79" i="152"/>
  <c r="G23" i="152"/>
  <c r="G191" i="152"/>
  <c r="G191" i="144"/>
  <c r="G135" i="144"/>
  <c r="G79" i="144"/>
  <c r="G23" i="144"/>
  <c r="G209" i="144"/>
  <c r="G41" i="144"/>
  <c r="G97" i="144"/>
  <c r="G153" i="144"/>
  <c r="H82" i="144"/>
  <c r="H194" i="144"/>
  <c r="H26" i="144"/>
  <c r="H138" i="144"/>
  <c r="G100" i="144"/>
  <c r="G156" i="144"/>
  <c r="G44" i="144"/>
  <c r="G212" i="144"/>
  <c r="H210" i="144"/>
  <c r="H154" i="144"/>
  <c r="H98" i="144"/>
  <c r="H42" i="144"/>
  <c r="F123" i="152"/>
  <c r="G60" i="144"/>
  <c r="G172" i="144"/>
  <c r="G4" i="144"/>
  <c r="G116" i="144"/>
  <c r="G177" i="152"/>
  <c r="G121" i="152"/>
  <c r="G65" i="152"/>
  <c r="G9" i="152"/>
  <c r="G61" i="144"/>
  <c r="G5" i="144"/>
  <c r="G173" i="144"/>
  <c r="G117" i="144"/>
  <c r="G64" i="144"/>
  <c r="G8" i="144"/>
  <c r="G120" i="144"/>
  <c r="G176" i="144"/>
  <c r="G172" i="152"/>
  <c r="G116" i="152"/>
  <c r="G60" i="152"/>
  <c r="G4" i="152"/>
  <c r="G192" i="144"/>
  <c r="G136" i="144"/>
  <c r="G24" i="144"/>
  <c r="G80" i="144"/>
  <c r="H171" i="152"/>
  <c r="H115" i="152"/>
  <c r="H3" i="152"/>
  <c r="H59" i="152"/>
  <c r="G140" i="152"/>
  <c r="G28" i="152"/>
  <c r="G196" i="152"/>
  <c r="G84" i="152"/>
  <c r="G46" i="144"/>
  <c r="G158" i="144"/>
  <c r="G102" i="144"/>
  <c r="G214" i="144"/>
  <c r="G190" i="144"/>
  <c r="G22" i="144"/>
  <c r="G134" i="144"/>
  <c r="G78" i="144"/>
  <c r="F67" i="152"/>
  <c r="G10" i="144"/>
  <c r="G66" i="144"/>
  <c r="G178" i="144"/>
  <c r="G122" i="144"/>
  <c r="F67" i="144"/>
  <c r="G62" i="152"/>
  <c r="G118" i="152"/>
  <c r="G6" i="152"/>
  <c r="G174" i="152"/>
  <c r="G40" i="144"/>
  <c r="G208" i="144"/>
  <c r="G152" i="144"/>
  <c r="G96" i="144"/>
  <c r="G175" i="144"/>
  <c r="G63" i="144"/>
  <c r="G7" i="144"/>
  <c r="G119" i="144"/>
  <c r="F179" i="144"/>
  <c r="G157" i="144"/>
  <c r="G213" i="144"/>
  <c r="G101" i="144"/>
  <c r="G45" i="144"/>
  <c r="G46" i="152"/>
  <c r="G102" i="152"/>
  <c r="G214" i="152"/>
  <c r="G158" i="152"/>
  <c r="G190" i="152"/>
  <c r="G134" i="152"/>
  <c r="G78" i="152"/>
  <c r="G22" i="152"/>
  <c r="G213" i="152"/>
  <c r="G157" i="152"/>
  <c r="G45" i="152"/>
  <c r="G101" i="152"/>
  <c r="F11" i="152"/>
  <c r="H138" i="152"/>
  <c r="H26" i="152"/>
  <c r="H82" i="152"/>
  <c r="H194" i="152"/>
  <c r="G138" i="147"/>
  <c r="F189" i="152"/>
  <c r="F197" i="152" s="1"/>
  <c r="F133" i="152"/>
  <c r="F141" i="152" s="1"/>
  <c r="F77" i="152"/>
  <c r="F85" i="152" s="1"/>
  <c r="F21" i="152"/>
  <c r="F29" i="152" s="1"/>
  <c r="H42" i="152"/>
  <c r="H98" i="152"/>
  <c r="H154" i="152"/>
  <c r="H210" i="152"/>
  <c r="G84" i="144"/>
  <c r="G28" i="144"/>
  <c r="G196" i="144"/>
  <c r="G140" i="144"/>
  <c r="G176" i="152"/>
  <c r="G120" i="152"/>
  <c r="G8" i="152"/>
  <c r="G64" i="152"/>
  <c r="F123" i="144"/>
  <c r="F150" i="134"/>
  <c r="H65" i="147"/>
  <c r="H58" i="134"/>
  <c r="K34" i="137"/>
  <c r="J70" i="137"/>
  <c r="I70" i="138"/>
  <c r="G71" i="134"/>
  <c r="H68" i="134"/>
  <c r="M53" i="137"/>
  <c r="L208" i="138"/>
  <c r="L89" i="137"/>
  <c r="K193" i="147"/>
  <c r="K220" i="138"/>
  <c r="J210" i="134"/>
  <c r="I130" i="147"/>
  <c r="I60" i="147"/>
  <c r="K133" i="138"/>
  <c r="K80" i="137"/>
  <c r="L44" i="137"/>
  <c r="I133" i="147"/>
  <c r="H142" i="134"/>
  <c r="I214" i="134"/>
  <c r="J197" i="147"/>
  <c r="J224" i="138"/>
  <c r="I203" i="147"/>
  <c r="H221" i="134"/>
  <c r="K87" i="137"/>
  <c r="K206" i="138"/>
  <c r="L51" i="137"/>
  <c r="J205" i="147"/>
  <c r="I54" i="134"/>
  <c r="J49" i="147"/>
  <c r="J66" i="138"/>
  <c r="L29" i="137"/>
  <c r="K65" i="137"/>
  <c r="K52" i="138"/>
  <c r="J119" i="147"/>
  <c r="J141" i="138"/>
  <c r="I130" i="134"/>
  <c r="L28" i="137"/>
  <c r="K51" i="138"/>
  <c r="K64" i="137"/>
  <c r="I135" i="147"/>
  <c r="H224" i="134"/>
  <c r="H227" i="134"/>
  <c r="I146" i="134"/>
  <c r="G141" i="134"/>
  <c r="G137" i="134"/>
  <c r="G155" i="134"/>
  <c r="G157" i="134" s="1"/>
  <c r="J120" i="147"/>
  <c r="J142" i="138"/>
  <c r="I131" i="134"/>
  <c r="J63" i="138"/>
  <c r="J46" i="147"/>
  <c r="I51" i="134"/>
  <c r="I206" i="147"/>
  <c r="H225" i="134"/>
  <c r="I209" i="147"/>
  <c r="I55" i="134"/>
  <c r="J67" i="138"/>
  <c r="J50" i="147"/>
  <c r="K76" i="137"/>
  <c r="L40" i="137"/>
  <c r="K129" i="138"/>
  <c r="K56" i="138"/>
  <c r="K69" i="137"/>
  <c r="L33" i="137"/>
  <c r="I207" i="147"/>
  <c r="L52" i="137"/>
  <c r="K88" i="137"/>
  <c r="K207" i="138"/>
  <c r="I57" i="147"/>
  <c r="I214" i="138"/>
  <c r="I231" i="138"/>
  <c r="H207" i="134"/>
  <c r="I190" i="147"/>
  <c r="I217" i="138"/>
  <c r="I226" i="138" s="1"/>
  <c r="H69" i="134"/>
  <c r="I56" i="134"/>
  <c r="J68" i="138"/>
  <c r="J51" i="147"/>
  <c r="H148" i="134"/>
  <c r="K131" i="138"/>
  <c r="L42" i="137"/>
  <c r="K78" i="137"/>
  <c r="H144" i="134"/>
  <c r="M43" i="137"/>
  <c r="L79" i="137"/>
  <c r="L132" i="138"/>
  <c r="I136" i="147"/>
  <c r="K75" i="137"/>
  <c r="K128" i="138"/>
  <c r="L39" i="137"/>
  <c r="I61" i="147"/>
  <c r="K66" i="137"/>
  <c r="L30" i="137"/>
  <c r="K53" i="138"/>
  <c r="H222" i="134"/>
  <c r="J86" i="137"/>
  <c r="J94" i="137" s="1"/>
  <c r="J205" i="138"/>
  <c r="K50" i="137"/>
  <c r="J58" i="137"/>
  <c r="J123" i="147"/>
  <c r="J145" i="138"/>
  <c r="I134" i="134"/>
  <c r="I223" i="134"/>
  <c r="I58" i="147"/>
  <c r="H199" i="147"/>
  <c r="H202" i="147"/>
  <c r="H216" i="147"/>
  <c r="H218" i="147" s="1"/>
  <c r="L54" i="137"/>
  <c r="K209" i="138"/>
  <c r="K90" i="137"/>
  <c r="H143" i="134"/>
  <c r="I132" i="147"/>
  <c r="G220" i="134"/>
  <c r="G234" i="134"/>
  <c r="G236" i="134" s="1"/>
  <c r="G216" i="134"/>
  <c r="J118" i="147"/>
  <c r="J140" i="138"/>
  <c r="I129" i="134"/>
  <c r="I59" i="147"/>
  <c r="K50" i="138"/>
  <c r="K63" i="137"/>
  <c r="L27" i="137"/>
  <c r="H67" i="134"/>
  <c r="L55" i="137"/>
  <c r="K91" i="137"/>
  <c r="K210" i="138"/>
  <c r="I204" i="147"/>
  <c r="I63" i="147"/>
  <c r="L41" i="137"/>
  <c r="K130" i="138"/>
  <c r="K77" i="137"/>
  <c r="L32" i="137"/>
  <c r="K55" i="138"/>
  <c r="K68" i="137"/>
  <c r="I70" i="147"/>
  <c r="I72" i="147" s="1"/>
  <c r="I131" i="147"/>
  <c r="K122" i="147"/>
  <c r="K144" i="138"/>
  <c r="J133" i="134"/>
  <c r="I62" i="147"/>
  <c r="J124" i="147"/>
  <c r="J146" i="138"/>
  <c r="I135" i="134"/>
  <c r="I53" i="134"/>
  <c r="J48" i="147"/>
  <c r="J65" i="138"/>
  <c r="I213" i="134"/>
  <c r="J223" i="138"/>
  <c r="J196" i="147"/>
  <c r="H76" i="134"/>
  <c r="H78" i="134" s="1"/>
  <c r="H66" i="134"/>
  <c r="I212" i="134"/>
  <c r="J195" i="147"/>
  <c r="J222" i="138"/>
  <c r="H63" i="134"/>
  <c r="H145" i="134"/>
  <c r="H226" i="134"/>
  <c r="H128" i="134"/>
  <c r="I136" i="138"/>
  <c r="I153" i="138"/>
  <c r="I117" i="147"/>
  <c r="I139" i="138"/>
  <c r="I148" i="138" s="1"/>
  <c r="K93" i="137"/>
  <c r="L57" i="137"/>
  <c r="K212" i="138"/>
  <c r="I208" i="147"/>
  <c r="K67" i="137"/>
  <c r="L31" i="137"/>
  <c r="K54" i="138"/>
  <c r="J74" i="137"/>
  <c r="J82" i="137" s="1"/>
  <c r="K38" i="137"/>
  <c r="J127" i="138"/>
  <c r="H126" i="147"/>
  <c r="H129" i="147"/>
  <c r="H143" i="147"/>
  <c r="H145" i="147" s="1"/>
  <c r="H147" i="134"/>
  <c r="J47" i="147"/>
  <c r="J64" i="138"/>
  <c r="I52" i="134"/>
  <c r="J218" i="138"/>
  <c r="I208" i="134"/>
  <c r="J191" i="147"/>
  <c r="H64" i="134"/>
  <c r="J134" i="147"/>
  <c r="J58" i="138"/>
  <c r="I53" i="147"/>
  <c r="J121" i="147"/>
  <c r="J143" i="138"/>
  <c r="I132" i="134"/>
  <c r="J75" i="138"/>
  <c r="I211" i="134"/>
  <c r="J194" i="147"/>
  <c r="J221" i="138"/>
  <c r="L56" i="137"/>
  <c r="K92" i="137"/>
  <c r="K211" i="138"/>
  <c r="H65" i="134"/>
  <c r="I209" i="134"/>
  <c r="J192" i="147"/>
  <c r="J219" i="138"/>
  <c r="L45" i="137"/>
  <c r="K134" i="138"/>
  <c r="K81" i="137"/>
  <c r="I50" i="134"/>
  <c r="J62" i="138"/>
  <c r="J45" i="147"/>
  <c r="K44" i="147"/>
  <c r="J56" i="147"/>
  <c r="I62" i="134"/>
  <c r="M26" i="137"/>
  <c r="L62" i="137"/>
  <c r="L49" i="138"/>
  <c r="K61" i="138"/>
  <c r="J49" i="134"/>
  <c r="G11" i="144" l="1"/>
  <c r="H61" i="144"/>
  <c r="H173" i="144"/>
  <c r="H5" i="144"/>
  <c r="H117" i="144"/>
  <c r="H192" i="144"/>
  <c r="H136" i="144"/>
  <c r="H24" i="144"/>
  <c r="H80" i="144"/>
  <c r="H208" i="152"/>
  <c r="H152" i="152"/>
  <c r="H96" i="152"/>
  <c r="H40" i="152"/>
  <c r="G197" i="144"/>
  <c r="G141" i="144"/>
  <c r="H83" i="152"/>
  <c r="H27" i="152"/>
  <c r="H195" i="152"/>
  <c r="H139" i="152"/>
  <c r="G11" i="152"/>
  <c r="H84" i="144"/>
  <c r="H28" i="144"/>
  <c r="H196" i="144"/>
  <c r="H140" i="144"/>
  <c r="G67" i="152"/>
  <c r="H134" i="144"/>
  <c r="H190" i="144"/>
  <c r="H78" i="144"/>
  <c r="H22" i="144"/>
  <c r="G123" i="152"/>
  <c r="H195" i="144"/>
  <c r="H139" i="144"/>
  <c r="H83" i="144"/>
  <c r="H27" i="144"/>
  <c r="H137" i="144"/>
  <c r="H81" i="144"/>
  <c r="H193" i="144"/>
  <c r="H25" i="144"/>
  <c r="H191" i="152"/>
  <c r="H135" i="152"/>
  <c r="H79" i="152"/>
  <c r="H23" i="152"/>
  <c r="H137" i="152"/>
  <c r="H81" i="152"/>
  <c r="H193" i="152"/>
  <c r="H25" i="152"/>
  <c r="H60" i="144"/>
  <c r="H172" i="144"/>
  <c r="H4" i="144"/>
  <c r="H116" i="144"/>
  <c r="G215" i="152"/>
  <c r="H138" i="147"/>
  <c r="G189" i="152"/>
  <c r="G197" i="152" s="1"/>
  <c r="G133" i="152"/>
  <c r="G141" i="152" s="1"/>
  <c r="G77" i="152"/>
  <c r="G85" i="152" s="1"/>
  <c r="G21" i="152"/>
  <c r="G29" i="152" s="1"/>
  <c r="H41" i="144"/>
  <c r="H153" i="144"/>
  <c r="H97" i="144"/>
  <c r="H209" i="144"/>
  <c r="H10" i="144"/>
  <c r="H66" i="144"/>
  <c r="H178" i="144"/>
  <c r="H122" i="144"/>
  <c r="H46" i="152"/>
  <c r="H158" i="152"/>
  <c r="H102" i="152"/>
  <c r="H214" i="152"/>
  <c r="G159" i="152"/>
  <c r="H156" i="144"/>
  <c r="H100" i="144"/>
  <c r="H44" i="144"/>
  <c r="H212" i="144"/>
  <c r="G123" i="144"/>
  <c r="H213" i="152"/>
  <c r="H157" i="152"/>
  <c r="H101" i="152"/>
  <c r="H45" i="152"/>
  <c r="H65" i="144"/>
  <c r="H9" i="144"/>
  <c r="H121" i="144"/>
  <c r="H177" i="144"/>
  <c r="G133" i="144"/>
  <c r="G189" i="144"/>
  <c r="G77" i="144"/>
  <c r="G85" i="144" s="1"/>
  <c r="G21" i="144"/>
  <c r="G29" i="144" s="1"/>
  <c r="H208" i="144"/>
  <c r="H40" i="144"/>
  <c r="H152" i="144"/>
  <c r="H96" i="144"/>
  <c r="H9" i="152"/>
  <c r="H177" i="152"/>
  <c r="H65" i="152"/>
  <c r="H121" i="152"/>
  <c r="H62" i="144"/>
  <c r="H174" i="144"/>
  <c r="H118" i="144"/>
  <c r="H6" i="144"/>
  <c r="H99" i="152"/>
  <c r="H155" i="152"/>
  <c r="H211" i="152"/>
  <c r="H43" i="152"/>
  <c r="H190" i="152"/>
  <c r="H134" i="152"/>
  <c r="H78" i="152"/>
  <c r="H22" i="152"/>
  <c r="H135" i="144"/>
  <c r="H79" i="144"/>
  <c r="H191" i="144"/>
  <c r="H23" i="144"/>
  <c r="G179" i="144"/>
  <c r="I171" i="152"/>
  <c r="I115" i="152"/>
  <c r="I3" i="152"/>
  <c r="I59" i="152"/>
  <c r="G215" i="144"/>
  <c r="H196" i="152"/>
  <c r="H140" i="152"/>
  <c r="H84" i="152"/>
  <c r="H28" i="152"/>
  <c r="H211" i="147"/>
  <c r="G207" i="152"/>
  <c r="G151" i="152"/>
  <c r="G95" i="152"/>
  <c r="G103" i="152" s="1"/>
  <c r="G39" i="152"/>
  <c r="G47" i="152" s="1"/>
  <c r="H156" i="152"/>
  <c r="H100" i="152"/>
  <c r="H212" i="152"/>
  <c r="H44" i="152"/>
  <c r="H173" i="152"/>
  <c r="H117" i="152"/>
  <c r="H61" i="152"/>
  <c r="H5" i="152"/>
  <c r="I98" i="144"/>
  <c r="I42" i="144"/>
  <c r="I154" i="144"/>
  <c r="I210" i="144"/>
  <c r="H214" i="144"/>
  <c r="H46" i="144"/>
  <c r="H158" i="144"/>
  <c r="H102" i="144"/>
  <c r="H62" i="152"/>
  <c r="H6" i="152"/>
  <c r="H118" i="152"/>
  <c r="H174" i="152"/>
  <c r="H101" i="144"/>
  <c r="H157" i="144"/>
  <c r="H213" i="144"/>
  <c r="H45" i="144"/>
  <c r="G229" i="134"/>
  <c r="G151" i="144"/>
  <c r="G159" i="144" s="1"/>
  <c r="G39" i="144"/>
  <c r="G47" i="144" s="1"/>
  <c r="G207" i="144"/>
  <c r="G95" i="144"/>
  <c r="G103" i="144" s="1"/>
  <c r="H192" i="152"/>
  <c r="H24" i="152"/>
  <c r="H80" i="152"/>
  <c r="H136" i="152"/>
  <c r="G67" i="144"/>
  <c r="H176" i="152"/>
  <c r="H120" i="152"/>
  <c r="H8" i="152"/>
  <c r="H64" i="152"/>
  <c r="H178" i="152"/>
  <c r="H122" i="152"/>
  <c r="H66" i="152"/>
  <c r="H10" i="152"/>
  <c r="H172" i="152"/>
  <c r="H116" i="152"/>
  <c r="H60" i="152"/>
  <c r="H4" i="152"/>
  <c r="I42" i="152"/>
  <c r="I98" i="152"/>
  <c r="I210" i="152"/>
  <c r="I154" i="152"/>
  <c r="I138" i="152"/>
  <c r="I26" i="152"/>
  <c r="I82" i="152"/>
  <c r="I194" i="152"/>
  <c r="H176" i="144"/>
  <c r="H64" i="144"/>
  <c r="H120" i="144"/>
  <c r="H8" i="144"/>
  <c r="I194" i="144"/>
  <c r="I82" i="144"/>
  <c r="I26" i="144"/>
  <c r="I138" i="144"/>
  <c r="H211" i="144"/>
  <c r="H99" i="144"/>
  <c r="H155" i="144"/>
  <c r="H43" i="144"/>
  <c r="G179" i="152"/>
  <c r="H119" i="152"/>
  <c r="H63" i="152"/>
  <c r="H7" i="152"/>
  <c r="H175" i="152"/>
  <c r="H175" i="144"/>
  <c r="H7" i="144"/>
  <c r="H63" i="144"/>
  <c r="H119" i="144"/>
  <c r="I59" i="144"/>
  <c r="I3" i="144"/>
  <c r="I171" i="144"/>
  <c r="I115" i="144"/>
  <c r="H41" i="152"/>
  <c r="H97" i="152"/>
  <c r="H209" i="152"/>
  <c r="H153" i="152"/>
  <c r="G150" i="134"/>
  <c r="I65" i="147"/>
  <c r="L34" i="137"/>
  <c r="J70" i="138"/>
  <c r="K75" i="138"/>
  <c r="I58" i="134"/>
  <c r="H71" i="134"/>
  <c r="K70" i="137"/>
  <c r="J214" i="134"/>
  <c r="K224" i="138"/>
  <c r="K197" i="147"/>
  <c r="M39" i="137"/>
  <c r="L75" i="137"/>
  <c r="L128" i="138"/>
  <c r="I221" i="134"/>
  <c r="L212" i="138"/>
  <c r="L93" i="137"/>
  <c r="M57" i="137"/>
  <c r="J62" i="147"/>
  <c r="M29" i="137"/>
  <c r="L52" i="138"/>
  <c r="L65" i="137"/>
  <c r="I68" i="134"/>
  <c r="J59" i="147"/>
  <c r="H216" i="134"/>
  <c r="H220" i="134"/>
  <c r="H234" i="134"/>
  <c r="H236" i="134" s="1"/>
  <c r="J206" i="147"/>
  <c r="I224" i="134"/>
  <c r="M79" i="137"/>
  <c r="M132" i="138"/>
  <c r="N43" i="137"/>
  <c r="M51" i="137"/>
  <c r="L206" i="138"/>
  <c r="L87" i="137"/>
  <c r="I148" i="134"/>
  <c r="J208" i="134"/>
  <c r="K191" i="147"/>
  <c r="K218" i="138"/>
  <c r="I76" i="134"/>
  <c r="I78" i="134" s="1"/>
  <c r="I63" i="134"/>
  <c r="I145" i="134"/>
  <c r="K195" i="147"/>
  <c r="K222" i="138"/>
  <c r="J212" i="134"/>
  <c r="J231" i="138"/>
  <c r="J214" i="138"/>
  <c r="J217" i="138"/>
  <c r="J226" i="138" s="1"/>
  <c r="I207" i="134"/>
  <c r="J190" i="147"/>
  <c r="K219" i="138"/>
  <c r="K192" i="147"/>
  <c r="J209" i="134"/>
  <c r="J223" i="134"/>
  <c r="J136" i="147"/>
  <c r="I69" i="134"/>
  <c r="J70" i="147"/>
  <c r="J72" i="147" s="1"/>
  <c r="I67" i="134"/>
  <c r="J135" i="147"/>
  <c r="K124" i="147"/>
  <c r="K146" i="138"/>
  <c r="J135" i="134"/>
  <c r="K63" i="138"/>
  <c r="J51" i="134"/>
  <c r="K46" i="147"/>
  <c r="L134" i="138"/>
  <c r="L81" i="137"/>
  <c r="M45" i="137"/>
  <c r="K127" i="138"/>
  <c r="K74" i="137"/>
  <c r="K82" i="137" s="1"/>
  <c r="L38" i="137"/>
  <c r="I64" i="134"/>
  <c r="L51" i="138"/>
  <c r="M28" i="137"/>
  <c r="L64" i="137"/>
  <c r="J203" i="147"/>
  <c r="K47" i="147"/>
  <c r="J52" i="134"/>
  <c r="K64" i="138"/>
  <c r="L92" i="137"/>
  <c r="M56" i="137"/>
  <c r="L211" i="138"/>
  <c r="K140" i="138"/>
  <c r="J129" i="134"/>
  <c r="K118" i="147"/>
  <c r="I129" i="147"/>
  <c r="I126" i="147"/>
  <c r="I143" i="147"/>
  <c r="I145" i="147" s="1"/>
  <c r="I216" i="147"/>
  <c r="I218" i="147" s="1"/>
  <c r="I202" i="147"/>
  <c r="I199" i="147"/>
  <c r="J60" i="147"/>
  <c r="J146" i="134"/>
  <c r="M42" i="137"/>
  <c r="L131" i="138"/>
  <c r="L78" i="137"/>
  <c r="J58" i="147"/>
  <c r="K210" i="134"/>
  <c r="L193" i="147"/>
  <c r="L220" i="138"/>
  <c r="L129" i="138"/>
  <c r="L76" i="137"/>
  <c r="M40" i="137"/>
  <c r="L68" i="137"/>
  <c r="M32" i="137"/>
  <c r="L55" i="138"/>
  <c r="J57" i="147"/>
  <c r="I66" i="134"/>
  <c r="L50" i="137"/>
  <c r="K58" i="137"/>
  <c r="K86" i="137"/>
  <c r="K94" i="137" s="1"/>
  <c r="K205" i="138"/>
  <c r="J153" i="138"/>
  <c r="J117" i="147"/>
  <c r="J139" i="138"/>
  <c r="J148" i="138" s="1"/>
  <c r="I128" i="134"/>
  <c r="J136" i="138"/>
  <c r="K205" i="147"/>
  <c r="J204" i="147"/>
  <c r="K49" i="147"/>
  <c r="K66" i="138"/>
  <c r="J54" i="134"/>
  <c r="L50" i="138"/>
  <c r="L63" i="137"/>
  <c r="M27" i="137"/>
  <c r="K194" i="147"/>
  <c r="J211" i="134"/>
  <c r="K221" i="138"/>
  <c r="K65" i="138"/>
  <c r="K48" i="147"/>
  <c r="J53" i="134"/>
  <c r="K121" i="147"/>
  <c r="K143" i="138"/>
  <c r="J132" i="134"/>
  <c r="M33" i="137"/>
  <c r="L69" i="137"/>
  <c r="L56" i="138"/>
  <c r="N53" i="137"/>
  <c r="M208" i="138"/>
  <c r="M89" i="137"/>
  <c r="J132" i="147"/>
  <c r="K196" i="147"/>
  <c r="K223" i="138"/>
  <c r="J213" i="134"/>
  <c r="J131" i="147"/>
  <c r="K50" i="147"/>
  <c r="K67" i="138"/>
  <c r="J55" i="134"/>
  <c r="J208" i="147"/>
  <c r="J53" i="147"/>
  <c r="I65" i="134"/>
  <c r="L133" i="138"/>
  <c r="M44" i="137"/>
  <c r="L80" i="137"/>
  <c r="L91" i="137"/>
  <c r="L210" i="138"/>
  <c r="M55" i="137"/>
  <c r="L88" i="137"/>
  <c r="M52" i="137"/>
  <c r="L207" i="138"/>
  <c r="K58" i="138"/>
  <c r="K134" i="147"/>
  <c r="M54" i="137"/>
  <c r="L209" i="138"/>
  <c r="L90" i="137"/>
  <c r="L66" i="137"/>
  <c r="M30" i="137"/>
  <c r="L53" i="138"/>
  <c r="I144" i="134"/>
  <c r="J63" i="147"/>
  <c r="K119" i="147"/>
  <c r="J130" i="134"/>
  <c r="K141" i="138"/>
  <c r="I227" i="134"/>
  <c r="I142" i="134"/>
  <c r="I226" i="134"/>
  <c r="K120" i="147"/>
  <c r="K142" i="138"/>
  <c r="J131" i="134"/>
  <c r="J61" i="147"/>
  <c r="L77" i="137"/>
  <c r="M41" i="137"/>
  <c r="L130" i="138"/>
  <c r="J130" i="147"/>
  <c r="I147" i="134"/>
  <c r="K133" i="134"/>
  <c r="L144" i="138"/>
  <c r="L122" i="147"/>
  <c r="K123" i="147"/>
  <c r="K145" i="138"/>
  <c r="J134" i="134"/>
  <c r="H137" i="134"/>
  <c r="H141" i="134"/>
  <c r="H155" i="134"/>
  <c r="H157" i="134" s="1"/>
  <c r="J133" i="147"/>
  <c r="I222" i="134"/>
  <c r="M31" i="137"/>
  <c r="L54" i="138"/>
  <c r="L67" i="137"/>
  <c r="J207" i="147"/>
  <c r="I225" i="134"/>
  <c r="K45" i="147"/>
  <c r="K62" i="138"/>
  <c r="J50" i="134"/>
  <c r="K51" i="147"/>
  <c r="K68" i="138"/>
  <c r="J56" i="134"/>
  <c r="I143" i="134"/>
  <c r="J209" i="147"/>
  <c r="L44" i="147"/>
  <c r="K56" i="147"/>
  <c r="J62" i="134"/>
  <c r="L61" i="138"/>
  <c r="K49" i="134"/>
  <c r="M62" i="137"/>
  <c r="N26" i="137"/>
  <c r="M49" i="138"/>
  <c r="H11" i="144" l="1"/>
  <c r="H179" i="144"/>
  <c r="I140" i="152"/>
  <c r="I196" i="152"/>
  <c r="I28" i="152"/>
  <c r="I84" i="152"/>
  <c r="J42" i="144"/>
  <c r="J154" i="144"/>
  <c r="J98" i="144"/>
  <c r="J210" i="144"/>
  <c r="I119" i="152"/>
  <c r="I175" i="152"/>
  <c r="I7" i="152"/>
  <c r="I63" i="152"/>
  <c r="I192" i="144"/>
  <c r="I24" i="144"/>
  <c r="I136" i="144"/>
  <c r="I80" i="144"/>
  <c r="H11" i="152"/>
  <c r="I60" i="152"/>
  <c r="I4" i="152"/>
  <c r="I116" i="152"/>
  <c r="I172" i="152"/>
  <c r="H123" i="152"/>
  <c r="I191" i="152"/>
  <c r="I135" i="152"/>
  <c r="I79" i="152"/>
  <c r="I23" i="152"/>
  <c r="I156" i="152"/>
  <c r="I212" i="152"/>
  <c r="I44" i="152"/>
  <c r="I100" i="152"/>
  <c r="I172" i="144"/>
  <c r="I4" i="144"/>
  <c r="I116" i="144"/>
  <c r="I60" i="144"/>
  <c r="I137" i="152"/>
  <c r="I25" i="152"/>
  <c r="I81" i="152"/>
  <c r="I193" i="152"/>
  <c r="I10" i="144"/>
  <c r="I66" i="144"/>
  <c r="I178" i="144"/>
  <c r="I122" i="144"/>
  <c r="J59" i="144"/>
  <c r="J171" i="144"/>
  <c r="J3" i="144"/>
  <c r="J115" i="144"/>
  <c r="J82" i="144"/>
  <c r="J26" i="144"/>
  <c r="J194" i="144"/>
  <c r="J138" i="144"/>
  <c r="I62" i="144"/>
  <c r="I118" i="144"/>
  <c r="I174" i="144"/>
  <c r="I6" i="144"/>
  <c r="I175" i="144"/>
  <c r="I7" i="144"/>
  <c r="I119" i="144"/>
  <c r="I63" i="144"/>
  <c r="H67" i="144"/>
  <c r="I195" i="144"/>
  <c r="I139" i="144"/>
  <c r="I83" i="144"/>
  <c r="I27" i="144"/>
  <c r="I78" i="152"/>
  <c r="I22" i="152"/>
  <c r="I190" i="152"/>
  <c r="I134" i="152"/>
  <c r="H229" i="134"/>
  <c r="H39" i="144"/>
  <c r="H95" i="144"/>
  <c r="H103" i="144" s="1"/>
  <c r="H151" i="144"/>
  <c r="H159" i="144" s="1"/>
  <c r="H207" i="144"/>
  <c r="H215" i="144" s="1"/>
  <c r="I137" i="144"/>
  <c r="I81" i="144"/>
  <c r="I25" i="144"/>
  <c r="I193" i="144"/>
  <c r="I209" i="152"/>
  <c r="I153" i="152"/>
  <c r="I97" i="152"/>
  <c r="I41" i="152"/>
  <c r="I134" i="144"/>
  <c r="I190" i="144"/>
  <c r="I22" i="144"/>
  <c r="I78" i="144"/>
  <c r="I208" i="152"/>
  <c r="I152" i="152"/>
  <c r="I96" i="152"/>
  <c r="I40" i="152"/>
  <c r="H133" i="144"/>
  <c r="H141" i="144" s="1"/>
  <c r="H189" i="144"/>
  <c r="H197" i="144" s="1"/>
  <c r="H77" i="144"/>
  <c r="H85" i="144" s="1"/>
  <c r="H21" i="144"/>
  <c r="H29" i="144" s="1"/>
  <c r="J171" i="152"/>
  <c r="J59" i="152"/>
  <c r="J115" i="152"/>
  <c r="J3" i="152"/>
  <c r="H103" i="152"/>
  <c r="I61" i="144"/>
  <c r="I173" i="144"/>
  <c r="I5" i="144"/>
  <c r="I117" i="144"/>
  <c r="I214" i="152"/>
  <c r="I158" i="152"/>
  <c r="I102" i="152"/>
  <c r="I46" i="152"/>
  <c r="I79" i="144"/>
  <c r="I23" i="144"/>
  <c r="I135" i="144"/>
  <c r="I191" i="144"/>
  <c r="I211" i="147"/>
  <c r="H207" i="152"/>
  <c r="H215" i="152" s="1"/>
  <c r="H151" i="152"/>
  <c r="H159" i="152" s="1"/>
  <c r="H95" i="152"/>
  <c r="H39" i="152"/>
  <c r="H47" i="152" s="1"/>
  <c r="I43" i="152"/>
  <c r="I99" i="152"/>
  <c r="I155" i="152"/>
  <c r="I211" i="152"/>
  <c r="H179" i="152"/>
  <c r="I212" i="144"/>
  <c r="I100" i="144"/>
  <c r="I156" i="144"/>
  <c r="I44" i="144"/>
  <c r="I192" i="152"/>
  <c r="I136" i="152"/>
  <c r="I80" i="152"/>
  <c r="I24" i="152"/>
  <c r="I65" i="144"/>
  <c r="I9" i="144"/>
  <c r="I121" i="144"/>
  <c r="I177" i="144"/>
  <c r="J210" i="152"/>
  <c r="J154" i="152"/>
  <c r="J98" i="152"/>
  <c r="J42" i="152"/>
  <c r="I83" i="152"/>
  <c r="I139" i="152"/>
  <c r="I27" i="152"/>
  <c r="I195" i="152"/>
  <c r="I214" i="144"/>
  <c r="I46" i="144"/>
  <c r="I158" i="144"/>
  <c r="I102" i="144"/>
  <c r="I140" i="144"/>
  <c r="I28" i="144"/>
  <c r="I196" i="144"/>
  <c r="I84" i="144"/>
  <c r="I152" i="144"/>
  <c r="I40" i="144"/>
  <c r="I208" i="144"/>
  <c r="I96" i="144"/>
  <c r="I178" i="152"/>
  <c r="I66" i="152"/>
  <c r="I122" i="152"/>
  <c r="I10" i="152"/>
  <c r="I213" i="152"/>
  <c r="I157" i="152"/>
  <c r="I45" i="152"/>
  <c r="I101" i="152"/>
  <c r="H123" i="144"/>
  <c r="H67" i="152"/>
  <c r="I211" i="144"/>
  <c r="I43" i="144"/>
  <c r="I99" i="144"/>
  <c r="I155" i="144"/>
  <c r="I138" i="147"/>
  <c r="H133" i="152"/>
  <c r="H141" i="152" s="1"/>
  <c r="H77" i="152"/>
  <c r="H85" i="152" s="1"/>
  <c r="H189" i="152"/>
  <c r="H197" i="152" s="1"/>
  <c r="H21" i="152"/>
  <c r="H29" i="152" s="1"/>
  <c r="J194" i="152"/>
  <c r="J82" i="152"/>
  <c r="J138" i="152"/>
  <c r="J26" i="152"/>
  <c r="I174" i="152"/>
  <c r="I118" i="152"/>
  <c r="I62" i="152"/>
  <c r="I6" i="152"/>
  <c r="I176" i="152"/>
  <c r="I120" i="152"/>
  <c r="I8" i="152"/>
  <c r="I64" i="152"/>
  <c r="I209" i="144"/>
  <c r="I41" i="144"/>
  <c r="I153" i="144"/>
  <c r="I97" i="144"/>
  <c r="I213" i="144"/>
  <c r="I101" i="144"/>
  <c r="I157" i="144"/>
  <c r="I45" i="144"/>
  <c r="I173" i="152"/>
  <c r="I117" i="152"/>
  <c r="I61" i="152"/>
  <c r="I5" i="152"/>
  <c r="I176" i="144"/>
  <c r="I120" i="144"/>
  <c r="I64" i="144"/>
  <c r="I8" i="144"/>
  <c r="I177" i="152"/>
  <c r="I9" i="152"/>
  <c r="I65" i="152"/>
  <c r="I121" i="152"/>
  <c r="H150" i="134"/>
  <c r="L58" i="138"/>
  <c r="J65" i="147"/>
  <c r="I71" i="134"/>
  <c r="J58" i="134"/>
  <c r="L70" i="137"/>
  <c r="K146" i="134"/>
  <c r="J222" i="134"/>
  <c r="K70" i="138"/>
  <c r="L195" i="147"/>
  <c r="K212" i="134"/>
  <c r="L222" i="138"/>
  <c r="J64" i="134"/>
  <c r="J76" i="134"/>
  <c r="J78" i="134" s="1"/>
  <c r="J65" i="134"/>
  <c r="N55" i="137"/>
  <c r="M91" i="137"/>
  <c r="M210" i="138"/>
  <c r="K208" i="147"/>
  <c r="K204" i="147"/>
  <c r="K50" i="134"/>
  <c r="L62" i="138"/>
  <c r="L45" i="147"/>
  <c r="L75" i="138"/>
  <c r="J216" i="147"/>
  <c r="J218" i="147" s="1"/>
  <c r="J202" i="147"/>
  <c r="J199" i="147"/>
  <c r="K61" i="147"/>
  <c r="L49" i="147"/>
  <c r="K54" i="134"/>
  <c r="L66" i="138"/>
  <c r="M193" i="147"/>
  <c r="M220" i="138"/>
  <c r="L210" i="134"/>
  <c r="L191" i="147"/>
  <c r="K208" i="134"/>
  <c r="L218" i="138"/>
  <c r="M54" i="138"/>
  <c r="N31" i="137"/>
  <c r="M67" i="137"/>
  <c r="N208" i="138"/>
  <c r="N89" i="137"/>
  <c r="O53" i="137"/>
  <c r="M76" i="137"/>
  <c r="M129" i="138"/>
  <c r="N40" i="137"/>
  <c r="L119" i="147"/>
  <c r="L141" i="138"/>
  <c r="K130" i="134"/>
  <c r="N57" i="137"/>
  <c r="M93" i="137"/>
  <c r="M212" i="138"/>
  <c r="N28" i="137"/>
  <c r="M64" i="137"/>
  <c r="M51" i="138"/>
  <c r="L205" i="147"/>
  <c r="L224" i="138"/>
  <c r="K214" i="134"/>
  <c r="L197" i="147"/>
  <c r="J144" i="134"/>
  <c r="K223" i="134"/>
  <c r="L194" i="147"/>
  <c r="K211" i="134"/>
  <c r="L221" i="138"/>
  <c r="K133" i="147"/>
  <c r="J143" i="147"/>
  <c r="J145" i="147" s="1"/>
  <c r="J129" i="147"/>
  <c r="J126" i="147"/>
  <c r="M34" i="137"/>
  <c r="K132" i="147"/>
  <c r="M209" i="138"/>
  <c r="N54" i="137"/>
  <c r="M90" i="137"/>
  <c r="J66" i="134"/>
  <c r="L74" i="137"/>
  <c r="L82" i="137" s="1"/>
  <c r="L127" i="138"/>
  <c r="M38" i="137"/>
  <c r="K134" i="134"/>
  <c r="L123" i="147"/>
  <c r="L145" i="138"/>
  <c r="M130" i="138"/>
  <c r="M77" i="137"/>
  <c r="N41" i="137"/>
  <c r="M56" i="138"/>
  <c r="N33" i="137"/>
  <c r="M69" i="137"/>
  <c r="L46" i="147"/>
  <c r="K51" i="134"/>
  <c r="L63" i="138"/>
  <c r="L143" i="138"/>
  <c r="K132" i="134"/>
  <c r="L121" i="147"/>
  <c r="M131" i="138"/>
  <c r="M78" i="137"/>
  <c r="M81" i="137"/>
  <c r="M134" i="138"/>
  <c r="N45" i="137"/>
  <c r="L219" i="138"/>
  <c r="L192" i="147"/>
  <c r="K209" i="134"/>
  <c r="J224" i="134"/>
  <c r="M50" i="137"/>
  <c r="L58" i="137"/>
  <c r="L205" i="138"/>
  <c r="L86" i="137"/>
  <c r="L94" i="137" s="1"/>
  <c r="L223" i="138"/>
  <c r="K213" i="134"/>
  <c r="L196" i="147"/>
  <c r="K203" i="147"/>
  <c r="H47" i="144"/>
  <c r="K209" i="147"/>
  <c r="J148" i="134"/>
  <c r="I234" i="134"/>
  <c r="I236" i="134" s="1"/>
  <c r="I220" i="134"/>
  <c r="I216" i="134"/>
  <c r="M87" i="137"/>
  <c r="M206" i="138"/>
  <c r="N51" i="137"/>
  <c r="O43" i="137"/>
  <c r="N132" i="138"/>
  <c r="N79" i="137"/>
  <c r="J225" i="134"/>
  <c r="J68" i="134"/>
  <c r="J207" i="134"/>
  <c r="K214" i="138"/>
  <c r="K190" i="147"/>
  <c r="K217" i="138"/>
  <c r="K226" i="138" s="1"/>
  <c r="K231" i="138"/>
  <c r="J147" i="134"/>
  <c r="K135" i="147"/>
  <c r="M88" i="137"/>
  <c r="M207" i="138"/>
  <c r="N52" i="137"/>
  <c r="K206" i="147"/>
  <c r="M211" i="138"/>
  <c r="N56" i="137"/>
  <c r="M92" i="137"/>
  <c r="J221" i="134"/>
  <c r="J143" i="134"/>
  <c r="J67" i="134"/>
  <c r="K59" i="147"/>
  <c r="K131" i="147"/>
  <c r="L50" i="147"/>
  <c r="K55" i="134"/>
  <c r="L67" i="138"/>
  <c r="M133" i="138"/>
  <c r="M80" i="137"/>
  <c r="N44" i="137"/>
  <c r="N32" i="137"/>
  <c r="M68" i="137"/>
  <c r="M55" i="138"/>
  <c r="K136" i="147"/>
  <c r="L64" i="138"/>
  <c r="L47" i="147"/>
  <c r="K52" i="134"/>
  <c r="M52" i="138"/>
  <c r="M65" i="137"/>
  <c r="N29" i="137"/>
  <c r="L142" i="138"/>
  <c r="L120" i="147"/>
  <c r="K131" i="134"/>
  <c r="L51" i="147"/>
  <c r="L68" i="138"/>
  <c r="K56" i="134"/>
  <c r="L48" i="147"/>
  <c r="L65" i="138"/>
  <c r="K53" i="134"/>
  <c r="M122" i="147"/>
  <c r="M144" i="138"/>
  <c r="L133" i="134"/>
  <c r="N30" i="137"/>
  <c r="M66" i="137"/>
  <c r="M53" i="138"/>
  <c r="J145" i="134"/>
  <c r="I155" i="134"/>
  <c r="I157" i="134" s="1"/>
  <c r="I137" i="134"/>
  <c r="I141" i="134"/>
  <c r="K207" i="147"/>
  <c r="K53" i="147"/>
  <c r="J69" i="134"/>
  <c r="K60" i="147"/>
  <c r="K130" i="147"/>
  <c r="L118" i="147"/>
  <c r="L140" i="138"/>
  <c r="K129" i="134"/>
  <c r="K70" i="147"/>
  <c r="K72" i="147" s="1"/>
  <c r="J142" i="134"/>
  <c r="K153" i="138"/>
  <c r="K117" i="147"/>
  <c r="K139" i="138"/>
  <c r="K148" i="138" s="1"/>
  <c r="J128" i="134"/>
  <c r="K136" i="138"/>
  <c r="K63" i="147"/>
  <c r="K62" i="147"/>
  <c r="N39" i="137"/>
  <c r="M75" i="137"/>
  <c r="M128" i="138"/>
  <c r="J63" i="134"/>
  <c r="L124" i="147"/>
  <c r="L146" i="138"/>
  <c r="K135" i="134"/>
  <c r="K57" i="147"/>
  <c r="L134" i="147"/>
  <c r="J226" i="134"/>
  <c r="N27" i="137"/>
  <c r="M50" i="138"/>
  <c r="M63" i="137"/>
  <c r="K58" i="147"/>
  <c r="J227" i="134"/>
  <c r="M44" i="147"/>
  <c r="L56" i="147"/>
  <c r="K62" i="134"/>
  <c r="M61" i="138"/>
  <c r="L49" i="134"/>
  <c r="O26" i="137"/>
  <c r="N49" i="138"/>
  <c r="N62" i="137"/>
  <c r="D46" i="137"/>
  <c r="I179" i="144" l="1"/>
  <c r="I123" i="144"/>
  <c r="I11" i="144"/>
  <c r="J41" i="144"/>
  <c r="J97" i="144"/>
  <c r="J209" i="144"/>
  <c r="J153" i="144"/>
  <c r="J65" i="144"/>
  <c r="J9" i="144"/>
  <c r="J121" i="144"/>
  <c r="J177" i="144"/>
  <c r="J78" i="152"/>
  <c r="J22" i="152"/>
  <c r="J190" i="152"/>
  <c r="J134" i="152"/>
  <c r="J100" i="144"/>
  <c r="J212" i="144"/>
  <c r="J156" i="144"/>
  <c r="J44" i="144"/>
  <c r="J175" i="152"/>
  <c r="J119" i="152"/>
  <c r="J63" i="152"/>
  <c r="J7" i="152"/>
  <c r="J174" i="152"/>
  <c r="J118" i="152"/>
  <c r="J62" i="152"/>
  <c r="J6" i="152"/>
  <c r="J66" i="144"/>
  <c r="J10" i="144"/>
  <c r="J122" i="144"/>
  <c r="J178" i="144"/>
  <c r="J23" i="144"/>
  <c r="J191" i="144"/>
  <c r="J79" i="144"/>
  <c r="J135" i="144"/>
  <c r="I123" i="152"/>
  <c r="I179" i="152"/>
  <c r="J177" i="152"/>
  <c r="J9" i="152"/>
  <c r="J65" i="152"/>
  <c r="J121" i="152"/>
  <c r="J118" i="144"/>
  <c r="J62" i="144"/>
  <c r="J174" i="144"/>
  <c r="J6" i="144"/>
  <c r="J158" i="144"/>
  <c r="J102" i="144"/>
  <c r="J46" i="144"/>
  <c r="J214" i="144"/>
  <c r="K82" i="144"/>
  <c r="K26" i="144"/>
  <c r="K138" i="144"/>
  <c r="K194" i="144"/>
  <c r="J211" i="147"/>
  <c r="I207" i="152"/>
  <c r="I215" i="152" s="1"/>
  <c r="I95" i="152"/>
  <c r="I103" i="152" s="1"/>
  <c r="I151" i="152"/>
  <c r="I159" i="152" s="1"/>
  <c r="I39" i="152"/>
  <c r="I47" i="152" s="1"/>
  <c r="J213" i="144"/>
  <c r="J101" i="144"/>
  <c r="J157" i="144"/>
  <c r="J45" i="144"/>
  <c r="J135" i="152"/>
  <c r="J79" i="152"/>
  <c r="J23" i="152"/>
  <c r="J191" i="152"/>
  <c r="J209" i="152"/>
  <c r="J153" i="152"/>
  <c r="J97" i="152"/>
  <c r="J41" i="152"/>
  <c r="J213" i="152"/>
  <c r="J157" i="152"/>
  <c r="J101" i="152"/>
  <c r="J45" i="152"/>
  <c r="I67" i="152"/>
  <c r="I11" i="152"/>
  <c r="J137" i="144"/>
  <c r="J81" i="144"/>
  <c r="J25" i="144"/>
  <c r="J193" i="144"/>
  <c r="J43" i="152"/>
  <c r="J99" i="152"/>
  <c r="J211" i="152"/>
  <c r="J155" i="152"/>
  <c r="I229" i="134"/>
  <c r="I95" i="144"/>
  <c r="I103" i="144" s="1"/>
  <c r="I151" i="144"/>
  <c r="I159" i="144" s="1"/>
  <c r="I207" i="144"/>
  <c r="I215" i="144" s="1"/>
  <c r="I39" i="144"/>
  <c r="I47" i="144" s="1"/>
  <c r="J175" i="144"/>
  <c r="J7" i="144"/>
  <c r="J119" i="144"/>
  <c r="J63" i="144"/>
  <c r="J214" i="152"/>
  <c r="J46" i="152"/>
  <c r="J158" i="152"/>
  <c r="J102" i="152"/>
  <c r="J192" i="152"/>
  <c r="J136" i="152"/>
  <c r="J80" i="152"/>
  <c r="J24" i="152"/>
  <c r="J173" i="152"/>
  <c r="J117" i="152"/>
  <c r="J5" i="152"/>
  <c r="J61" i="152"/>
  <c r="J195" i="144"/>
  <c r="J139" i="144"/>
  <c r="J83" i="144"/>
  <c r="J27" i="144"/>
  <c r="J138" i="147"/>
  <c r="I133" i="152"/>
  <c r="I141" i="152" s="1"/>
  <c r="I77" i="152"/>
  <c r="I85" i="152" s="1"/>
  <c r="I21" i="152"/>
  <c r="I29" i="152" s="1"/>
  <c r="I189" i="152"/>
  <c r="I197" i="152" s="1"/>
  <c r="I67" i="144"/>
  <c r="K42" i="144"/>
  <c r="K98" i="144"/>
  <c r="K154" i="144"/>
  <c r="K210" i="144"/>
  <c r="J176" i="144"/>
  <c r="J120" i="144"/>
  <c r="J64" i="144"/>
  <c r="J8" i="144"/>
  <c r="J172" i="144"/>
  <c r="J4" i="144"/>
  <c r="J116" i="144"/>
  <c r="J60" i="144"/>
  <c r="J44" i="152"/>
  <c r="J156" i="152"/>
  <c r="J212" i="152"/>
  <c r="J100" i="152"/>
  <c r="K210" i="152"/>
  <c r="K154" i="152"/>
  <c r="K98" i="152"/>
  <c r="K42" i="152"/>
  <c r="J122" i="152"/>
  <c r="J10" i="152"/>
  <c r="J178" i="152"/>
  <c r="J66" i="152"/>
  <c r="J61" i="144"/>
  <c r="J5" i="144"/>
  <c r="J173" i="144"/>
  <c r="J117" i="144"/>
  <c r="J139" i="152"/>
  <c r="J195" i="152"/>
  <c r="J27" i="152"/>
  <c r="J83" i="152"/>
  <c r="J208" i="152"/>
  <c r="J152" i="152"/>
  <c r="J96" i="152"/>
  <c r="J40" i="152"/>
  <c r="J134" i="144"/>
  <c r="J190" i="144"/>
  <c r="J78" i="144"/>
  <c r="J22" i="144"/>
  <c r="J176" i="152"/>
  <c r="J120" i="152"/>
  <c r="J8" i="152"/>
  <c r="J64" i="152"/>
  <c r="J193" i="152"/>
  <c r="J137" i="152"/>
  <c r="J81" i="152"/>
  <c r="J25" i="152"/>
  <c r="K194" i="152"/>
  <c r="K138" i="152"/>
  <c r="K82" i="152"/>
  <c r="K26" i="152"/>
  <c r="J60" i="152"/>
  <c r="J4" i="152"/>
  <c r="J172" i="152"/>
  <c r="J116" i="152"/>
  <c r="J211" i="144"/>
  <c r="J99" i="144"/>
  <c r="J43" i="144"/>
  <c r="J155" i="144"/>
  <c r="J192" i="144"/>
  <c r="J80" i="144"/>
  <c r="J24" i="144"/>
  <c r="J136" i="144"/>
  <c r="J40" i="144"/>
  <c r="J96" i="144"/>
  <c r="J208" i="144"/>
  <c r="J152" i="144"/>
  <c r="I133" i="144"/>
  <c r="I141" i="144" s="1"/>
  <c r="I189" i="144"/>
  <c r="I197" i="144" s="1"/>
  <c r="I77" i="144"/>
  <c r="I85" i="144" s="1"/>
  <c r="I21" i="144"/>
  <c r="I29" i="144" s="1"/>
  <c r="K59" i="144"/>
  <c r="K171" i="144"/>
  <c r="K3" i="144"/>
  <c r="K115" i="144"/>
  <c r="K171" i="152"/>
  <c r="K115" i="152"/>
  <c r="K3" i="152"/>
  <c r="K59" i="152"/>
  <c r="J28" i="152"/>
  <c r="J140" i="152"/>
  <c r="J196" i="152"/>
  <c r="J84" i="152"/>
  <c r="J140" i="144"/>
  <c r="J28" i="144"/>
  <c r="J196" i="144"/>
  <c r="J84" i="144"/>
  <c r="I150" i="134"/>
  <c r="K65" i="147"/>
  <c r="M58" i="138"/>
  <c r="M70" i="137"/>
  <c r="L70" i="138"/>
  <c r="J71" i="134"/>
  <c r="K58" i="134"/>
  <c r="L53" i="147"/>
  <c r="N87" i="137"/>
  <c r="N206" i="138"/>
  <c r="O51" i="137"/>
  <c r="L190" i="147"/>
  <c r="L217" i="138"/>
  <c r="L226" i="138" s="1"/>
  <c r="K207" i="134"/>
  <c r="L214" i="138"/>
  <c r="L231" i="138"/>
  <c r="K148" i="134"/>
  <c r="O52" i="137"/>
  <c r="N207" i="138"/>
  <c r="N88" i="137"/>
  <c r="L136" i="147"/>
  <c r="M51" i="147"/>
  <c r="L56" i="134"/>
  <c r="M68" i="138"/>
  <c r="L62" i="147"/>
  <c r="L61" i="147"/>
  <c r="L204" i="147"/>
  <c r="L130" i="147"/>
  <c r="L132" i="147"/>
  <c r="N129" i="138"/>
  <c r="N76" i="137"/>
  <c r="O40" i="137"/>
  <c r="L206" i="147"/>
  <c r="K216" i="147"/>
  <c r="K218" i="147" s="1"/>
  <c r="K199" i="147"/>
  <c r="K202" i="147"/>
  <c r="L52" i="134"/>
  <c r="M64" i="138"/>
  <c r="M47" i="147"/>
  <c r="K128" i="134"/>
  <c r="L139" i="138"/>
  <c r="L148" i="138" s="1"/>
  <c r="L136" i="138"/>
  <c r="L117" i="147"/>
  <c r="L153" i="138"/>
  <c r="P53" i="137"/>
  <c r="O89" i="137"/>
  <c r="O208" i="138"/>
  <c r="M134" i="147"/>
  <c r="K65" i="134"/>
  <c r="J220" i="134"/>
  <c r="J216" i="134"/>
  <c r="J234" i="134"/>
  <c r="J236" i="134" s="1"/>
  <c r="M121" i="147"/>
  <c r="L132" i="134"/>
  <c r="M143" i="138"/>
  <c r="K225" i="134"/>
  <c r="L50" i="134"/>
  <c r="M62" i="138"/>
  <c r="M45" i="147"/>
  <c r="L59" i="147"/>
  <c r="N220" i="138"/>
  <c r="M210" i="134"/>
  <c r="N193" i="147"/>
  <c r="L57" i="147"/>
  <c r="L207" i="147"/>
  <c r="L63" i="147"/>
  <c r="N77" i="137"/>
  <c r="N130" i="138"/>
  <c r="O41" i="137"/>
  <c r="K143" i="134"/>
  <c r="N52" i="138"/>
  <c r="N65" i="137"/>
  <c r="O29" i="137"/>
  <c r="M74" i="137"/>
  <c r="M82" i="137" s="1"/>
  <c r="M127" i="138"/>
  <c r="L133" i="147"/>
  <c r="O31" i="137"/>
  <c r="N54" i="138"/>
  <c r="N67" i="137"/>
  <c r="K66" i="134"/>
  <c r="L208" i="147"/>
  <c r="N90" i="137"/>
  <c r="N209" i="138"/>
  <c r="O54" i="137"/>
  <c r="M49" i="147"/>
  <c r="L54" i="134"/>
  <c r="M66" i="138"/>
  <c r="M123" i="147"/>
  <c r="M145" i="138"/>
  <c r="L134" i="134"/>
  <c r="O55" i="137"/>
  <c r="N91" i="137"/>
  <c r="N210" i="138"/>
  <c r="K68" i="134"/>
  <c r="M118" i="147"/>
  <c r="L129" i="134"/>
  <c r="M140" i="138"/>
  <c r="K144" i="134"/>
  <c r="M120" i="147"/>
  <c r="M142" i="138"/>
  <c r="L131" i="134"/>
  <c r="L131" i="147"/>
  <c r="O45" i="137"/>
  <c r="N134" i="138"/>
  <c r="N81" i="137"/>
  <c r="L146" i="134"/>
  <c r="O27" i="137"/>
  <c r="N50" i="138"/>
  <c r="N63" i="137"/>
  <c r="L209" i="147"/>
  <c r="K63" i="134"/>
  <c r="M67" i="138"/>
  <c r="L55" i="134"/>
  <c r="M50" i="147"/>
  <c r="O56" i="137"/>
  <c r="N92" i="137"/>
  <c r="N211" i="138"/>
  <c r="K226" i="134"/>
  <c r="M221" i="138"/>
  <c r="L211" i="134"/>
  <c r="M194" i="147"/>
  <c r="L223" i="134"/>
  <c r="M197" i="147"/>
  <c r="M224" i="138"/>
  <c r="L214" i="134"/>
  <c r="M75" i="138"/>
  <c r="N93" i="137"/>
  <c r="O57" i="137"/>
  <c r="N212" i="138"/>
  <c r="K142" i="134"/>
  <c r="K222" i="134"/>
  <c r="M48" i="147"/>
  <c r="L53" i="134"/>
  <c r="M65" i="138"/>
  <c r="K224" i="134"/>
  <c r="O30" i="137"/>
  <c r="N66" i="137"/>
  <c r="N53" i="138"/>
  <c r="M119" i="147"/>
  <c r="L130" i="134"/>
  <c r="M141" i="138"/>
  <c r="J141" i="134"/>
  <c r="J155" i="134"/>
  <c r="J157" i="134" s="1"/>
  <c r="J137" i="134"/>
  <c r="K227" i="134"/>
  <c r="K221" i="134"/>
  <c r="N133" i="138"/>
  <c r="N80" i="137"/>
  <c r="O44" i="137"/>
  <c r="L58" i="147"/>
  <c r="M222" i="138"/>
  <c r="M195" i="147"/>
  <c r="L212" i="134"/>
  <c r="M191" i="147"/>
  <c r="L208" i="134"/>
  <c r="M218" i="138"/>
  <c r="N64" i="137"/>
  <c r="O28" i="137"/>
  <c r="N51" i="138"/>
  <c r="K69" i="134"/>
  <c r="M219" i="138"/>
  <c r="L209" i="134"/>
  <c r="M192" i="147"/>
  <c r="M58" i="137"/>
  <c r="N50" i="137"/>
  <c r="M205" i="138"/>
  <c r="M86" i="137"/>
  <c r="M94" i="137" s="1"/>
  <c r="N56" i="138"/>
  <c r="N69" i="137"/>
  <c r="O33" i="137"/>
  <c r="M205" i="147"/>
  <c r="K67" i="134"/>
  <c r="O39" i="137"/>
  <c r="N128" i="138"/>
  <c r="N75" i="137"/>
  <c r="L135" i="147"/>
  <c r="M124" i="147"/>
  <c r="M146" i="138"/>
  <c r="L135" i="134"/>
  <c r="K147" i="134"/>
  <c r="L70" i="147"/>
  <c r="L72" i="147" s="1"/>
  <c r="K145" i="134"/>
  <c r="N34" i="137"/>
  <c r="K129" i="147"/>
  <c r="K126" i="147"/>
  <c r="K143" i="147"/>
  <c r="K145" i="147" s="1"/>
  <c r="K76" i="134"/>
  <c r="K78" i="134" s="1"/>
  <c r="L60" i="147"/>
  <c r="M196" i="147"/>
  <c r="M223" i="138"/>
  <c r="L213" i="134"/>
  <c r="N122" i="147"/>
  <c r="M133" i="134"/>
  <c r="N144" i="138"/>
  <c r="O32" i="137"/>
  <c r="N55" i="138"/>
  <c r="N68" i="137"/>
  <c r="P43" i="137"/>
  <c r="O132" i="138"/>
  <c r="O79" i="137"/>
  <c r="K64" i="134"/>
  <c r="M46" i="147"/>
  <c r="M63" i="138"/>
  <c r="L51" i="134"/>
  <c r="L203" i="147"/>
  <c r="M56" i="147"/>
  <c r="N44" i="147"/>
  <c r="L62" i="134"/>
  <c r="N61" i="138"/>
  <c r="M49" i="134"/>
  <c r="P26" i="137"/>
  <c r="O49" i="138"/>
  <c r="O62" i="137"/>
  <c r="E46" i="137"/>
  <c r="J123" i="144" l="1"/>
  <c r="J179" i="152"/>
  <c r="J123" i="152"/>
  <c r="J11" i="144"/>
  <c r="L194" i="152"/>
  <c r="L138" i="152"/>
  <c r="L82" i="152"/>
  <c r="L26" i="152"/>
  <c r="L82" i="144"/>
  <c r="L26" i="144"/>
  <c r="L138" i="144"/>
  <c r="L194" i="144"/>
  <c r="K158" i="144"/>
  <c r="K102" i="144"/>
  <c r="K46" i="144"/>
  <c r="K214" i="144"/>
  <c r="K177" i="152"/>
  <c r="K9" i="152"/>
  <c r="K65" i="152"/>
  <c r="K121" i="152"/>
  <c r="K60" i="152"/>
  <c r="K4" i="152"/>
  <c r="K172" i="152"/>
  <c r="K116" i="152"/>
  <c r="K45" i="152"/>
  <c r="K157" i="152"/>
  <c r="K213" i="152"/>
  <c r="K101" i="152"/>
  <c r="K66" i="144"/>
  <c r="K10" i="144"/>
  <c r="K122" i="144"/>
  <c r="K178" i="144"/>
  <c r="K193" i="152"/>
  <c r="K137" i="152"/>
  <c r="K81" i="152"/>
  <c r="K25" i="152"/>
  <c r="K211" i="147"/>
  <c r="J151" i="152"/>
  <c r="J159" i="152" s="1"/>
  <c r="J207" i="152"/>
  <c r="J215" i="152" s="1"/>
  <c r="J39" i="152"/>
  <c r="J47" i="152" s="1"/>
  <c r="J95" i="152"/>
  <c r="J103" i="152" s="1"/>
  <c r="K177" i="144"/>
  <c r="K9" i="144"/>
  <c r="K65" i="144"/>
  <c r="K121" i="144"/>
  <c r="L42" i="152"/>
  <c r="L154" i="152"/>
  <c r="L98" i="152"/>
  <c r="L210" i="152"/>
  <c r="K152" i="144"/>
  <c r="K96" i="144"/>
  <c r="K208" i="144"/>
  <c r="K40" i="144"/>
  <c r="K122" i="152"/>
  <c r="K10" i="152"/>
  <c r="K66" i="152"/>
  <c r="K178" i="152"/>
  <c r="K137" i="144"/>
  <c r="K81" i="144"/>
  <c r="K193" i="144"/>
  <c r="K25" i="144"/>
  <c r="K61" i="144"/>
  <c r="K117" i="144"/>
  <c r="K5" i="144"/>
  <c r="K173" i="144"/>
  <c r="L210" i="144"/>
  <c r="L42" i="144"/>
  <c r="L154" i="144"/>
  <c r="L98" i="144"/>
  <c r="K62" i="152"/>
  <c r="K6" i="152"/>
  <c r="K118" i="152"/>
  <c r="K174" i="152"/>
  <c r="J179" i="144"/>
  <c r="K192" i="144"/>
  <c r="K80" i="144"/>
  <c r="K136" i="144"/>
  <c r="K24" i="144"/>
  <c r="K140" i="144"/>
  <c r="K196" i="144"/>
  <c r="K28" i="144"/>
  <c r="K84" i="144"/>
  <c r="K211" i="152"/>
  <c r="K155" i="152"/>
  <c r="K99" i="152"/>
  <c r="K43" i="152"/>
  <c r="K153" i="144"/>
  <c r="K41" i="144"/>
  <c r="K97" i="144"/>
  <c r="K209" i="144"/>
  <c r="K214" i="152"/>
  <c r="K46" i="152"/>
  <c r="K158" i="152"/>
  <c r="K102" i="152"/>
  <c r="K191" i="144"/>
  <c r="K135" i="144"/>
  <c r="K79" i="144"/>
  <c r="K23" i="144"/>
  <c r="J67" i="152"/>
  <c r="K78" i="152"/>
  <c r="K22" i="152"/>
  <c r="K134" i="152"/>
  <c r="K190" i="152"/>
  <c r="K208" i="152"/>
  <c r="K152" i="152"/>
  <c r="K40" i="152"/>
  <c r="K96" i="152"/>
  <c r="J189" i="144"/>
  <c r="J197" i="144" s="1"/>
  <c r="J133" i="144"/>
  <c r="J141" i="144" s="1"/>
  <c r="J77" i="144"/>
  <c r="J85" i="144" s="1"/>
  <c r="J21" i="144"/>
  <c r="J29" i="144" s="1"/>
  <c r="K195" i="144"/>
  <c r="K139" i="144"/>
  <c r="K27" i="144"/>
  <c r="K83" i="144"/>
  <c r="K84" i="152"/>
  <c r="K28" i="152"/>
  <c r="K140" i="152"/>
  <c r="K196" i="152"/>
  <c r="K213" i="144"/>
  <c r="K101" i="144"/>
  <c r="K157" i="144"/>
  <c r="K45" i="144"/>
  <c r="J67" i="144"/>
  <c r="K156" i="144"/>
  <c r="K212" i="144"/>
  <c r="K100" i="144"/>
  <c r="K44" i="144"/>
  <c r="K176" i="144"/>
  <c r="K120" i="144"/>
  <c r="K64" i="144"/>
  <c r="K8" i="144"/>
  <c r="K190" i="144"/>
  <c r="K134" i="144"/>
  <c r="K78" i="144"/>
  <c r="K22" i="144"/>
  <c r="K175" i="152"/>
  <c r="K119" i="152"/>
  <c r="K63" i="152"/>
  <c r="K7" i="152"/>
  <c r="J229" i="134"/>
  <c r="J151" i="144"/>
  <c r="J159" i="144" s="1"/>
  <c r="J95" i="144"/>
  <c r="J103" i="144" s="1"/>
  <c r="J39" i="144"/>
  <c r="J47" i="144" s="1"/>
  <c r="J207" i="144"/>
  <c r="J215" i="144" s="1"/>
  <c r="L171" i="152"/>
  <c r="L115" i="152"/>
  <c r="L3" i="152"/>
  <c r="L59" i="152"/>
  <c r="K97" i="152"/>
  <c r="K153" i="152"/>
  <c r="K41" i="152"/>
  <c r="K209" i="152"/>
  <c r="K138" i="147"/>
  <c r="J77" i="152"/>
  <c r="J85" i="152" s="1"/>
  <c r="J133" i="152"/>
  <c r="J141" i="152" s="1"/>
  <c r="J189" i="152"/>
  <c r="J197" i="152" s="1"/>
  <c r="J21" i="152"/>
  <c r="J29" i="152" s="1"/>
  <c r="K176" i="152"/>
  <c r="K120" i="152"/>
  <c r="K64" i="152"/>
  <c r="K8" i="152"/>
  <c r="K44" i="152"/>
  <c r="K100" i="152"/>
  <c r="K212" i="152"/>
  <c r="K156" i="152"/>
  <c r="K135" i="152"/>
  <c r="K79" i="152"/>
  <c r="K23" i="152"/>
  <c r="K191" i="152"/>
  <c r="K7" i="144"/>
  <c r="K63" i="144"/>
  <c r="K119" i="144"/>
  <c r="K175" i="144"/>
  <c r="K139" i="152"/>
  <c r="K27" i="152"/>
  <c r="K83" i="152"/>
  <c r="K195" i="152"/>
  <c r="K211" i="144"/>
  <c r="K99" i="144"/>
  <c r="K43" i="144"/>
  <c r="K155" i="144"/>
  <c r="K172" i="144"/>
  <c r="K116" i="144"/>
  <c r="K60" i="144"/>
  <c r="K4" i="144"/>
  <c r="K117" i="152"/>
  <c r="K61" i="152"/>
  <c r="K173" i="152"/>
  <c r="K5" i="152"/>
  <c r="L59" i="144"/>
  <c r="L171" i="144"/>
  <c r="L115" i="144"/>
  <c r="L3" i="144"/>
  <c r="K118" i="144"/>
  <c r="K62" i="144"/>
  <c r="K174" i="144"/>
  <c r="K6" i="144"/>
  <c r="K192" i="152"/>
  <c r="K24" i="152"/>
  <c r="K136" i="152"/>
  <c r="K80" i="152"/>
  <c r="J11" i="152"/>
  <c r="J150" i="134"/>
  <c r="L76" i="134"/>
  <c r="L78" i="134" s="1"/>
  <c r="N70" i="137"/>
  <c r="M70" i="138"/>
  <c r="L58" i="134"/>
  <c r="K71" i="134"/>
  <c r="M53" i="147"/>
  <c r="L65" i="147"/>
  <c r="M214" i="134"/>
  <c r="N224" i="138"/>
  <c r="N197" i="147"/>
  <c r="O212" i="138"/>
  <c r="P57" i="137"/>
  <c r="O93" i="137"/>
  <c r="M130" i="147"/>
  <c r="N49" i="147"/>
  <c r="M54" i="134"/>
  <c r="N66" i="138"/>
  <c r="O122" i="147"/>
  <c r="N133" i="134"/>
  <c r="O144" i="138"/>
  <c r="O64" i="137"/>
  <c r="O51" i="138"/>
  <c r="P28" i="137"/>
  <c r="N62" i="138"/>
  <c r="M50" i="134"/>
  <c r="N45" i="147"/>
  <c r="M117" i="147"/>
  <c r="L128" i="134"/>
  <c r="M139" i="138"/>
  <c r="M148" i="138" s="1"/>
  <c r="M136" i="138"/>
  <c r="M153" i="138"/>
  <c r="L221" i="134"/>
  <c r="M209" i="147"/>
  <c r="O50" i="138"/>
  <c r="P27" i="137"/>
  <c r="O63" i="137"/>
  <c r="O210" i="138"/>
  <c r="P55" i="137"/>
  <c r="O91" i="137"/>
  <c r="O34" i="137"/>
  <c r="O68" i="137"/>
  <c r="P32" i="137"/>
  <c r="O55" i="138"/>
  <c r="M203" i="147"/>
  <c r="M131" i="147"/>
  <c r="L147" i="134"/>
  <c r="O65" i="137"/>
  <c r="P29" i="137"/>
  <c r="O52" i="138"/>
  <c r="P208" i="138"/>
  <c r="P89" i="137"/>
  <c r="Q53" i="137"/>
  <c r="L225" i="134"/>
  <c r="M53" i="134"/>
  <c r="N65" i="138"/>
  <c r="N48" i="147"/>
  <c r="M209" i="134"/>
  <c r="N192" i="147"/>
  <c r="N219" i="138"/>
  <c r="M207" i="147"/>
  <c r="M206" i="147"/>
  <c r="M135" i="147"/>
  <c r="N64" i="138"/>
  <c r="N47" i="147"/>
  <c r="M52" i="134"/>
  <c r="M57" i="147"/>
  <c r="L143" i="147"/>
  <c r="L145" i="147" s="1"/>
  <c r="L129" i="147"/>
  <c r="L126" i="147"/>
  <c r="O88" i="137"/>
  <c r="O207" i="138"/>
  <c r="P52" i="137"/>
  <c r="M70" i="147"/>
  <c r="M72" i="147" s="1"/>
  <c r="M146" i="134"/>
  <c r="O56" i="138"/>
  <c r="P33" i="137"/>
  <c r="O69" i="137"/>
  <c r="O53" i="138"/>
  <c r="O66" i="137"/>
  <c r="P30" i="137"/>
  <c r="L224" i="134"/>
  <c r="N124" i="147"/>
  <c r="M135" i="134"/>
  <c r="N146" i="138"/>
  <c r="L142" i="134"/>
  <c r="N118" i="147"/>
  <c r="M129" i="134"/>
  <c r="N140" i="138"/>
  <c r="O128" i="138"/>
  <c r="P39" i="137"/>
  <c r="O75" i="137"/>
  <c r="M63" i="147"/>
  <c r="Q43" i="137"/>
  <c r="P79" i="137"/>
  <c r="P132" i="138"/>
  <c r="L227" i="134"/>
  <c r="N195" i="147"/>
  <c r="N222" i="138"/>
  <c r="M212" i="134"/>
  <c r="N205" i="147"/>
  <c r="N119" i="147"/>
  <c r="N141" i="138"/>
  <c r="M130" i="134"/>
  <c r="M223" i="134"/>
  <c r="O193" i="147"/>
  <c r="N210" i="134"/>
  <c r="O220" i="138"/>
  <c r="N67" i="138"/>
  <c r="N50" i="147"/>
  <c r="M55" i="134"/>
  <c r="L143" i="134"/>
  <c r="N134" i="147"/>
  <c r="P45" i="137"/>
  <c r="O134" i="138"/>
  <c r="O81" i="137"/>
  <c r="L67" i="134"/>
  <c r="L63" i="134"/>
  <c r="N58" i="138"/>
  <c r="L226" i="134"/>
  <c r="N51" i="147"/>
  <c r="N68" i="138"/>
  <c r="M56" i="134"/>
  <c r="M61" i="147"/>
  <c r="K155" i="134"/>
  <c r="K157" i="134" s="1"/>
  <c r="K141" i="134"/>
  <c r="K137" i="134"/>
  <c r="O133" i="138"/>
  <c r="O80" i="137"/>
  <c r="P44" i="137"/>
  <c r="P54" i="137"/>
  <c r="O209" i="138"/>
  <c r="O90" i="137"/>
  <c r="M59" i="147"/>
  <c r="N63" i="138"/>
  <c r="N46" i="147"/>
  <c r="M51" i="134"/>
  <c r="O54" i="138"/>
  <c r="O67" i="137"/>
  <c r="P31" i="137"/>
  <c r="N75" i="138"/>
  <c r="M214" i="138"/>
  <c r="M217" i="138"/>
  <c r="M226" i="138" s="1"/>
  <c r="M231" i="138"/>
  <c r="L207" i="134"/>
  <c r="M190" i="147"/>
  <c r="L66" i="134"/>
  <c r="N196" i="147"/>
  <c r="N223" i="138"/>
  <c r="M213" i="134"/>
  <c r="K216" i="134"/>
  <c r="K234" i="134"/>
  <c r="K236" i="134" s="1"/>
  <c r="K220" i="134"/>
  <c r="O92" i="137"/>
  <c r="P56" i="137"/>
  <c r="O211" i="138"/>
  <c r="N120" i="147"/>
  <c r="N142" i="138"/>
  <c r="M131" i="134"/>
  <c r="M133" i="147"/>
  <c r="L216" i="147"/>
  <c r="L218" i="147" s="1"/>
  <c r="L202" i="147"/>
  <c r="L199" i="147"/>
  <c r="L64" i="134"/>
  <c r="M136" i="147"/>
  <c r="M204" i="147"/>
  <c r="M62" i="147"/>
  <c r="P51" i="137"/>
  <c r="O87" i="137"/>
  <c r="O206" i="138"/>
  <c r="P40" i="137"/>
  <c r="O76" i="137"/>
  <c r="O129" i="138"/>
  <c r="M208" i="147"/>
  <c r="L144" i="134"/>
  <c r="N221" i="138"/>
  <c r="N194" i="147"/>
  <c r="M211" i="134"/>
  <c r="N86" i="137"/>
  <c r="N94" i="137" s="1"/>
  <c r="N205" i="138"/>
  <c r="N58" i="137"/>
  <c r="O50" i="137"/>
  <c r="N123" i="147"/>
  <c r="N145" i="138"/>
  <c r="M134" i="134"/>
  <c r="L145" i="134"/>
  <c r="L222" i="134"/>
  <c r="L68" i="134"/>
  <c r="N218" i="138"/>
  <c r="N191" i="147"/>
  <c r="M208" i="134"/>
  <c r="L69" i="134"/>
  <c r="L148" i="134"/>
  <c r="M60" i="147"/>
  <c r="P41" i="137"/>
  <c r="O77" i="137"/>
  <c r="O130" i="138"/>
  <c r="L65" i="134"/>
  <c r="M132" i="147"/>
  <c r="M58" i="147"/>
  <c r="O44" i="147"/>
  <c r="N56" i="147"/>
  <c r="M62" i="134"/>
  <c r="O61" i="138"/>
  <c r="N49" i="134"/>
  <c r="P62" i="137"/>
  <c r="P49" i="138"/>
  <c r="Q26" i="137"/>
  <c r="F46" i="137"/>
  <c r="K123" i="144" l="1"/>
  <c r="K67" i="152"/>
  <c r="K123" i="152"/>
  <c r="K11" i="144"/>
  <c r="K67" i="144"/>
  <c r="K179" i="144"/>
  <c r="K179" i="152"/>
  <c r="K11" i="152"/>
  <c r="L60" i="144"/>
  <c r="L172" i="144"/>
  <c r="L116" i="144"/>
  <c r="L4" i="144"/>
  <c r="L45" i="152"/>
  <c r="L157" i="152"/>
  <c r="L213" i="152"/>
  <c r="L101" i="152"/>
  <c r="M194" i="152"/>
  <c r="M82" i="152"/>
  <c r="M26" i="152"/>
  <c r="M138" i="152"/>
  <c r="L212" i="144"/>
  <c r="L156" i="144"/>
  <c r="L44" i="144"/>
  <c r="L100" i="144"/>
  <c r="L177" i="144"/>
  <c r="L65" i="144"/>
  <c r="L9" i="144"/>
  <c r="L121" i="144"/>
  <c r="L209" i="144"/>
  <c r="L41" i="144"/>
  <c r="L97" i="144"/>
  <c r="L153" i="144"/>
  <c r="L138" i="147"/>
  <c r="K77" i="152"/>
  <c r="K85" i="152" s="1"/>
  <c r="K189" i="152"/>
  <c r="K197" i="152" s="1"/>
  <c r="K133" i="152"/>
  <c r="K141" i="152" s="1"/>
  <c r="K21" i="152"/>
  <c r="K29" i="152" s="1"/>
  <c r="L84" i="152"/>
  <c r="L28" i="152"/>
  <c r="L196" i="152"/>
  <c r="L140" i="152"/>
  <c r="K189" i="144"/>
  <c r="K197" i="144" s="1"/>
  <c r="K21" i="144"/>
  <c r="K29" i="144" s="1"/>
  <c r="K77" i="144"/>
  <c r="K85" i="144" s="1"/>
  <c r="K133" i="144"/>
  <c r="K141" i="144" s="1"/>
  <c r="M42" i="152"/>
  <c r="M154" i="152"/>
  <c r="M210" i="152"/>
  <c r="M98" i="152"/>
  <c r="L24" i="152"/>
  <c r="L192" i="152"/>
  <c r="L136" i="152"/>
  <c r="L80" i="152"/>
  <c r="L43" i="144"/>
  <c r="L211" i="144"/>
  <c r="L99" i="144"/>
  <c r="L155" i="144"/>
  <c r="L176" i="144"/>
  <c r="L120" i="144"/>
  <c r="L64" i="144"/>
  <c r="L8" i="144"/>
  <c r="L192" i="144"/>
  <c r="L136" i="144"/>
  <c r="L80" i="144"/>
  <c r="L24" i="144"/>
  <c r="L140" i="144"/>
  <c r="L84" i="144"/>
  <c r="L196" i="144"/>
  <c r="L28" i="144"/>
  <c r="L6" i="152"/>
  <c r="L118" i="152"/>
  <c r="L62" i="152"/>
  <c r="L174" i="152"/>
  <c r="L66" i="144"/>
  <c r="L10" i="144"/>
  <c r="L178" i="144"/>
  <c r="L122" i="144"/>
  <c r="L46" i="152"/>
  <c r="L214" i="152"/>
  <c r="L158" i="152"/>
  <c r="L102" i="152"/>
  <c r="L175" i="144"/>
  <c r="L63" i="144"/>
  <c r="L7" i="144"/>
  <c r="L119" i="144"/>
  <c r="L61" i="144"/>
  <c r="L117" i="144"/>
  <c r="L173" i="144"/>
  <c r="L5" i="144"/>
  <c r="M210" i="144"/>
  <c r="M154" i="144"/>
  <c r="M42" i="144"/>
  <c r="M98" i="144"/>
  <c r="L60" i="152"/>
  <c r="L172" i="152"/>
  <c r="L116" i="152"/>
  <c r="L4" i="152"/>
  <c r="L11" i="152" s="1"/>
  <c r="L195" i="144"/>
  <c r="L27" i="144"/>
  <c r="L139" i="144"/>
  <c r="L83" i="144"/>
  <c r="L117" i="152"/>
  <c r="L61" i="152"/>
  <c r="L173" i="152"/>
  <c r="L5" i="152"/>
  <c r="L195" i="152"/>
  <c r="L139" i="152"/>
  <c r="L83" i="152"/>
  <c r="L27" i="152"/>
  <c r="L101" i="144"/>
  <c r="L213" i="144"/>
  <c r="L45" i="144"/>
  <c r="L157" i="144"/>
  <c r="L62" i="144"/>
  <c r="L118" i="144"/>
  <c r="L174" i="144"/>
  <c r="L6" i="144"/>
  <c r="L212" i="152"/>
  <c r="L156" i="152"/>
  <c r="L100" i="152"/>
  <c r="L44" i="152"/>
  <c r="L158" i="144"/>
  <c r="L102" i="144"/>
  <c r="L46" i="144"/>
  <c r="L214" i="144"/>
  <c r="L7" i="152"/>
  <c r="L119" i="152"/>
  <c r="L63" i="152"/>
  <c r="L175" i="152"/>
  <c r="K229" i="134"/>
  <c r="K151" i="144"/>
  <c r="K159" i="144" s="1"/>
  <c r="K95" i="144"/>
  <c r="K103" i="144" s="1"/>
  <c r="K207" i="144"/>
  <c r="K215" i="144" s="1"/>
  <c r="K39" i="144"/>
  <c r="K47" i="144" s="1"/>
  <c r="M138" i="144"/>
  <c r="M82" i="144"/>
  <c r="M26" i="144"/>
  <c r="M194" i="144"/>
  <c r="L135" i="144"/>
  <c r="L79" i="144"/>
  <c r="L23" i="144"/>
  <c r="L191" i="144"/>
  <c r="L97" i="152"/>
  <c r="L41" i="152"/>
  <c r="L209" i="152"/>
  <c r="L153" i="152"/>
  <c r="M3" i="144"/>
  <c r="M115" i="144"/>
  <c r="M59" i="144"/>
  <c r="M171" i="144"/>
  <c r="L176" i="152"/>
  <c r="L120" i="152"/>
  <c r="L64" i="152"/>
  <c r="L8" i="152"/>
  <c r="L190" i="144"/>
  <c r="L134" i="144"/>
  <c r="L78" i="144"/>
  <c r="L22" i="144"/>
  <c r="L191" i="152"/>
  <c r="L79" i="152"/>
  <c r="L23" i="152"/>
  <c r="L135" i="152"/>
  <c r="L137" i="152"/>
  <c r="L25" i="152"/>
  <c r="L81" i="152"/>
  <c r="L193" i="152"/>
  <c r="L211" i="152"/>
  <c r="L155" i="152"/>
  <c r="L99" i="152"/>
  <c r="L43" i="152"/>
  <c r="L134" i="152"/>
  <c r="L22" i="152"/>
  <c r="L190" i="152"/>
  <c r="L78" i="152"/>
  <c r="L122" i="152"/>
  <c r="L10" i="152"/>
  <c r="L178" i="152"/>
  <c r="L66" i="152"/>
  <c r="L208" i="144"/>
  <c r="L96" i="144"/>
  <c r="L152" i="144"/>
  <c r="L40" i="144"/>
  <c r="L177" i="152"/>
  <c r="L121" i="152"/>
  <c r="L65" i="152"/>
  <c r="L9" i="152"/>
  <c r="L137" i="144"/>
  <c r="L193" i="144"/>
  <c r="L25" i="144"/>
  <c r="L81" i="144"/>
  <c r="M115" i="152"/>
  <c r="M171" i="152"/>
  <c r="M3" i="152"/>
  <c r="M59" i="152"/>
  <c r="L211" i="147"/>
  <c r="K151" i="152"/>
  <c r="K159" i="152" s="1"/>
  <c r="K207" i="152"/>
  <c r="K215" i="152" s="1"/>
  <c r="K95" i="152"/>
  <c r="K103" i="152" s="1"/>
  <c r="K39" i="152"/>
  <c r="K47" i="152" s="1"/>
  <c r="L208" i="152"/>
  <c r="L152" i="152"/>
  <c r="L40" i="152"/>
  <c r="L96" i="152"/>
  <c r="K150" i="134"/>
  <c r="M65" i="147"/>
  <c r="L71" i="134"/>
  <c r="O70" i="137"/>
  <c r="N70" i="138"/>
  <c r="N53" i="147"/>
  <c r="P34" i="137"/>
  <c r="N203" i="147"/>
  <c r="O123" i="147"/>
  <c r="O145" i="138"/>
  <c r="N134" i="134"/>
  <c r="N204" i="147"/>
  <c r="M63" i="134"/>
  <c r="P207" i="138"/>
  <c r="P88" i="137"/>
  <c r="Q52" i="137"/>
  <c r="M222" i="134"/>
  <c r="O119" i="147"/>
  <c r="O141" i="138"/>
  <c r="N130" i="134"/>
  <c r="O63" i="138"/>
  <c r="O46" i="147"/>
  <c r="N51" i="134"/>
  <c r="N132" i="147"/>
  <c r="N208" i="134"/>
  <c r="O218" i="138"/>
  <c r="O191" i="147"/>
  <c r="O223" i="138"/>
  <c r="O196" i="147"/>
  <c r="N213" i="134"/>
  <c r="P91" i="137"/>
  <c r="P210" i="138"/>
  <c r="Q55" i="137"/>
  <c r="N146" i="134"/>
  <c r="M147" i="134"/>
  <c r="N58" i="147"/>
  <c r="Q89" i="137"/>
  <c r="Q208" i="138"/>
  <c r="R53" i="137"/>
  <c r="Q27" i="137"/>
  <c r="P50" i="138"/>
  <c r="P63" i="137"/>
  <c r="N135" i="147"/>
  <c r="M69" i="134"/>
  <c r="N136" i="147"/>
  <c r="O62" i="138"/>
  <c r="O45" i="147"/>
  <c r="N50" i="134"/>
  <c r="M67" i="134"/>
  <c r="P77" i="137"/>
  <c r="P130" i="138"/>
  <c r="Q41" i="137"/>
  <c r="O205" i="138"/>
  <c r="O86" i="137"/>
  <c r="O94" i="137" s="1"/>
  <c r="P50" i="137"/>
  <c r="O58" i="137"/>
  <c r="R43" i="137"/>
  <c r="Q79" i="137"/>
  <c r="Q132" i="138"/>
  <c r="M65" i="134"/>
  <c r="O210" i="134"/>
  <c r="P193" i="147"/>
  <c r="P220" i="138"/>
  <c r="N61" i="147"/>
  <c r="O58" i="138"/>
  <c r="N63" i="147"/>
  <c r="N223" i="134"/>
  <c r="N59" i="147"/>
  <c r="O64" i="138"/>
  <c r="O47" i="147"/>
  <c r="N52" i="134"/>
  <c r="N190" i="147"/>
  <c r="N231" i="138"/>
  <c r="N217" i="138"/>
  <c r="N226" i="138" s="1"/>
  <c r="M207" i="134"/>
  <c r="N214" i="138"/>
  <c r="M226" i="134"/>
  <c r="O205" i="147"/>
  <c r="P53" i="138"/>
  <c r="P66" i="137"/>
  <c r="Q30" i="137"/>
  <c r="Q29" i="137"/>
  <c r="P52" i="138"/>
  <c r="P65" i="137"/>
  <c r="Q40" i="137"/>
  <c r="P76" i="137"/>
  <c r="P129" i="138"/>
  <c r="Q31" i="137"/>
  <c r="P67" i="137"/>
  <c r="P54" i="138"/>
  <c r="M225" i="134"/>
  <c r="P134" i="138"/>
  <c r="P81" i="137"/>
  <c r="Q45" i="137"/>
  <c r="Q32" i="137"/>
  <c r="P68" i="137"/>
  <c r="P55" i="138"/>
  <c r="N209" i="134"/>
  <c r="O192" i="147"/>
  <c r="O219" i="138"/>
  <c r="M64" i="134"/>
  <c r="P122" i="147"/>
  <c r="O133" i="134"/>
  <c r="P144" i="138"/>
  <c r="O197" i="147"/>
  <c r="N214" i="134"/>
  <c r="O224" i="138"/>
  <c r="N206" i="147"/>
  <c r="N211" i="134"/>
  <c r="O194" i="147"/>
  <c r="O221" i="138"/>
  <c r="P69" i="137"/>
  <c r="P56" i="138"/>
  <c r="Q33" i="137"/>
  <c r="N209" i="147"/>
  <c r="N70" i="147"/>
  <c r="N72" i="147" s="1"/>
  <c r="P206" i="138"/>
  <c r="Q51" i="137"/>
  <c r="P87" i="137"/>
  <c r="O120" i="147"/>
  <c r="N131" i="134"/>
  <c r="O142" i="138"/>
  <c r="M148" i="134"/>
  <c r="M76" i="134"/>
  <c r="M78" i="134" s="1"/>
  <c r="M202" i="147"/>
  <c r="M199" i="147"/>
  <c r="M216" i="147"/>
  <c r="M218" i="147" s="1"/>
  <c r="N131" i="147"/>
  <c r="M142" i="134"/>
  <c r="O51" i="147"/>
  <c r="N56" i="134"/>
  <c r="O68" i="138"/>
  <c r="L155" i="134"/>
  <c r="L157" i="134" s="1"/>
  <c r="L141" i="134"/>
  <c r="L137" i="134"/>
  <c r="N57" i="147"/>
  <c r="O124" i="147"/>
  <c r="N135" i="134"/>
  <c r="O146" i="138"/>
  <c r="O50" i="147"/>
  <c r="O67" i="138"/>
  <c r="N55" i="134"/>
  <c r="M144" i="134"/>
  <c r="N207" i="147"/>
  <c r="N60" i="147"/>
  <c r="Q28" i="137"/>
  <c r="P51" i="138"/>
  <c r="P64" i="137"/>
  <c r="M66" i="134"/>
  <c r="Q56" i="137"/>
  <c r="P92" i="137"/>
  <c r="P211" i="138"/>
  <c r="O49" i="147"/>
  <c r="O66" i="138"/>
  <c r="N54" i="134"/>
  <c r="O222" i="138"/>
  <c r="N212" i="134"/>
  <c r="O195" i="147"/>
  <c r="M68" i="134"/>
  <c r="O134" i="147"/>
  <c r="N62" i="147"/>
  <c r="M58" i="134"/>
  <c r="N208" i="147"/>
  <c r="P75" i="137"/>
  <c r="P128" i="138"/>
  <c r="Q39" i="137"/>
  <c r="O65" i="138"/>
  <c r="N53" i="134"/>
  <c r="O48" i="147"/>
  <c r="Q57" i="137"/>
  <c r="P212" i="138"/>
  <c r="P93" i="137"/>
  <c r="M224" i="134"/>
  <c r="M143" i="134"/>
  <c r="O118" i="147"/>
  <c r="N129" i="134"/>
  <c r="O140" i="138"/>
  <c r="O75" i="138"/>
  <c r="P90" i="137"/>
  <c r="Q54" i="137"/>
  <c r="P209" i="138"/>
  <c r="M221" i="134"/>
  <c r="L220" i="134"/>
  <c r="L216" i="134"/>
  <c r="L234" i="134"/>
  <c r="L236" i="134" s="1"/>
  <c r="Q44" i="137"/>
  <c r="P80" i="137"/>
  <c r="P133" i="138"/>
  <c r="N130" i="147"/>
  <c r="M143" i="147"/>
  <c r="M145" i="147" s="1"/>
  <c r="M129" i="147"/>
  <c r="M126" i="147"/>
  <c r="M227" i="134"/>
  <c r="O56" i="147"/>
  <c r="P44" i="147"/>
  <c r="N62" i="134"/>
  <c r="P61" i="138"/>
  <c r="O49" i="134"/>
  <c r="Q49" i="138"/>
  <c r="Q62" i="137"/>
  <c r="R26" i="137"/>
  <c r="G46" i="137"/>
  <c r="L123" i="152" l="1"/>
  <c r="L179" i="144"/>
  <c r="L179" i="152"/>
  <c r="L123" i="144"/>
  <c r="L67" i="152"/>
  <c r="L11" i="144"/>
  <c r="L67" i="144"/>
  <c r="M43" i="152"/>
  <c r="M211" i="152"/>
  <c r="M99" i="152"/>
  <c r="M155" i="152"/>
  <c r="M40" i="152"/>
  <c r="M96" i="152"/>
  <c r="M152" i="152"/>
  <c r="M208" i="152"/>
  <c r="M63" i="152"/>
  <c r="M175" i="152"/>
  <c r="M119" i="152"/>
  <c r="M7" i="152"/>
  <c r="M211" i="147"/>
  <c r="L151" i="152"/>
  <c r="L159" i="152" s="1"/>
  <c r="L207" i="152"/>
  <c r="L215" i="152" s="1"/>
  <c r="L39" i="152"/>
  <c r="L47" i="152" s="1"/>
  <c r="L95" i="152"/>
  <c r="L103" i="152" s="1"/>
  <c r="L229" i="134"/>
  <c r="L207" i="144"/>
  <c r="L215" i="144" s="1"/>
  <c r="L151" i="144"/>
  <c r="L159" i="144" s="1"/>
  <c r="L95" i="144"/>
  <c r="L103" i="144" s="1"/>
  <c r="L39" i="144"/>
  <c r="L47" i="144" s="1"/>
  <c r="M212" i="152"/>
  <c r="M156" i="152"/>
  <c r="M100" i="152"/>
  <c r="M44" i="152"/>
  <c r="M196" i="152"/>
  <c r="M140" i="152"/>
  <c r="M84" i="152"/>
  <c r="M28" i="152"/>
  <c r="M152" i="144"/>
  <c r="M208" i="144"/>
  <c r="M96" i="144"/>
  <c r="M40" i="144"/>
  <c r="M213" i="152"/>
  <c r="M157" i="152"/>
  <c r="M101" i="152"/>
  <c r="M45" i="152"/>
  <c r="M192" i="144"/>
  <c r="M136" i="144"/>
  <c r="M80" i="144"/>
  <c r="M24" i="144"/>
  <c r="M196" i="144"/>
  <c r="M84" i="144"/>
  <c r="M28" i="144"/>
  <c r="M140" i="144"/>
  <c r="M120" i="152"/>
  <c r="M176" i="152"/>
  <c r="M8" i="152"/>
  <c r="M64" i="152"/>
  <c r="M178" i="144"/>
  <c r="M66" i="144"/>
  <c r="M122" i="144"/>
  <c r="M10" i="144"/>
  <c r="M136" i="152"/>
  <c r="M192" i="152"/>
  <c r="M24" i="152"/>
  <c r="M80" i="152"/>
  <c r="M41" i="144"/>
  <c r="M153" i="144"/>
  <c r="M97" i="144"/>
  <c r="M209" i="144"/>
  <c r="M5" i="152"/>
  <c r="M117" i="152"/>
  <c r="M61" i="152"/>
  <c r="M173" i="152"/>
  <c r="L189" i="144"/>
  <c r="L197" i="144" s="1"/>
  <c r="L77" i="144"/>
  <c r="L85" i="144" s="1"/>
  <c r="L21" i="144"/>
  <c r="L29" i="144" s="1"/>
  <c r="L133" i="144"/>
  <c r="L141" i="144" s="1"/>
  <c r="M43" i="144"/>
  <c r="M211" i="144"/>
  <c r="M99" i="144"/>
  <c r="M155" i="144"/>
  <c r="M116" i="144"/>
  <c r="M4" i="144"/>
  <c r="M60" i="144"/>
  <c r="M172" i="144"/>
  <c r="M212" i="144"/>
  <c r="M156" i="144"/>
  <c r="M44" i="144"/>
  <c r="M100" i="144"/>
  <c r="M134" i="152"/>
  <c r="M22" i="152"/>
  <c r="M190" i="152"/>
  <c r="M78" i="152"/>
  <c r="M63" i="144"/>
  <c r="M175" i="144"/>
  <c r="M7" i="144"/>
  <c r="M119" i="144"/>
  <c r="M174" i="152"/>
  <c r="M62" i="152"/>
  <c r="M67" i="152" s="1"/>
  <c r="M6" i="152"/>
  <c r="M118" i="152"/>
  <c r="M177" i="152"/>
  <c r="M121" i="152"/>
  <c r="M65" i="152"/>
  <c r="M9" i="152"/>
  <c r="M177" i="144"/>
  <c r="M9" i="144"/>
  <c r="M65" i="144"/>
  <c r="M121" i="144"/>
  <c r="M62" i="144"/>
  <c r="M118" i="144"/>
  <c r="M6" i="144"/>
  <c r="M174" i="144"/>
  <c r="M172" i="152"/>
  <c r="M116" i="152"/>
  <c r="M60" i="152"/>
  <c r="M4" i="152"/>
  <c r="N115" i="152"/>
  <c r="N59" i="152"/>
  <c r="N171" i="152"/>
  <c r="N3" i="152"/>
  <c r="M158" i="144"/>
  <c r="M102" i="144"/>
  <c r="M46" i="144"/>
  <c r="M214" i="144"/>
  <c r="N194" i="144"/>
  <c r="N138" i="144"/>
  <c r="N82" i="144"/>
  <c r="N26" i="144"/>
  <c r="M190" i="144"/>
  <c r="M78" i="144"/>
  <c r="M22" i="144"/>
  <c r="M134" i="144"/>
  <c r="M79" i="152"/>
  <c r="M23" i="152"/>
  <c r="M191" i="152"/>
  <c r="M135" i="152"/>
  <c r="N210" i="144"/>
  <c r="N42" i="144"/>
  <c r="N154" i="144"/>
  <c r="N98" i="144"/>
  <c r="M178" i="152"/>
  <c r="M122" i="152"/>
  <c r="M66" i="152"/>
  <c r="M10" i="152"/>
  <c r="N194" i="152"/>
  <c r="N82" i="152"/>
  <c r="N138" i="152"/>
  <c r="N26" i="152"/>
  <c r="N42" i="152"/>
  <c r="N154" i="152"/>
  <c r="N98" i="152"/>
  <c r="N210" i="152"/>
  <c r="M135" i="144"/>
  <c r="M79" i="144"/>
  <c r="M23" i="144"/>
  <c r="M191" i="144"/>
  <c r="M46" i="152"/>
  <c r="M214" i="152"/>
  <c r="M158" i="152"/>
  <c r="M102" i="152"/>
  <c r="M195" i="144"/>
  <c r="M139" i="144"/>
  <c r="M27" i="144"/>
  <c r="M83" i="144"/>
  <c r="M138" i="147"/>
  <c r="L21" i="152"/>
  <c r="L29" i="152" s="1"/>
  <c r="L77" i="152"/>
  <c r="L85" i="152" s="1"/>
  <c r="L133" i="152"/>
  <c r="L141" i="152" s="1"/>
  <c r="L189" i="152"/>
  <c r="L197" i="152" s="1"/>
  <c r="M41" i="152"/>
  <c r="M97" i="152"/>
  <c r="M153" i="152"/>
  <c r="M209" i="152"/>
  <c r="M64" i="144"/>
  <c r="M176" i="144"/>
  <c r="M120" i="144"/>
  <c r="M8" i="144"/>
  <c r="M195" i="152"/>
  <c r="M139" i="152"/>
  <c r="M83" i="152"/>
  <c r="M27" i="152"/>
  <c r="M173" i="144"/>
  <c r="M61" i="144"/>
  <c r="M117" i="144"/>
  <c r="M5" i="144"/>
  <c r="N3" i="144"/>
  <c r="N115" i="144"/>
  <c r="N59" i="144"/>
  <c r="N171" i="144"/>
  <c r="M213" i="144"/>
  <c r="M45" i="144"/>
  <c r="M101" i="144"/>
  <c r="M157" i="144"/>
  <c r="L150" i="134"/>
  <c r="N58" i="134"/>
  <c r="O70" i="147"/>
  <c r="O72" i="147" s="1"/>
  <c r="P75" i="138"/>
  <c r="P70" i="137"/>
  <c r="N65" i="147"/>
  <c r="N76" i="134"/>
  <c r="N78" i="134" s="1"/>
  <c r="O70" i="138"/>
  <c r="M71" i="134"/>
  <c r="P64" i="138"/>
  <c r="P47" i="147"/>
  <c r="O52" i="134"/>
  <c r="P210" i="134"/>
  <c r="Q220" i="138"/>
  <c r="Q193" i="147"/>
  <c r="O51" i="134"/>
  <c r="P46" i="147"/>
  <c r="P63" i="138"/>
  <c r="Q52" i="138"/>
  <c r="Q65" i="137"/>
  <c r="R29" i="137"/>
  <c r="R28" i="137"/>
  <c r="Q51" i="138"/>
  <c r="Q64" i="137"/>
  <c r="N69" i="134"/>
  <c r="N225" i="134"/>
  <c r="P197" i="147"/>
  <c r="O214" i="134"/>
  <c r="P224" i="138"/>
  <c r="P51" i="147"/>
  <c r="P68" i="138"/>
  <c r="O56" i="134"/>
  <c r="Q212" i="138"/>
  <c r="Q93" i="137"/>
  <c r="R57" i="137"/>
  <c r="P194" i="147"/>
  <c r="O211" i="134"/>
  <c r="P221" i="138"/>
  <c r="R32" i="137"/>
  <c r="Q68" i="137"/>
  <c r="Q55" i="138"/>
  <c r="N63" i="134"/>
  <c r="Q91" i="137"/>
  <c r="Q210" i="138"/>
  <c r="R55" i="137"/>
  <c r="P192" i="147"/>
  <c r="P219" i="138"/>
  <c r="O209" i="134"/>
  <c r="O129" i="134"/>
  <c r="P140" i="138"/>
  <c r="P118" i="147"/>
  <c r="O62" i="147"/>
  <c r="O223" i="134"/>
  <c r="N226" i="134"/>
  <c r="N67" i="134"/>
  <c r="O208" i="147"/>
  <c r="O58" i="147"/>
  <c r="O53" i="147"/>
  <c r="Q34" i="137"/>
  <c r="P124" i="147"/>
  <c r="P146" i="138"/>
  <c r="O135" i="134"/>
  <c r="P123" i="147"/>
  <c r="P145" i="138"/>
  <c r="O134" i="134"/>
  <c r="N142" i="134"/>
  <c r="O61" i="147"/>
  <c r="O136" i="147"/>
  <c r="O209" i="147"/>
  <c r="N65" i="134"/>
  <c r="Q122" i="147"/>
  <c r="Q144" i="138"/>
  <c r="P133" i="134"/>
  <c r="O203" i="147"/>
  <c r="N147" i="134"/>
  <c r="O208" i="134"/>
  <c r="P191" i="147"/>
  <c r="P218" i="138"/>
  <c r="O214" i="138"/>
  <c r="N207" i="134"/>
  <c r="O231" i="138"/>
  <c r="O190" i="147"/>
  <c r="O217" i="138"/>
  <c r="O226" i="138" s="1"/>
  <c r="Q66" i="137"/>
  <c r="R30" i="137"/>
  <c r="Q53" i="138"/>
  <c r="O131" i="147"/>
  <c r="Q209" i="138"/>
  <c r="Q90" i="137"/>
  <c r="R54" i="137"/>
  <c r="R45" i="137"/>
  <c r="Q81" i="137"/>
  <c r="Q134" i="138"/>
  <c r="P205" i="147"/>
  <c r="P58" i="138"/>
  <c r="N148" i="134"/>
  <c r="P49" i="147"/>
  <c r="P66" i="138"/>
  <c r="O54" i="134"/>
  <c r="O130" i="147"/>
  <c r="P223" i="138"/>
  <c r="O213" i="134"/>
  <c r="P196" i="147"/>
  <c r="R31" i="137"/>
  <c r="Q54" i="138"/>
  <c r="Q67" i="137"/>
  <c r="O59" i="147"/>
  <c r="R208" i="138"/>
  <c r="S53" i="137"/>
  <c r="R89" i="137"/>
  <c r="O204" i="147"/>
  <c r="R44" i="137"/>
  <c r="Q80" i="137"/>
  <c r="Q133" i="138"/>
  <c r="N144" i="134"/>
  <c r="P119" i="147"/>
  <c r="P141" i="138"/>
  <c r="O130" i="134"/>
  <c r="R79" i="137"/>
  <c r="R132" i="138"/>
  <c r="S43" i="137"/>
  <c r="N221" i="134"/>
  <c r="O135" i="147"/>
  <c r="O207" i="147"/>
  <c r="P48" i="147"/>
  <c r="O53" i="134"/>
  <c r="P65" i="138"/>
  <c r="O60" i="147"/>
  <c r="N224" i="134"/>
  <c r="R56" i="137"/>
  <c r="Q211" i="138"/>
  <c r="Q92" i="137"/>
  <c r="O146" i="134"/>
  <c r="O50" i="134"/>
  <c r="P62" i="138"/>
  <c r="P45" i="147"/>
  <c r="Q206" i="138"/>
  <c r="Q87" i="137"/>
  <c r="R51" i="137"/>
  <c r="N64" i="134"/>
  <c r="Q130" i="138"/>
  <c r="R41" i="137"/>
  <c r="Q77" i="137"/>
  <c r="P120" i="147"/>
  <c r="P142" i="138"/>
  <c r="O131" i="134"/>
  <c r="N143" i="134"/>
  <c r="O63" i="147"/>
  <c r="Q56" i="138"/>
  <c r="Q69" i="137"/>
  <c r="R33" i="137"/>
  <c r="N222" i="134"/>
  <c r="O55" i="134"/>
  <c r="P50" i="147"/>
  <c r="P67" i="138"/>
  <c r="Q207" i="138"/>
  <c r="Q88" i="137"/>
  <c r="R52" i="137"/>
  <c r="N66" i="134"/>
  <c r="O206" i="147"/>
  <c r="O57" i="147"/>
  <c r="N68" i="134"/>
  <c r="P195" i="147"/>
  <c r="P222" i="138"/>
  <c r="O212" i="134"/>
  <c r="Q75" i="137"/>
  <c r="Q128" i="138"/>
  <c r="R39" i="137"/>
  <c r="M234" i="134"/>
  <c r="M236" i="134" s="1"/>
  <c r="M220" i="134"/>
  <c r="N227" i="134"/>
  <c r="N202" i="147"/>
  <c r="N199" i="147"/>
  <c r="N216" i="147"/>
  <c r="N218" i="147" s="1"/>
  <c r="O132" i="147"/>
  <c r="P134" i="147"/>
  <c r="Q129" i="138"/>
  <c r="Q76" i="137"/>
  <c r="R40" i="137"/>
  <c r="P86" i="137"/>
  <c r="P94" i="137" s="1"/>
  <c r="Q50" i="137"/>
  <c r="P58" i="137"/>
  <c r="P205" i="138"/>
  <c r="Q50" i="138"/>
  <c r="Q63" i="137"/>
  <c r="R27" i="137"/>
  <c r="P56" i="147"/>
  <c r="Q44" i="147"/>
  <c r="O62" i="134"/>
  <c r="R49" i="138"/>
  <c r="R62" i="137"/>
  <c r="S26" i="137"/>
  <c r="Q61" i="138"/>
  <c r="P49" i="134"/>
  <c r="H46" i="137"/>
  <c r="M11" i="144" l="1"/>
  <c r="M179" i="152"/>
  <c r="M123" i="144"/>
  <c r="M11" i="152"/>
  <c r="M123" i="152"/>
  <c r="M179" i="144"/>
  <c r="M67" i="144"/>
  <c r="N66" i="144"/>
  <c r="N178" i="144"/>
  <c r="N122" i="144"/>
  <c r="N10" i="144"/>
  <c r="N172" i="152"/>
  <c r="N4" i="152"/>
  <c r="N116" i="152"/>
  <c r="N60" i="152"/>
  <c r="N117" i="144"/>
  <c r="N173" i="144"/>
  <c r="N5" i="144"/>
  <c r="N11" i="144" s="1"/>
  <c r="N61" i="144"/>
  <c r="N63" i="144"/>
  <c r="N7" i="144"/>
  <c r="N119" i="144"/>
  <c r="N175" i="144"/>
  <c r="N134" i="152"/>
  <c r="N78" i="152"/>
  <c r="N22" i="152"/>
  <c r="N190" i="152"/>
  <c r="N136" i="152"/>
  <c r="N192" i="152"/>
  <c r="N24" i="152"/>
  <c r="N80" i="152"/>
  <c r="N196" i="144"/>
  <c r="N84" i="144"/>
  <c r="N28" i="144"/>
  <c r="N140" i="144"/>
  <c r="N211" i="147"/>
  <c r="M207" i="152"/>
  <c r="M215" i="152" s="1"/>
  <c r="M39" i="152"/>
  <c r="M47" i="152" s="1"/>
  <c r="M151" i="152"/>
  <c r="M159" i="152" s="1"/>
  <c r="M95" i="152"/>
  <c r="M103" i="152" s="1"/>
  <c r="O138" i="144"/>
  <c r="O194" i="144"/>
  <c r="O82" i="144"/>
  <c r="O26" i="144"/>
  <c r="N195" i="144"/>
  <c r="N139" i="144"/>
  <c r="N27" i="144"/>
  <c r="N83" i="144"/>
  <c r="N64" i="144"/>
  <c r="N176" i="144"/>
  <c r="N120" i="144"/>
  <c r="N8" i="144"/>
  <c r="N158" i="144"/>
  <c r="N102" i="144"/>
  <c r="N214" i="144"/>
  <c r="N46" i="144"/>
  <c r="N209" i="144"/>
  <c r="N41" i="144"/>
  <c r="N97" i="144"/>
  <c r="N153" i="144"/>
  <c r="O154" i="152"/>
  <c r="O210" i="152"/>
  <c r="O42" i="152"/>
  <c r="O98" i="152"/>
  <c r="N152" i="152"/>
  <c r="N40" i="152"/>
  <c r="N96" i="152"/>
  <c r="N208" i="152"/>
  <c r="N213" i="144"/>
  <c r="N157" i="144"/>
  <c r="N45" i="144"/>
  <c r="N101" i="144"/>
  <c r="N209" i="152"/>
  <c r="N41" i="152"/>
  <c r="N153" i="152"/>
  <c r="N97" i="152"/>
  <c r="O210" i="144"/>
  <c r="O98" i="144"/>
  <c r="O154" i="144"/>
  <c r="O42" i="144"/>
  <c r="O3" i="144"/>
  <c r="O115" i="144"/>
  <c r="O59" i="144"/>
  <c r="O171" i="144"/>
  <c r="M229" i="134"/>
  <c r="M207" i="144"/>
  <c r="M215" i="144" s="1"/>
  <c r="M151" i="144"/>
  <c r="M159" i="144" s="1"/>
  <c r="M95" i="144"/>
  <c r="M103" i="144" s="1"/>
  <c r="M39" i="144"/>
  <c r="M47" i="144" s="1"/>
  <c r="N177" i="152"/>
  <c r="N121" i="152"/>
  <c r="N65" i="152"/>
  <c r="N9" i="152"/>
  <c r="N83" i="152"/>
  <c r="N195" i="152"/>
  <c r="N27" i="152"/>
  <c r="N139" i="152"/>
  <c r="N213" i="152"/>
  <c r="N157" i="152"/>
  <c r="N101" i="152"/>
  <c r="N45" i="152"/>
  <c r="N63" i="152"/>
  <c r="N119" i="152"/>
  <c r="N175" i="152"/>
  <c r="N7" i="152"/>
  <c r="N214" i="152"/>
  <c r="N158" i="152"/>
  <c r="N102" i="152"/>
  <c r="N46" i="152"/>
  <c r="N196" i="152"/>
  <c r="N140" i="152"/>
  <c r="N84" i="152"/>
  <c r="N28" i="152"/>
  <c r="N65" i="144"/>
  <c r="N177" i="144"/>
  <c r="N9" i="144"/>
  <c r="N121" i="144"/>
  <c r="N211" i="152"/>
  <c r="N99" i="152"/>
  <c r="N43" i="152"/>
  <c r="N155" i="152"/>
  <c r="N136" i="144"/>
  <c r="N192" i="144"/>
  <c r="N80" i="144"/>
  <c r="N24" i="144"/>
  <c r="N43" i="144"/>
  <c r="N211" i="144"/>
  <c r="N99" i="144"/>
  <c r="N155" i="144"/>
  <c r="O115" i="152"/>
  <c r="O171" i="152"/>
  <c r="O59" i="152"/>
  <c r="O3" i="152"/>
  <c r="N191" i="144"/>
  <c r="N79" i="144"/>
  <c r="N23" i="144"/>
  <c r="N135" i="144"/>
  <c r="N174" i="152"/>
  <c r="N62" i="152"/>
  <c r="N6" i="152"/>
  <c r="N118" i="152"/>
  <c r="N79" i="152"/>
  <c r="N23" i="152"/>
  <c r="N191" i="152"/>
  <c r="N135" i="152"/>
  <c r="N120" i="152"/>
  <c r="N64" i="152"/>
  <c r="N176" i="152"/>
  <c r="N8" i="152"/>
  <c r="N152" i="144"/>
  <c r="N208" i="144"/>
  <c r="N40" i="144"/>
  <c r="N96" i="144"/>
  <c r="N116" i="144"/>
  <c r="N60" i="144"/>
  <c r="N4" i="144"/>
  <c r="N172" i="144"/>
  <c r="O194" i="152"/>
  <c r="O138" i="152"/>
  <c r="O26" i="152"/>
  <c r="O82" i="152"/>
  <c r="N5" i="152"/>
  <c r="N173" i="152"/>
  <c r="N117" i="152"/>
  <c r="N61" i="152"/>
  <c r="N178" i="152"/>
  <c r="N122" i="152"/>
  <c r="N66" i="152"/>
  <c r="N10" i="152"/>
  <c r="N62" i="144"/>
  <c r="N174" i="144"/>
  <c r="N118" i="144"/>
  <c r="N6" i="144"/>
  <c r="N100" i="152"/>
  <c r="N212" i="152"/>
  <c r="N156" i="152"/>
  <c r="N44" i="152"/>
  <c r="N190" i="144"/>
  <c r="N78" i="144"/>
  <c r="N22" i="144"/>
  <c r="N134" i="144"/>
  <c r="N212" i="144"/>
  <c r="N44" i="144"/>
  <c r="N156" i="144"/>
  <c r="N100" i="144"/>
  <c r="Q75" i="138"/>
  <c r="O65" i="147"/>
  <c r="O58" i="134"/>
  <c r="Q70" i="137"/>
  <c r="O76" i="134"/>
  <c r="O78" i="134" s="1"/>
  <c r="N71" i="134"/>
  <c r="P70" i="138"/>
  <c r="O207" i="134"/>
  <c r="P231" i="138"/>
  <c r="P217" i="138"/>
  <c r="P226" i="138" s="1"/>
  <c r="P190" i="147"/>
  <c r="P214" i="138"/>
  <c r="Q192" i="147"/>
  <c r="P209" i="134"/>
  <c r="Q219" i="138"/>
  <c r="P60" i="147"/>
  <c r="O67" i="134"/>
  <c r="Q205" i="138"/>
  <c r="Q58" i="137"/>
  <c r="R50" i="137"/>
  <c r="Q86" i="137"/>
  <c r="Q94" i="137" s="1"/>
  <c r="Q67" i="138"/>
  <c r="P55" i="134"/>
  <c r="Q50" i="147"/>
  <c r="P62" i="147"/>
  <c r="R64" i="137"/>
  <c r="R51" i="138"/>
  <c r="S28" i="137"/>
  <c r="O147" i="134"/>
  <c r="S29" i="137"/>
  <c r="R52" i="138"/>
  <c r="R65" i="137"/>
  <c r="P129" i="134"/>
  <c r="Q118" i="147"/>
  <c r="Q140" i="138"/>
  <c r="O224" i="134"/>
  <c r="O63" i="134"/>
  <c r="P135" i="147"/>
  <c r="P206" i="147"/>
  <c r="Q47" i="147"/>
  <c r="P52" i="134"/>
  <c r="Q64" i="138"/>
  <c r="T43" i="137"/>
  <c r="S79" i="137"/>
  <c r="S132" i="138"/>
  <c r="R34" i="137"/>
  <c r="P56" i="134"/>
  <c r="Q51" i="147"/>
  <c r="Q68" i="138"/>
  <c r="R122" i="147"/>
  <c r="R144" i="138"/>
  <c r="Q133" i="134"/>
  <c r="R193" i="147"/>
  <c r="R220" i="138"/>
  <c r="Q210" i="134"/>
  <c r="Q124" i="147"/>
  <c r="Q146" i="138"/>
  <c r="P135" i="134"/>
  <c r="P58" i="147"/>
  <c r="P207" i="147"/>
  <c r="P136" i="147"/>
  <c r="P214" i="134"/>
  <c r="Q224" i="138"/>
  <c r="Q197" i="147"/>
  <c r="O64" i="134"/>
  <c r="Q196" i="147"/>
  <c r="P213" i="134"/>
  <c r="Q223" i="138"/>
  <c r="O143" i="134"/>
  <c r="R81" i="137"/>
  <c r="R134" i="138"/>
  <c r="S45" i="137"/>
  <c r="P130" i="147"/>
  <c r="O69" i="134"/>
  <c r="Q205" i="147"/>
  <c r="O216" i="147"/>
  <c r="O218" i="147" s="1"/>
  <c r="O199" i="147"/>
  <c r="O202" i="147"/>
  <c r="O68" i="134"/>
  <c r="O225" i="134"/>
  <c r="O148" i="134"/>
  <c r="P146" i="134"/>
  <c r="P131" i="147"/>
  <c r="P54" i="134"/>
  <c r="Q66" i="138"/>
  <c r="Q49" i="147"/>
  <c r="O142" i="134"/>
  <c r="P63" i="147"/>
  <c r="P223" i="134"/>
  <c r="Q62" i="138"/>
  <c r="Q45" i="147"/>
  <c r="P50" i="134"/>
  <c r="R88" i="137"/>
  <c r="R207" i="138"/>
  <c r="S52" i="137"/>
  <c r="Q120" i="147"/>
  <c r="Q142" i="138"/>
  <c r="P131" i="134"/>
  <c r="P51" i="134"/>
  <c r="Q46" i="147"/>
  <c r="Q63" i="138"/>
  <c r="N234" i="134"/>
  <c r="N236" i="134" s="1"/>
  <c r="N216" i="134"/>
  <c r="N220" i="134"/>
  <c r="T53" i="137"/>
  <c r="S208" i="138"/>
  <c r="S89" i="137"/>
  <c r="S57" i="137"/>
  <c r="R93" i="137"/>
  <c r="R212" i="138"/>
  <c r="R211" i="138"/>
  <c r="S56" i="137"/>
  <c r="R92" i="137"/>
  <c r="R90" i="137"/>
  <c r="S54" i="137"/>
  <c r="R209" i="138"/>
  <c r="O144" i="134"/>
  <c r="R54" i="138"/>
  <c r="R67" i="137"/>
  <c r="S31" i="137"/>
  <c r="P211" i="134"/>
  <c r="Q221" i="138"/>
  <c r="Q194" i="147"/>
  <c r="Q134" i="147"/>
  <c r="O222" i="134"/>
  <c r="O65" i="134"/>
  <c r="R66" i="137"/>
  <c r="S30" i="137"/>
  <c r="R53" i="138"/>
  <c r="O66" i="134"/>
  <c r="R87" i="137"/>
  <c r="R206" i="138"/>
  <c r="S51" i="137"/>
  <c r="P61" i="147"/>
  <c r="R55" i="138"/>
  <c r="S32" i="137"/>
  <c r="R68" i="137"/>
  <c r="Q119" i="147"/>
  <c r="Q141" i="138"/>
  <c r="P130" i="134"/>
  <c r="R69" i="137"/>
  <c r="S33" i="137"/>
  <c r="R56" i="138"/>
  <c r="P208" i="147"/>
  <c r="O227" i="134"/>
  <c r="P59" i="147"/>
  <c r="R77" i="137"/>
  <c r="R130" i="138"/>
  <c r="S41" i="137"/>
  <c r="S44" i="137"/>
  <c r="R80" i="137"/>
  <c r="R133" i="138"/>
  <c r="Q195" i="147"/>
  <c r="Q222" i="138"/>
  <c r="P212" i="134"/>
  <c r="P53" i="147"/>
  <c r="P70" i="147"/>
  <c r="P72" i="147" s="1"/>
  <c r="S40" i="137"/>
  <c r="R129" i="138"/>
  <c r="R76" i="137"/>
  <c r="P208" i="134"/>
  <c r="Q218" i="138"/>
  <c r="Q191" i="147"/>
  <c r="S39" i="137"/>
  <c r="R75" i="137"/>
  <c r="R128" i="138"/>
  <c r="P57" i="147"/>
  <c r="Q58" i="138"/>
  <c r="P203" i="147"/>
  <c r="O221" i="134"/>
  <c r="P132" i="147"/>
  <c r="Q123" i="147"/>
  <c r="Q145" i="138"/>
  <c r="P134" i="134"/>
  <c r="O226" i="134"/>
  <c r="P204" i="147"/>
  <c r="P209" i="147"/>
  <c r="S27" i="137"/>
  <c r="R50" i="138"/>
  <c r="R63" i="137"/>
  <c r="Q48" i="147"/>
  <c r="P53" i="134"/>
  <c r="Q65" i="138"/>
  <c r="S55" i="137"/>
  <c r="R210" i="138"/>
  <c r="R91" i="137"/>
  <c r="R44" i="147"/>
  <c r="Q56" i="147"/>
  <c r="P62" i="134"/>
  <c r="S49" i="138"/>
  <c r="S62" i="137"/>
  <c r="T26" i="137"/>
  <c r="R61" i="138"/>
  <c r="Q49" i="134"/>
  <c r="I46" i="137"/>
  <c r="N179" i="152" l="1"/>
  <c r="N67" i="144"/>
  <c r="N67" i="152"/>
  <c r="N123" i="144"/>
  <c r="N123" i="152"/>
  <c r="N11" i="152"/>
  <c r="N179" i="144"/>
  <c r="O66" i="144"/>
  <c r="O178" i="144"/>
  <c r="O10" i="144"/>
  <c r="O122" i="144"/>
  <c r="O136" i="152"/>
  <c r="O80" i="152"/>
  <c r="O24" i="152"/>
  <c r="O192" i="152"/>
  <c r="O152" i="144"/>
  <c r="O96" i="144"/>
  <c r="O208" i="144"/>
  <c r="O40" i="144"/>
  <c r="P171" i="152"/>
  <c r="P115" i="152"/>
  <c r="P59" i="152"/>
  <c r="P3" i="152"/>
  <c r="O172" i="152"/>
  <c r="O4" i="152"/>
  <c r="O116" i="152"/>
  <c r="O60" i="152"/>
  <c r="O195" i="144"/>
  <c r="O83" i="144"/>
  <c r="O27" i="144"/>
  <c r="O139" i="144"/>
  <c r="O174" i="152"/>
  <c r="O6" i="152"/>
  <c r="O62" i="152"/>
  <c r="O118" i="152"/>
  <c r="O214" i="144"/>
  <c r="O158" i="144"/>
  <c r="O46" i="144"/>
  <c r="O102" i="144"/>
  <c r="O157" i="152"/>
  <c r="O101" i="152"/>
  <c r="O45" i="152"/>
  <c r="O213" i="152"/>
  <c r="O61" i="144"/>
  <c r="O117" i="144"/>
  <c r="O173" i="144"/>
  <c r="O5" i="144"/>
  <c r="P82" i="152"/>
  <c r="P26" i="152"/>
  <c r="P138" i="152"/>
  <c r="P194" i="152"/>
  <c r="N229" i="134"/>
  <c r="N207" i="144"/>
  <c r="N215" i="144" s="1"/>
  <c r="N151" i="144"/>
  <c r="N159" i="144" s="1"/>
  <c r="N95" i="144"/>
  <c r="N103" i="144" s="1"/>
  <c r="N39" i="144"/>
  <c r="N47" i="144" s="1"/>
  <c r="O79" i="152"/>
  <c r="O23" i="152"/>
  <c r="O191" i="152"/>
  <c r="O135" i="152"/>
  <c r="P138" i="144"/>
  <c r="P194" i="144"/>
  <c r="P82" i="144"/>
  <c r="P26" i="144"/>
  <c r="O152" i="152"/>
  <c r="O40" i="152"/>
  <c r="O96" i="152"/>
  <c r="O208" i="152"/>
  <c r="P98" i="144"/>
  <c r="P42" i="144"/>
  <c r="P154" i="144"/>
  <c r="P210" i="144"/>
  <c r="O66" i="152"/>
  <c r="O178" i="152"/>
  <c r="O122" i="152"/>
  <c r="O10" i="152"/>
  <c r="O209" i="144"/>
  <c r="O41" i="144"/>
  <c r="O97" i="144"/>
  <c r="O153" i="144"/>
  <c r="O5" i="152"/>
  <c r="O117" i="152"/>
  <c r="O61" i="152"/>
  <c r="O173" i="152"/>
  <c r="O209" i="152"/>
  <c r="O41" i="152"/>
  <c r="O153" i="152"/>
  <c r="O97" i="152"/>
  <c r="O211" i="147"/>
  <c r="N95" i="152"/>
  <c r="N103" i="152" s="1"/>
  <c r="N151" i="152"/>
  <c r="N159" i="152" s="1"/>
  <c r="N207" i="152"/>
  <c r="N215" i="152" s="1"/>
  <c r="N39" i="152"/>
  <c r="N47" i="152" s="1"/>
  <c r="O83" i="152"/>
  <c r="O139" i="152"/>
  <c r="O195" i="152"/>
  <c r="O27" i="152"/>
  <c r="O190" i="152"/>
  <c r="O78" i="152"/>
  <c r="O22" i="152"/>
  <c r="O134" i="152"/>
  <c r="P171" i="144"/>
  <c r="P59" i="144"/>
  <c r="P115" i="144"/>
  <c r="P3" i="144"/>
  <c r="O63" i="144"/>
  <c r="O7" i="144"/>
  <c r="O119" i="144"/>
  <c r="O175" i="144"/>
  <c r="R70" i="137"/>
  <c r="O177" i="152"/>
  <c r="O121" i="152"/>
  <c r="O65" i="152"/>
  <c r="O9" i="152"/>
  <c r="O84" i="152"/>
  <c r="O28" i="152"/>
  <c r="O140" i="152"/>
  <c r="O196" i="152"/>
  <c r="O100" i="152"/>
  <c r="O212" i="152"/>
  <c r="O156" i="152"/>
  <c r="O44" i="152"/>
  <c r="O177" i="144"/>
  <c r="O121" i="144"/>
  <c r="O9" i="144"/>
  <c r="O65" i="144"/>
  <c r="O213" i="144"/>
  <c r="O157" i="144"/>
  <c r="O45" i="144"/>
  <c r="O101" i="144"/>
  <c r="O80" i="144"/>
  <c r="O24" i="144"/>
  <c r="O136" i="144"/>
  <c r="O192" i="144"/>
  <c r="O172" i="144"/>
  <c r="O4" i="144"/>
  <c r="O116" i="144"/>
  <c r="O60" i="144"/>
  <c r="O64" i="144"/>
  <c r="O8" i="144"/>
  <c r="O120" i="144"/>
  <c r="O176" i="144"/>
  <c r="O120" i="152"/>
  <c r="O64" i="152"/>
  <c r="O176" i="152"/>
  <c r="O8" i="152"/>
  <c r="P98" i="152"/>
  <c r="P154" i="152"/>
  <c r="P210" i="152"/>
  <c r="P42" i="152"/>
  <c r="O191" i="144"/>
  <c r="O79" i="144"/>
  <c r="O23" i="144"/>
  <c r="O135" i="144"/>
  <c r="O78" i="144"/>
  <c r="O22" i="144"/>
  <c r="O190" i="144"/>
  <c r="O134" i="144"/>
  <c r="O118" i="144"/>
  <c r="O174" i="144"/>
  <c r="O6" i="144"/>
  <c r="O62" i="144"/>
  <c r="O196" i="144"/>
  <c r="O140" i="144"/>
  <c r="O84" i="144"/>
  <c r="O28" i="144"/>
  <c r="O44" i="144"/>
  <c r="O156" i="144"/>
  <c r="O212" i="144"/>
  <c r="O100" i="144"/>
  <c r="O214" i="152"/>
  <c r="O158" i="152"/>
  <c r="O102" i="152"/>
  <c r="O46" i="152"/>
  <c r="O211" i="152"/>
  <c r="O155" i="152"/>
  <c r="O43" i="152"/>
  <c r="O99" i="152"/>
  <c r="O211" i="144"/>
  <c r="O155" i="144"/>
  <c r="O43" i="144"/>
  <c r="O99" i="144"/>
  <c r="O63" i="152"/>
  <c r="O175" i="152"/>
  <c r="O119" i="152"/>
  <c r="O7" i="152"/>
  <c r="R75" i="138"/>
  <c r="S34" i="137"/>
  <c r="Q70" i="147"/>
  <c r="Q72" i="147" s="1"/>
  <c r="Q70" i="138"/>
  <c r="O71" i="134"/>
  <c r="R58" i="138"/>
  <c r="P65" i="147"/>
  <c r="P68" i="134"/>
  <c r="R51" i="147"/>
  <c r="Q56" i="134"/>
  <c r="R68" i="138"/>
  <c r="T55" i="137"/>
  <c r="S210" i="138"/>
  <c r="S91" i="137"/>
  <c r="P226" i="134"/>
  <c r="R197" i="147"/>
  <c r="Q214" i="134"/>
  <c r="R224" i="138"/>
  <c r="P63" i="134"/>
  <c r="T57" i="137"/>
  <c r="S212" i="138"/>
  <c r="S93" i="137"/>
  <c r="S193" i="147"/>
  <c r="S220" i="138"/>
  <c r="R210" i="134"/>
  <c r="Q209" i="147"/>
  <c r="R47" i="147"/>
  <c r="Q52" i="134"/>
  <c r="R64" i="138"/>
  <c r="P222" i="134"/>
  <c r="T44" i="137"/>
  <c r="S80" i="137"/>
  <c r="S133" i="138"/>
  <c r="P224" i="134"/>
  <c r="T79" i="137"/>
  <c r="U43" i="137"/>
  <c r="T132" i="138"/>
  <c r="Q204" i="147"/>
  <c r="S209" i="138"/>
  <c r="S90" i="137"/>
  <c r="T54" i="137"/>
  <c r="T30" i="137"/>
  <c r="S53" i="138"/>
  <c r="S66" i="137"/>
  <c r="S211" i="138"/>
  <c r="S92" i="137"/>
  <c r="T56" i="137"/>
  <c r="R196" i="147"/>
  <c r="Q213" i="134"/>
  <c r="R223" i="138"/>
  <c r="Q130" i="147"/>
  <c r="Q60" i="147"/>
  <c r="R45" i="147"/>
  <c r="R62" i="138"/>
  <c r="Q50" i="134"/>
  <c r="P69" i="134"/>
  <c r="Q207" i="147"/>
  <c r="S68" i="137"/>
  <c r="S55" i="138"/>
  <c r="T32" i="137"/>
  <c r="T29" i="137"/>
  <c r="S52" i="138"/>
  <c r="S65" i="137"/>
  <c r="Q206" i="147"/>
  <c r="S122" i="147"/>
  <c r="S144" i="138"/>
  <c r="R133" i="134"/>
  <c r="R120" i="147"/>
  <c r="R142" i="138"/>
  <c r="Q131" i="134"/>
  <c r="R191" i="147"/>
  <c r="Q208" i="134"/>
  <c r="R218" i="138"/>
  <c r="P65" i="134"/>
  <c r="T28" i="137"/>
  <c r="S64" i="137"/>
  <c r="S51" i="138"/>
  <c r="Q62" i="147"/>
  <c r="Q132" i="147"/>
  <c r="R219" i="138"/>
  <c r="Q209" i="134"/>
  <c r="R192" i="147"/>
  <c r="P143" i="134"/>
  <c r="P225" i="134"/>
  <c r="T208" i="138"/>
  <c r="U53" i="137"/>
  <c r="T89" i="137"/>
  <c r="S75" i="137"/>
  <c r="S128" i="138"/>
  <c r="T39" i="137"/>
  <c r="R49" i="147"/>
  <c r="Q54" i="134"/>
  <c r="R66" i="138"/>
  <c r="P67" i="134"/>
  <c r="Q59" i="147"/>
  <c r="R46" i="147"/>
  <c r="Q51" i="134"/>
  <c r="R63" i="138"/>
  <c r="P199" i="147"/>
  <c r="P202" i="147"/>
  <c r="P216" i="147"/>
  <c r="P218" i="147" s="1"/>
  <c r="Q223" i="134"/>
  <c r="R119" i="147"/>
  <c r="R141" i="138"/>
  <c r="Q130" i="134"/>
  <c r="T33" i="137"/>
  <c r="S69" i="137"/>
  <c r="S56" i="138"/>
  <c r="S50" i="137"/>
  <c r="R58" i="137"/>
  <c r="R86" i="137"/>
  <c r="R94" i="137" s="1"/>
  <c r="R205" i="138"/>
  <c r="T40" i="137"/>
  <c r="S129" i="138"/>
  <c r="S76" i="137"/>
  <c r="Q57" i="147"/>
  <c r="Q63" i="147"/>
  <c r="Q55" i="134"/>
  <c r="R67" i="138"/>
  <c r="R50" i="147"/>
  <c r="P147" i="134"/>
  <c r="Q58" i="147"/>
  <c r="Q146" i="134"/>
  <c r="Q208" i="147"/>
  <c r="P66" i="134"/>
  <c r="Q231" i="138"/>
  <c r="P207" i="134"/>
  <c r="Q190" i="147"/>
  <c r="Q217" i="138"/>
  <c r="Q226" i="138" s="1"/>
  <c r="Q214" i="138"/>
  <c r="P76" i="134"/>
  <c r="P78" i="134" s="1"/>
  <c r="R123" i="147"/>
  <c r="R145" i="138"/>
  <c r="Q134" i="134"/>
  <c r="P227" i="134"/>
  <c r="Q61" i="147"/>
  <c r="Q53" i="147"/>
  <c r="P64" i="134"/>
  <c r="S81" i="137"/>
  <c r="T45" i="137"/>
  <c r="S134" i="138"/>
  <c r="P148" i="134"/>
  <c r="Q136" i="147"/>
  <c r="R48" i="147"/>
  <c r="Q53" i="134"/>
  <c r="R65" i="138"/>
  <c r="T52" i="137"/>
  <c r="S88" i="137"/>
  <c r="S207" i="138"/>
  <c r="Q212" i="134"/>
  <c r="R195" i="147"/>
  <c r="R222" i="138"/>
  <c r="R205" i="147"/>
  <c r="R134" i="147"/>
  <c r="P58" i="134"/>
  <c r="P142" i="134"/>
  <c r="Q131" i="147"/>
  <c r="S63" i="137"/>
  <c r="S50" i="138"/>
  <c r="T27" i="137"/>
  <c r="R118" i="147"/>
  <c r="R140" i="138"/>
  <c r="Q129" i="134"/>
  <c r="S77" i="137"/>
  <c r="S130" i="138"/>
  <c r="T41" i="137"/>
  <c r="S206" i="138"/>
  <c r="S87" i="137"/>
  <c r="T51" i="137"/>
  <c r="S54" i="138"/>
  <c r="S67" i="137"/>
  <c r="S70" i="137" s="1"/>
  <c r="T31" i="137"/>
  <c r="Q203" i="147"/>
  <c r="Q135" i="147"/>
  <c r="P221" i="134"/>
  <c r="R194" i="147"/>
  <c r="Q211" i="134"/>
  <c r="R221" i="138"/>
  <c r="P144" i="134"/>
  <c r="R124" i="147"/>
  <c r="Q135" i="134"/>
  <c r="R146" i="138"/>
  <c r="O234" i="134"/>
  <c r="O236" i="134" s="1"/>
  <c r="O220" i="134"/>
  <c r="O216" i="134"/>
  <c r="R56" i="147"/>
  <c r="S44" i="147"/>
  <c r="Q62" i="134"/>
  <c r="T49" i="138"/>
  <c r="T62" i="137"/>
  <c r="U26" i="137"/>
  <c r="S61" i="138"/>
  <c r="R49" i="134"/>
  <c r="J46" i="137"/>
  <c r="O67" i="144" l="1"/>
  <c r="O123" i="144"/>
  <c r="O11" i="144"/>
  <c r="O67" i="152"/>
  <c r="O179" i="152"/>
  <c r="O11" i="152"/>
  <c r="O179" i="144"/>
  <c r="O123" i="152"/>
  <c r="P43" i="144"/>
  <c r="P211" i="144"/>
  <c r="P99" i="144"/>
  <c r="P155" i="144"/>
  <c r="P190" i="152"/>
  <c r="P78" i="152"/>
  <c r="P22" i="152"/>
  <c r="P134" i="152"/>
  <c r="Q171" i="144"/>
  <c r="Q3" i="144"/>
  <c r="Q59" i="144"/>
  <c r="Q115" i="144"/>
  <c r="P63" i="144"/>
  <c r="P119" i="144"/>
  <c r="P7" i="144"/>
  <c r="P175" i="144"/>
  <c r="Q82" i="144"/>
  <c r="Q26" i="144"/>
  <c r="Q138" i="144"/>
  <c r="Q194" i="144"/>
  <c r="P43" i="152"/>
  <c r="P211" i="152"/>
  <c r="P155" i="152"/>
  <c r="P99" i="152"/>
  <c r="P140" i="144"/>
  <c r="P84" i="144"/>
  <c r="P196" i="144"/>
  <c r="P28" i="144"/>
  <c r="P211" i="147"/>
  <c r="O95" i="152"/>
  <c r="O103" i="152" s="1"/>
  <c r="O151" i="152"/>
  <c r="O159" i="152" s="1"/>
  <c r="O207" i="152"/>
  <c r="O215" i="152" s="1"/>
  <c r="O39" i="152"/>
  <c r="O47" i="152" s="1"/>
  <c r="P78" i="144"/>
  <c r="P22" i="144"/>
  <c r="P134" i="144"/>
  <c r="P190" i="144"/>
  <c r="P152" i="144"/>
  <c r="P96" i="144"/>
  <c r="P208" i="144"/>
  <c r="P40" i="144"/>
  <c r="P64" i="152"/>
  <c r="P176" i="152"/>
  <c r="P8" i="152"/>
  <c r="P120" i="152"/>
  <c r="P60" i="152"/>
  <c r="P4" i="152"/>
  <c r="P116" i="152"/>
  <c r="P172" i="152"/>
  <c r="P100" i="152"/>
  <c r="P212" i="152"/>
  <c r="P156" i="152"/>
  <c r="P44" i="152"/>
  <c r="P7" i="152"/>
  <c r="P119" i="152"/>
  <c r="P175" i="152"/>
  <c r="P63" i="152"/>
  <c r="P153" i="144"/>
  <c r="P209" i="144"/>
  <c r="P41" i="144"/>
  <c r="P97" i="144"/>
  <c r="Q59" i="152"/>
  <c r="Q3" i="152"/>
  <c r="Q171" i="152"/>
  <c r="Q115" i="152"/>
  <c r="P177" i="144"/>
  <c r="P121" i="144"/>
  <c r="P9" i="144"/>
  <c r="P65" i="144"/>
  <c r="P84" i="152"/>
  <c r="P196" i="152"/>
  <c r="P28" i="152"/>
  <c r="P140" i="152"/>
  <c r="Q42" i="144"/>
  <c r="Q154" i="144"/>
  <c r="Q98" i="144"/>
  <c r="Q210" i="144"/>
  <c r="P136" i="152"/>
  <c r="P80" i="152"/>
  <c r="P192" i="152"/>
  <c r="P24" i="152"/>
  <c r="P117" i="144"/>
  <c r="P173" i="144"/>
  <c r="P5" i="144"/>
  <c r="P61" i="144"/>
  <c r="P121" i="152"/>
  <c r="P177" i="152"/>
  <c r="P9" i="152"/>
  <c r="P65" i="152"/>
  <c r="P10" i="152"/>
  <c r="P66" i="152"/>
  <c r="P122" i="152"/>
  <c r="P178" i="152"/>
  <c r="P195" i="152"/>
  <c r="P83" i="152"/>
  <c r="P139" i="152"/>
  <c r="P27" i="152"/>
  <c r="Q194" i="152"/>
  <c r="Q138" i="152"/>
  <c r="Q26" i="152"/>
  <c r="Q82" i="152"/>
  <c r="P214" i="144"/>
  <c r="P102" i="144"/>
  <c r="P158" i="144"/>
  <c r="P46" i="144"/>
  <c r="P118" i="152"/>
  <c r="P6" i="152"/>
  <c r="P62" i="152"/>
  <c r="P174" i="152"/>
  <c r="P66" i="144"/>
  <c r="P178" i="144"/>
  <c r="P122" i="144"/>
  <c r="P10" i="144"/>
  <c r="O229" i="134"/>
  <c r="O207" i="144"/>
  <c r="O215" i="144" s="1"/>
  <c r="O151" i="144"/>
  <c r="O159" i="144" s="1"/>
  <c r="O95" i="144"/>
  <c r="O103" i="144" s="1"/>
  <c r="O39" i="144"/>
  <c r="P214" i="152"/>
  <c r="P158" i="152"/>
  <c r="P46" i="152"/>
  <c r="P102" i="152"/>
  <c r="P157" i="152"/>
  <c r="P101" i="152"/>
  <c r="P213" i="152"/>
  <c r="P45" i="152"/>
  <c r="P44" i="144"/>
  <c r="P100" i="144"/>
  <c r="P212" i="144"/>
  <c r="P156" i="144"/>
  <c r="P191" i="144"/>
  <c r="P79" i="144"/>
  <c r="P23" i="144"/>
  <c r="P135" i="144"/>
  <c r="P61" i="152"/>
  <c r="P117" i="152"/>
  <c r="P173" i="152"/>
  <c r="P5" i="152"/>
  <c r="P195" i="144"/>
  <c r="P83" i="144"/>
  <c r="P27" i="144"/>
  <c r="P139" i="144"/>
  <c r="P192" i="144"/>
  <c r="P80" i="144"/>
  <c r="P24" i="144"/>
  <c r="P136" i="144"/>
  <c r="P191" i="152"/>
  <c r="P79" i="152"/>
  <c r="P135" i="152"/>
  <c r="P23" i="152"/>
  <c r="P172" i="144"/>
  <c r="P179" i="144" s="1"/>
  <c r="P4" i="144"/>
  <c r="P116" i="144"/>
  <c r="P60" i="144"/>
  <c r="P209" i="152"/>
  <c r="P41" i="152"/>
  <c r="P153" i="152"/>
  <c r="P97" i="152"/>
  <c r="P152" i="152"/>
  <c r="P208" i="152"/>
  <c r="P96" i="152"/>
  <c r="P40" i="152"/>
  <c r="Q98" i="152"/>
  <c r="Q154" i="152"/>
  <c r="Q210" i="152"/>
  <c r="Q42" i="152"/>
  <c r="P64" i="144"/>
  <c r="P176" i="144"/>
  <c r="P8" i="144"/>
  <c r="P120" i="144"/>
  <c r="P62" i="144"/>
  <c r="P118" i="144"/>
  <c r="P174" i="144"/>
  <c r="P6" i="144"/>
  <c r="P213" i="144"/>
  <c r="P45" i="144"/>
  <c r="P157" i="144"/>
  <c r="P101" i="144"/>
  <c r="S75" i="138"/>
  <c r="R70" i="147"/>
  <c r="R72" i="147" s="1"/>
  <c r="Q65" i="147"/>
  <c r="T34" i="137"/>
  <c r="P71" i="134"/>
  <c r="Q76" i="134"/>
  <c r="Q78" i="134" s="1"/>
  <c r="R70" i="138"/>
  <c r="V53" i="137"/>
  <c r="U208" i="138"/>
  <c r="U89" i="137"/>
  <c r="R203" i="147"/>
  <c r="V43" i="137"/>
  <c r="U132" i="138"/>
  <c r="U79" i="137"/>
  <c r="Q216" i="147"/>
  <c r="Q218" i="147" s="1"/>
  <c r="Q202" i="147"/>
  <c r="Q199" i="147"/>
  <c r="R204" i="147"/>
  <c r="Q64" i="134"/>
  <c r="R146" i="134"/>
  <c r="Q58" i="134"/>
  <c r="T81" i="137"/>
  <c r="T134" i="138"/>
  <c r="U45" i="137"/>
  <c r="U40" i="137"/>
  <c r="T129" i="138"/>
  <c r="T76" i="137"/>
  <c r="O47" i="144"/>
  <c r="S134" i="147"/>
  <c r="R209" i="147"/>
  <c r="Q148" i="134"/>
  <c r="Q226" i="134"/>
  <c r="T80" i="137"/>
  <c r="T133" i="138"/>
  <c r="U44" i="137"/>
  <c r="R53" i="147"/>
  <c r="R136" i="147"/>
  <c r="S120" i="147"/>
  <c r="S142" i="138"/>
  <c r="R131" i="134"/>
  <c r="Q225" i="134"/>
  <c r="R208" i="147"/>
  <c r="S219" i="138"/>
  <c r="R209" i="134"/>
  <c r="S192" i="147"/>
  <c r="S86" i="137"/>
  <c r="S94" i="137" s="1"/>
  <c r="S205" i="138"/>
  <c r="S58" i="137"/>
  <c r="T50" i="137"/>
  <c r="R51" i="134"/>
  <c r="S46" i="147"/>
  <c r="S63" i="138"/>
  <c r="R52" i="134"/>
  <c r="S47" i="147"/>
  <c r="S64" i="138"/>
  <c r="U56" i="137"/>
  <c r="T92" i="137"/>
  <c r="T211" i="138"/>
  <c r="S222" i="138"/>
  <c r="S195" i="147"/>
  <c r="R212" i="134"/>
  <c r="S205" i="147"/>
  <c r="T122" i="147"/>
  <c r="T144" i="138"/>
  <c r="S133" i="134"/>
  <c r="S119" i="147"/>
  <c r="S141" i="138"/>
  <c r="R130" i="134"/>
  <c r="R58" i="147"/>
  <c r="S123" i="147"/>
  <c r="S145" i="138"/>
  <c r="R134" i="134"/>
  <c r="S191" i="147"/>
  <c r="R208" i="134"/>
  <c r="S218" i="138"/>
  <c r="U41" i="137"/>
  <c r="T77" i="137"/>
  <c r="T130" i="138"/>
  <c r="U52" i="137"/>
  <c r="T207" i="138"/>
  <c r="T88" i="137"/>
  <c r="R61" i="147"/>
  <c r="T51" i="138"/>
  <c r="U28" i="137"/>
  <c r="T64" i="137"/>
  <c r="T68" i="137"/>
  <c r="T55" i="138"/>
  <c r="U32" i="137"/>
  <c r="S196" i="147"/>
  <c r="S223" i="138"/>
  <c r="R213" i="134"/>
  <c r="Q65" i="134"/>
  <c r="T220" i="138"/>
  <c r="T193" i="147"/>
  <c r="S210" i="134"/>
  <c r="R211" i="134"/>
  <c r="S221" i="138"/>
  <c r="S194" i="147"/>
  <c r="Q222" i="134"/>
  <c r="T65" i="137"/>
  <c r="T52" i="138"/>
  <c r="U29" i="137"/>
  <c r="U33" i="137"/>
  <c r="T56" i="138"/>
  <c r="T69" i="137"/>
  <c r="T75" i="137"/>
  <c r="U39" i="137"/>
  <c r="T128" i="138"/>
  <c r="R55" i="134"/>
  <c r="S50" i="147"/>
  <c r="S67" i="138"/>
  <c r="R59" i="147"/>
  <c r="Q69" i="134"/>
  <c r="Q68" i="134"/>
  <c r="Q63" i="134"/>
  <c r="R132" i="147"/>
  <c r="S124" i="147"/>
  <c r="S146" i="138"/>
  <c r="R135" i="134"/>
  <c r="R217" i="138"/>
  <c r="R226" i="138" s="1"/>
  <c r="R231" i="138"/>
  <c r="R190" i="147"/>
  <c r="Q207" i="134"/>
  <c r="R214" i="138"/>
  <c r="R207" i="147"/>
  <c r="U55" i="137"/>
  <c r="T210" i="138"/>
  <c r="T91" i="137"/>
  <c r="R206" i="147"/>
  <c r="U27" i="137"/>
  <c r="T63" i="137"/>
  <c r="T50" i="138"/>
  <c r="Q66" i="134"/>
  <c r="Q147" i="134"/>
  <c r="Q143" i="134"/>
  <c r="S118" i="147"/>
  <c r="R129" i="134"/>
  <c r="S140" i="138"/>
  <c r="R53" i="134"/>
  <c r="S65" i="138"/>
  <c r="S48" i="147"/>
  <c r="R63" i="147"/>
  <c r="R56" i="134"/>
  <c r="S51" i="147"/>
  <c r="S68" i="138"/>
  <c r="T66" i="137"/>
  <c r="T53" i="138"/>
  <c r="U30" i="137"/>
  <c r="Q144" i="134"/>
  <c r="R214" i="134"/>
  <c r="S197" i="147"/>
  <c r="S224" i="138"/>
  <c r="R57" i="147"/>
  <c r="U57" i="137"/>
  <c r="T93" i="137"/>
  <c r="T212" i="138"/>
  <c r="T54" i="138"/>
  <c r="T67" i="137"/>
  <c r="U31" i="137"/>
  <c r="R54" i="134"/>
  <c r="S49" i="147"/>
  <c r="S66" i="138"/>
  <c r="P216" i="134"/>
  <c r="P234" i="134"/>
  <c r="P236" i="134" s="1"/>
  <c r="P220" i="134"/>
  <c r="T206" i="138"/>
  <c r="U51" i="137"/>
  <c r="T87" i="137"/>
  <c r="Q227" i="134"/>
  <c r="Q142" i="134"/>
  <c r="Q67" i="134"/>
  <c r="S58" i="138"/>
  <c r="Q224" i="134"/>
  <c r="R130" i="147"/>
  <c r="S62" i="138"/>
  <c r="R50" i="134"/>
  <c r="S45" i="147"/>
  <c r="R60" i="147"/>
  <c r="R135" i="147"/>
  <c r="R62" i="147"/>
  <c r="R131" i="147"/>
  <c r="Q221" i="134"/>
  <c r="T209" i="138"/>
  <c r="U54" i="137"/>
  <c r="T90" i="137"/>
  <c r="R223" i="134"/>
  <c r="S56" i="147"/>
  <c r="T44" i="147"/>
  <c r="R62" i="134"/>
  <c r="U62" i="137"/>
  <c r="U49" i="138"/>
  <c r="V26" i="137"/>
  <c r="T61" i="138"/>
  <c r="S49" i="134"/>
  <c r="K46" i="137"/>
  <c r="N38" i="137"/>
  <c r="P179" i="152" l="1"/>
  <c r="P67" i="152"/>
  <c r="P67" i="144"/>
  <c r="P123" i="152"/>
  <c r="P123" i="144"/>
  <c r="P11" i="152"/>
  <c r="P11" i="144"/>
  <c r="Q211" i="144"/>
  <c r="Q99" i="144"/>
  <c r="Q43" i="144"/>
  <c r="Q155" i="144"/>
  <c r="Q121" i="144"/>
  <c r="Q9" i="144"/>
  <c r="Q177" i="144"/>
  <c r="Q65" i="144"/>
  <c r="Q120" i="144"/>
  <c r="Q64" i="144"/>
  <c r="Q176" i="144"/>
  <c r="Q8" i="144"/>
  <c r="Q196" i="144"/>
  <c r="Q84" i="144"/>
  <c r="Q140" i="144"/>
  <c r="Q28" i="144"/>
  <c r="Q214" i="144"/>
  <c r="Q102" i="144"/>
  <c r="Q158" i="144"/>
  <c r="Q46" i="144"/>
  <c r="R59" i="152"/>
  <c r="R3" i="152"/>
  <c r="R115" i="152"/>
  <c r="R171" i="152"/>
  <c r="Q212" i="152"/>
  <c r="Q44" i="152"/>
  <c r="Q100" i="152"/>
  <c r="Q156" i="152"/>
  <c r="Q179" i="152"/>
  <c r="R210" i="152"/>
  <c r="R98" i="152"/>
  <c r="R154" i="152"/>
  <c r="R42" i="152"/>
  <c r="Q156" i="144"/>
  <c r="Q44" i="144"/>
  <c r="Q100" i="144"/>
  <c r="Q212" i="144"/>
  <c r="R138" i="144"/>
  <c r="R82" i="144"/>
  <c r="R26" i="144"/>
  <c r="R194" i="144"/>
  <c r="Q173" i="144"/>
  <c r="Q5" i="144"/>
  <c r="Q117" i="144"/>
  <c r="Q61" i="144"/>
  <c r="Q153" i="152"/>
  <c r="Q209" i="152"/>
  <c r="Q41" i="152"/>
  <c r="Q97" i="152"/>
  <c r="Q78" i="152"/>
  <c r="Q190" i="152"/>
  <c r="Q22" i="152"/>
  <c r="Q134" i="152"/>
  <c r="Q195" i="144"/>
  <c r="Q27" i="144"/>
  <c r="Q83" i="144"/>
  <c r="Q139" i="144"/>
  <c r="Q116" i="152"/>
  <c r="Q172" i="152"/>
  <c r="Q60" i="152"/>
  <c r="Q4" i="152"/>
  <c r="Q118" i="144"/>
  <c r="Q174" i="144"/>
  <c r="Q62" i="144"/>
  <c r="Q6" i="144"/>
  <c r="Q190" i="144"/>
  <c r="Q134" i="144"/>
  <c r="Q78" i="144"/>
  <c r="Q22" i="144"/>
  <c r="R59" i="144"/>
  <c r="R3" i="144"/>
  <c r="R171" i="144"/>
  <c r="R115" i="144"/>
  <c r="Q192" i="144"/>
  <c r="Q80" i="144"/>
  <c r="Q24" i="144"/>
  <c r="Q136" i="144"/>
  <c r="Q173" i="152"/>
  <c r="Q61" i="152"/>
  <c r="Q117" i="152"/>
  <c r="Q5" i="152"/>
  <c r="R42" i="144"/>
  <c r="R154" i="144"/>
  <c r="R210" i="144"/>
  <c r="R98" i="144"/>
  <c r="Q178" i="152"/>
  <c r="Q10" i="152"/>
  <c r="Q66" i="152"/>
  <c r="Q122" i="152"/>
  <c r="Q123" i="152" s="1"/>
  <c r="Q23" i="152"/>
  <c r="Q135" i="152"/>
  <c r="Q79" i="152"/>
  <c r="Q191" i="152"/>
  <c r="Q101" i="152"/>
  <c r="Q157" i="152"/>
  <c r="Q213" i="152"/>
  <c r="Q45" i="152"/>
  <c r="Q121" i="152"/>
  <c r="Q177" i="152"/>
  <c r="Q65" i="152"/>
  <c r="Q9" i="152"/>
  <c r="Q7" i="152"/>
  <c r="Q63" i="152"/>
  <c r="Q119" i="152"/>
  <c r="Q175" i="152"/>
  <c r="Q84" i="152"/>
  <c r="Q196" i="152"/>
  <c r="Q140" i="152"/>
  <c r="Q28" i="152"/>
  <c r="Q172" i="144"/>
  <c r="Q60" i="144"/>
  <c r="Q4" i="144"/>
  <c r="Q116" i="144"/>
  <c r="Q63" i="144"/>
  <c r="Q119" i="144"/>
  <c r="Q175" i="144"/>
  <c r="Q7" i="144"/>
  <c r="Q66" i="144"/>
  <c r="Q178" i="144"/>
  <c r="Q122" i="144"/>
  <c r="Q10" i="144"/>
  <c r="Q6" i="152"/>
  <c r="Q62" i="152"/>
  <c r="Q118" i="152"/>
  <c r="Q174" i="152"/>
  <c r="Q45" i="144"/>
  <c r="Q157" i="144"/>
  <c r="Q101" i="144"/>
  <c r="Q213" i="144"/>
  <c r="Q208" i="152"/>
  <c r="Q96" i="152"/>
  <c r="Q152" i="152"/>
  <c r="Q40" i="152"/>
  <c r="Q43" i="152"/>
  <c r="Q155" i="152"/>
  <c r="Q99" i="152"/>
  <c r="Q211" i="152"/>
  <c r="Q158" i="152"/>
  <c r="Q214" i="152"/>
  <c r="Q46" i="152"/>
  <c r="Q102" i="152"/>
  <c r="R194" i="152"/>
  <c r="R138" i="152"/>
  <c r="R82" i="152"/>
  <c r="R26" i="152"/>
  <c r="P229" i="134"/>
  <c r="P207" i="144"/>
  <c r="P215" i="144" s="1"/>
  <c r="P151" i="144"/>
  <c r="P159" i="144" s="1"/>
  <c r="P95" i="144"/>
  <c r="P103" i="144" s="1"/>
  <c r="P39" i="144"/>
  <c r="P47" i="144" s="1"/>
  <c r="Q179" i="144"/>
  <c r="Q208" i="144"/>
  <c r="Q152" i="144"/>
  <c r="Q96" i="144"/>
  <c r="Q40" i="144"/>
  <c r="Q64" i="152"/>
  <c r="Q176" i="152"/>
  <c r="Q8" i="152"/>
  <c r="Q120" i="152"/>
  <c r="Q195" i="152"/>
  <c r="Q139" i="152"/>
  <c r="Q83" i="152"/>
  <c r="Q27" i="152"/>
  <c r="Q153" i="144"/>
  <c r="Q209" i="144"/>
  <c r="Q41" i="144"/>
  <c r="Q97" i="144"/>
  <c r="Q79" i="144"/>
  <c r="Q23" i="144"/>
  <c r="Q135" i="144"/>
  <c r="Q191" i="144"/>
  <c r="Q80" i="152"/>
  <c r="Q24" i="152"/>
  <c r="Q136" i="152"/>
  <c r="Q192" i="152"/>
  <c r="Q211" i="147"/>
  <c r="P95" i="152"/>
  <c r="P103" i="152" s="1"/>
  <c r="P151" i="152"/>
  <c r="P159" i="152" s="1"/>
  <c r="P39" i="152"/>
  <c r="P47" i="152" s="1"/>
  <c r="P207" i="152"/>
  <c r="P215" i="152" s="1"/>
  <c r="S70" i="138"/>
  <c r="S70" i="147"/>
  <c r="S72" i="147" s="1"/>
  <c r="U34" i="137"/>
  <c r="T58" i="138"/>
  <c r="R58" i="134"/>
  <c r="Q71" i="134"/>
  <c r="R65" i="147"/>
  <c r="T70" i="137"/>
  <c r="U69" i="137"/>
  <c r="U56" i="138"/>
  <c r="V33" i="137"/>
  <c r="T86" i="137"/>
  <c r="T94" i="137" s="1"/>
  <c r="U50" i="137"/>
  <c r="T205" i="138"/>
  <c r="T58" i="137"/>
  <c r="S52" i="134"/>
  <c r="T47" i="147"/>
  <c r="T64" i="138"/>
  <c r="S54" i="134"/>
  <c r="T49" i="147"/>
  <c r="T66" i="138"/>
  <c r="U207" i="138"/>
  <c r="U88" i="137"/>
  <c r="V52" i="137"/>
  <c r="S211" i="134"/>
  <c r="T194" i="147"/>
  <c r="T221" i="138"/>
  <c r="R66" i="134"/>
  <c r="T205" i="147"/>
  <c r="V41" i="137"/>
  <c r="U130" i="138"/>
  <c r="U77" i="137"/>
  <c r="U122" i="147"/>
  <c r="T133" i="134"/>
  <c r="U144" i="138"/>
  <c r="R144" i="134"/>
  <c r="V132" i="138"/>
  <c r="W43" i="137"/>
  <c r="V79" i="137"/>
  <c r="S130" i="147"/>
  <c r="R221" i="134"/>
  <c r="S62" i="147"/>
  <c r="S203" i="147"/>
  <c r="U92" i="137"/>
  <c r="U211" i="138"/>
  <c r="V56" i="137"/>
  <c r="S132" i="147"/>
  <c r="T119" i="147"/>
  <c r="T141" i="138"/>
  <c r="S130" i="134"/>
  <c r="S57" i="147"/>
  <c r="U50" i="138"/>
  <c r="U63" i="137"/>
  <c r="V27" i="137"/>
  <c r="V29" i="137"/>
  <c r="U65" i="137"/>
  <c r="U52" i="138"/>
  <c r="R67" i="134"/>
  <c r="S204" i="147"/>
  <c r="S207" i="147"/>
  <c r="R142" i="134"/>
  <c r="R148" i="134"/>
  <c r="R147" i="134"/>
  <c r="R227" i="134"/>
  <c r="T118" i="147"/>
  <c r="T140" i="138"/>
  <c r="S129" i="134"/>
  <c r="S59" i="147"/>
  <c r="U81" i="137"/>
  <c r="V45" i="137"/>
  <c r="U134" i="138"/>
  <c r="S206" i="147"/>
  <c r="U209" i="138"/>
  <c r="U90" i="137"/>
  <c r="V54" i="137"/>
  <c r="R202" i="147"/>
  <c r="R199" i="147"/>
  <c r="R216" i="147"/>
  <c r="R218" i="147" s="1"/>
  <c r="T223" i="138"/>
  <c r="S213" i="134"/>
  <c r="T196" i="147"/>
  <c r="S136" i="147"/>
  <c r="V39" i="137"/>
  <c r="U128" i="138"/>
  <c r="U75" i="137"/>
  <c r="S208" i="147"/>
  <c r="S135" i="147"/>
  <c r="R65" i="134"/>
  <c r="T124" i="147"/>
  <c r="T146" i="138"/>
  <c r="S135" i="134"/>
  <c r="U64" i="137"/>
  <c r="U51" i="138"/>
  <c r="V28" i="137"/>
  <c r="S146" i="134"/>
  <c r="S217" i="138"/>
  <c r="S226" i="138" s="1"/>
  <c r="R207" i="134"/>
  <c r="S214" i="138"/>
  <c r="S190" i="147"/>
  <c r="S231" i="138"/>
  <c r="S63" i="147"/>
  <c r="T134" i="147"/>
  <c r="V31" i="137"/>
  <c r="U54" i="138"/>
  <c r="U67" i="137"/>
  <c r="R222" i="134"/>
  <c r="V55" i="137"/>
  <c r="U210" i="138"/>
  <c r="U91" i="137"/>
  <c r="S209" i="134"/>
  <c r="T219" i="138"/>
  <c r="T192" i="147"/>
  <c r="T197" i="147"/>
  <c r="T224" i="138"/>
  <c r="S214" i="134"/>
  <c r="U129" i="138"/>
  <c r="U76" i="137"/>
  <c r="V40" i="137"/>
  <c r="U80" i="137"/>
  <c r="V44" i="137"/>
  <c r="U133" i="138"/>
  <c r="R63" i="134"/>
  <c r="S60" i="147"/>
  <c r="S53" i="147"/>
  <c r="S209" i="147"/>
  <c r="R226" i="134"/>
  <c r="S58" i="147"/>
  <c r="T123" i="147"/>
  <c r="S134" i="134"/>
  <c r="T145" i="138"/>
  <c r="T210" i="134"/>
  <c r="U220" i="138"/>
  <c r="U193" i="147"/>
  <c r="S131" i="147"/>
  <c r="T46" i="147"/>
  <c r="S51" i="134"/>
  <c r="T63" i="138"/>
  <c r="S61" i="147"/>
  <c r="R69" i="134"/>
  <c r="S212" i="134"/>
  <c r="T195" i="147"/>
  <c r="T222" i="138"/>
  <c r="R224" i="134"/>
  <c r="T120" i="147"/>
  <c r="S131" i="134"/>
  <c r="T142" i="138"/>
  <c r="R225" i="134"/>
  <c r="S223" i="134"/>
  <c r="U93" i="137"/>
  <c r="U212" i="138"/>
  <c r="V57" i="137"/>
  <c r="Q234" i="134"/>
  <c r="Q236" i="134" s="1"/>
  <c r="Q220" i="134"/>
  <c r="R76" i="134"/>
  <c r="R78" i="134" s="1"/>
  <c r="R68" i="134"/>
  <c r="V51" i="137"/>
  <c r="U87" i="137"/>
  <c r="U206" i="138"/>
  <c r="T191" i="147"/>
  <c r="T218" i="138"/>
  <c r="S208" i="134"/>
  <c r="V32" i="137"/>
  <c r="U68" i="137"/>
  <c r="U55" i="138"/>
  <c r="T75" i="138"/>
  <c r="U66" i="137"/>
  <c r="U53" i="138"/>
  <c r="V30" i="137"/>
  <c r="T50" i="147"/>
  <c r="T67" i="138"/>
  <c r="S55" i="134"/>
  <c r="T48" i="147"/>
  <c r="T65" i="138"/>
  <c r="S53" i="134"/>
  <c r="T45" i="147"/>
  <c r="S50" i="134"/>
  <c r="T62" i="138"/>
  <c r="T51" i="147"/>
  <c r="S56" i="134"/>
  <c r="T68" i="138"/>
  <c r="R143" i="134"/>
  <c r="R64" i="134"/>
  <c r="V208" i="138"/>
  <c r="V89" i="137"/>
  <c r="W53" i="137"/>
  <c r="T56" i="147"/>
  <c r="U44" i="147"/>
  <c r="S62" i="134"/>
  <c r="N74" i="137"/>
  <c r="N127" i="138"/>
  <c r="N117" i="147" s="1"/>
  <c r="V49" i="138"/>
  <c r="V62" i="137"/>
  <c r="W26" i="137"/>
  <c r="U61" i="138"/>
  <c r="T49" i="134"/>
  <c r="L46" i="137"/>
  <c r="O38" i="137"/>
  <c r="Q11" i="144" l="1"/>
  <c r="Q11" i="152"/>
  <c r="Q123" i="144"/>
  <c r="Q67" i="144"/>
  <c r="Q67" i="152"/>
  <c r="R4" i="152"/>
  <c r="R116" i="152"/>
  <c r="R172" i="152"/>
  <c r="R60" i="152"/>
  <c r="S210" i="144"/>
  <c r="S154" i="144"/>
  <c r="S98" i="144"/>
  <c r="S42" i="144"/>
  <c r="R173" i="152"/>
  <c r="R61" i="152"/>
  <c r="R67" i="152" s="1"/>
  <c r="R5" i="152"/>
  <c r="R11" i="152" s="1"/>
  <c r="R117" i="152"/>
  <c r="R213" i="144"/>
  <c r="R45" i="144"/>
  <c r="R101" i="144"/>
  <c r="R157" i="144"/>
  <c r="R101" i="152"/>
  <c r="R157" i="152"/>
  <c r="R213" i="152"/>
  <c r="R45" i="152"/>
  <c r="R80" i="152"/>
  <c r="R24" i="152"/>
  <c r="R192" i="152"/>
  <c r="R136" i="152"/>
  <c r="R214" i="144"/>
  <c r="R46" i="144"/>
  <c r="R102" i="144"/>
  <c r="R158" i="144"/>
  <c r="R60" i="144"/>
  <c r="R172" i="144"/>
  <c r="R4" i="144"/>
  <c r="R116" i="144"/>
  <c r="R196" i="144"/>
  <c r="R140" i="144"/>
  <c r="R84" i="144"/>
  <c r="R28" i="144"/>
  <c r="R121" i="152"/>
  <c r="R177" i="152"/>
  <c r="R65" i="152"/>
  <c r="R9" i="152"/>
  <c r="R208" i="144"/>
  <c r="R152" i="144"/>
  <c r="R96" i="144"/>
  <c r="R40" i="144"/>
  <c r="R64" i="152"/>
  <c r="R120" i="152"/>
  <c r="R176" i="152"/>
  <c r="R8" i="152"/>
  <c r="R64" i="144"/>
  <c r="R120" i="144"/>
  <c r="R176" i="144"/>
  <c r="R8" i="144"/>
  <c r="Q229" i="134"/>
  <c r="Q207" i="144"/>
  <c r="Q215" i="144" s="1"/>
  <c r="Q95" i="144"/>
  <c r="Q103" i="144" s="1"/>
  <c r="Q39" i="144"/>
  <c r="Q47" i="144" s="1"/>
  <c r="Q151" i="144"/>
  <c r="Q159" i="144" s="1"/>
  <c r="R43" i="152"/>
  <c r="R99" i="152"/>
  <c r="R211" i="152"/>
  <c r="R155" i="152"/>
  <c r="S59" i="144"/>
  <c r="S171" i="144"/>
  <c r="S3" i="144"/>
  <c r="S115" i="144"/>
  <c r="R118" i="152"/>
  <c r="R6" i="152"/>
  <c r="R174" i="152"/>
  <c r="R62" i="152"/>
  <c r="S59" i="152"/>
  <c r="S3" i="152"/>
  <c r="S171" i="152"/>
  <c r="S115" i="152"/>
  <c r="R63" i="144"/>
  <c r="R119" i="144"/>
  <c r="R175" i="144"/>
  <c r="R7" i="144"/>
  <c r="R158" i="152"/>
  <c r="R214" i="152"/>
  <c r="R46" i="152"/>
  <c r="R102" i="152"/>
  <c r="R99" i="144"/>
  <c r="R211" i="144"/>
  <c r="R43" i="144"/>
  <c r="R155" i="144"/>
  <c r="R7" i="152"/>
  <c r="R119" i="152"/>
  <c r="R175" i="152"/>
  <c r="R63" i="152"/>
  <c r="R191" i="144"/>
  <c r="R135" i="144"/>
  <c r="R23" i="144"/>
  <c r="R79" i="144"/>
  <c r="S194" i="152"/>
  <c r="S138" i="152"/>
  <c r="S26" i="152"/>
  <c r="S82" i="152"/>
  <c r="R84" i="152"/>
  <c r="R196" i="152"/>
  <c r="R140" i="152"/>
  <c r="R28" i="152"/>
  <c r="R178" i="152"/>
  <c r="R10" i="152"/>
  <c r="R122" i="152"/>
  <c r="R66" i="152"/>
  <c r="R78" i="152"/>
  <c r="R134" i="152"/>
  <c r="R190" i="152"/>
  <c r="R22" i="152"/>
  <c r="R121" i="144"/>
  <c r="R9" i="144"/>
  <c r="R65" i="144"/>
  <c r="R177" i="144"/>
  <c r="R211" i="147"/>
  <c r="Q39" i="152"/>
  <c r="Q47" i="152" s="1"/>
  <c r="Q207" i="152"/>
  <c r="Q215" i="152" s="1"/>
  <c r="Q151" i="152"/>
  <c r="Q159" i="152" s="1"/>
  <c r="Q95" i="152"/>
  <c r="Q103" i="152" s="1"/>
  <c r="R212" i="144"/>
  <c r="R44" i="144"/>
  <c r="R156" i="144"/>
  <c r="R100" i="144"/>
  <c r="R62" i="144"/>
  <c r="R118" i="144"/>
  <c r="R6" i="144"/>
  <c r="R174" i="144"/>
  <c r="S210" i="152"/>
  <c r="S98" i="152"/>
  <c r="S154" i="152"/>
  <c r="S42" i="152"/>
  <c r="R195" i="152"/>
  <c r="R27" i="152"/>
  <c r="R139" i="152"/>
  <c r="R83" i="152"/>
  <c r="R209" i="144"/>
  <c r="R153" i="144"/>
  <c r="R97" i="144"/>
  <c r="R41" i="144"/>
  <c r="R173" i="144"/>
  <c r="R117" i="144"/>
  <c r="R5" i="144"/>
  <c r="R61" i="144"/>
  <c r="R83" i="144"/>
  <c r="R27" i="144"/>
  <c r="R139" i="144"/>
  <c r="R195" i="144"/>
  <c r="R96" i="152"/>
  <c r="R208" i="152"/>
  <c r="R152" i="152"/>
  <c r="R40" i="152"/>
  <c r="R134" i="144"/>
  <c r="R78" i="144"/>
  <c r="R190" i="144"/>
  <c r="R22" i="144"/>
  <c r="R66" i="144"/>
  <c r="R178" i="144"/>
  <c r="R10" i="144"/>
  <c r="R122" i="144"/>
  <c r="R44" i="152"/>
  <c r="R212" i="152"/>
  <c r="R156" i="152"/>
  <c r="R100" i="152"/>
  <c r="R153" i="152"/>
  <c r="R41" i="152"/>
  <c r="R209" i="152"/>
  <c r="R97" i="152"/>
  <c r="R23" i="152"/>
  <c r="R79" i="152"/>
  <c r="R135" i="152"/>
  <c r="R191" i="152"/>
  <c r="S138" i="144"/>
  <c r="S82" i="144"/>
  <c r="S26" i="144"/>
  <c r="S194" i="144"/>
  <c r="R192" i="144"/>
  <c r="R136" i="144"/>
  <c r="R80" i="144"/>
  <c r="R24" i="144"/>
  <c r="S76" i="134"/>
  <c r="S78" i="134" s="1"/>
  <c r="U70" i="137"/>
  <c r="U58" i="138"/>
  <c r="S65" i="147"/>
  <c r="V34" i="137"/>
  <c r="R71" i="134"/>
  <c r="T70" i="138"/>
  <c r="T70" i="147"/>
  <c r="T72" i="147" s="1"/>
  <c r="T60" i="147"/>
  <c r="S199" i="147"/>
  <c r="S202" i="147"/>
  <c r="S216" i="147"/>
  <c r="S218" i="147" s="1"/>
  <c r="S142" i="134"/>
  <c r="T206" i="147"/>
  <c r="T209" i="147"/>
  <c r="T208" i="147"/>
  <c r="V65" i="137"/>
  <c r="V52" i="138"/>
  <c r="W29" i="137"/>
  <c r="S224" i="134"/>
  <c r="V53" i="138"/>
  <c r="V66" i="137"/>
  <c r="W30" i="137"/>
  <c r="U48" i="147"/>
  <c r="T53" i="134"/>
  <c r="U65" i="138"/>
  <c r="T214" i="134"/>
  <c r="U197" i="147"/>
  <c r="U224" i="138"/>
  <c r="S222" i="134"/>
  <c r="S67" i="134"/>
  <c r="W54" i="137"/>
  <c r="V90" i="137"/>
  <c r="V209" i="138"/>
  <c r="T136" i="147"/>
  <c r="T131" i="147"/>
  <c r="T59" i="147"/>
  <c r="V68" i="137"/>
  <c r="V55" i="138"/>
  <c r="W32" i="137"/>
  <c r="U221" i="138"/>
  <c r="U194" i="147"/>
  <c r="T211" i="134"/>
  <c r="T146" i="134"/>
  <c r="S65" i="134"/>
  <c r="S69" i="134"/>
  <c r="S221" i="134"/>
  <c r="S144" i="134"/>
  <c r="U66" i="138"/>
  <c r="U49" i="147"/>
  <c r="T54" i="134"/>
  <c r="U134" i="147"/>
  <c r="T207" i="147"/>
  <c r="U119" i="147"/>
  <c r="U141" i="138"/>
  <c r="T130" i="134"/>
  <c r="V128" i="138"/>
  <c r="V75" i="137"/>
  <c r="W39" i="137"/>
  <c r="S64" i="134"/>
  <c r="W55" i="137"/>
  <c r="V91" i="137"/>
  <c r="V210" i="138"/>
  <c r="S143" i="134"/>
  <c r="T203" i="147"/>
  <c r="U123" i="147"/>
  <c r="T134" i="134"/>
  <c r="U145" i="138"/>
  <c r="U124" i="147"/>
  <c r="U146" i="138"/>
  <c r="T135" i="134"/>
  <c r="U196" i="147"/>
  <c r="U223" i="138"/>
  <c r="T213" i="134"/>
  <c r="U120" i="147"/>
  <c r="U142" i="138"/>
  <c r="T131" i="134"/>
  <c r="V50" i="137"/>
  <c r="U58" i="137"/>
  <c r="U205" i="138"/>
  <c r="U86" i="137"/>
  <c r="U94" i="137" s="1"/>
  <c r="U47" i="147"/>
  <c r="U64" i="138"/>
  <c r="T52" i="134"/>
  <c r="S68" i="134"/>
  <c r="T130" i="147"/>
  <c r="T204" i="147"/>
  <c r="V88" i="137"/>
  <c r="W52" i="137"/>
  <c r="V207" i="138"/>
  <c r="W89" i="137"/>
  <c r="W208" i="138"/>
  <c r="V93" i="137"/>
  <c r="W57" i="137"/>
  <c r="V212" i="138"/>
  <c r="V51" i="138"/>
  <c r="W28" i="137"/>
  <c r="V64" i="137"/>
  <c r="S63" i="134"/>
  <c r="U191" i="147"/>
  <c r="U218" i="138"/>
  <c r="T208" i="134"/>
  <c r="T223" i="134"/>
  <c r="V80" i="137"/>
  <c r="V133" i="138"/>
  <c r="W44" i="137"/>
  <c r="W45" i="137"/>
  <c r="V134" i="138"/>
  <c r="V81" i="137"/>
  <c r="V77" i="137"/>
  <c r="W41" i="137"/>
  <c r="V130" i="138"/>
  <c r="S225" i="134"/>
  <c r="R234" i="134"/>
  <c r="R236" i="134" s="1"/>
  <c r="R220" i="134"/>
  <c r="R216" i="134"/>
  <c r="T58" i="147"/>
  <c r="T212" i="134"/>
  <c r="U222" i="138"/>
  <c r="U195" i="147"/>
  <c r="V122" i="147"/>
  <c r="V144" i="138"/>
  <c r="U133" i="134"/>
  <c r="S148" i="134"/>
  <c r="T53" i="147"/>
  <c r="W33" i="137"/>
  <c r="V69" i="137"/>
  <c r="V56" i="138"/>
  <c r="T56" i="134"/>
  <c r="U51" i="147"/>
  <c r="U68" i="138"/>
  <c r="S227" i="134"/>
  <c r="T62" i="147"/>
  <c r="S226" i="134"/>
  <c r="W27" i="137"/>
  <c r="V63" i="137"/>
  <c r="V50" i="138"/>
  <c r="T50" i="134"/>
  <c r="U45" i="147"/>
  <c r="U62" i="138"/>
  <c r="U192" i="147"/>
  <c r="T209" i="134"/>
  <c r="U219" i="138"/>
  <c r="U75" i="138"/>
  <c r="V220" i="138"/>
  <c r="U210" i="134"/>
  <c r="V193" i="147"/>
  <c r="U46" i="147"/>
  <c r="U63" i="138"/>
  <c r="T51" i="134"/>
  <c r="W79" i="137"/>
  <c r="W132" i="138"/>
  <c r="T61" i="147"/>
  <c r="T55" i="134"/>
  <c r="U67" i="138"/>
  <c r="U50" i="147"/>
  <c r="T63" i="147"/>
  <c r="T132" i="147"/>
  <c r="U205" i="147"/>
  <c r="W31" i="137"/>
  <c r="V67" i="137"/>
  <c r="V54" i="138"/>
  <c r="V92" i="137"/>
  <c r="W56" i="137"/>
  <c r="V211" i="138"/>
  <c r="T190" i="147"/>
  <c r="S207" i="134"/>
  <c r="T214" i="138"/>
  <c r="T231" i="138"/>
  <c r="T217" i="138"/>
  <c r="T226" i="138" s="1"/>
  <c r="T57" i="147"/>
  <c r="S58" i="134"/>
  <c r="S66" i="134"/>
  <c r="V87" i="137"/>
  <c r="V206" i="138"/>
  <c r="W51" i="137"/>
  <c r="S147" i="134"/>
  <c r="V129" i="138"/>
  <c r="V76" i="137"/>
  <c r="W40" i="137"/>
  <c r="T135" i="147"/>
  <c r="T129" i="134"/>
  <c r="U118" i="147"/>
  <c r="U140" i="138"/>
  <c r="V44" i="147"/>
  <c r="U56" i="147"/>
  <c r="N129" i="147"/>
  <c r="T62" i="134"/>
  <c r="W62" i="137"/>
  <c r="W49" i="138"/>
  <c r="O74" i="137"/>
  <c r="O127" i="138"/>
  <c r="O117" i="147" s="1"/>
  <c r="V61" i="138"/>
  <c r="U49" i="134"/>
  <c r="M128" i="134"/>
  <c r="N139" i="138"/>
  <c r="N42" i="137"/>
  <c r="M46" i="137"/>
  <c r="P38" i="137"/>
  <c r="R123" i="152" l="1"/>
  <c r="R123" i="144"/>
  <c r="R11" i="144"/>
  <c r="R179" i="152"/>
  <c r="R67" i="144"/>
  <c r="R179" i="144"/>
  <c r="S121" i="152"/>
  <c r="S177" i="152"/>
  <c r="S65" i="152"/>
  <c r="S9" i="152"/>
  <c r="S28" i="152"/>
  <c r="S84" i="152"/>
  <c r="S196" i="152"/>
  <c r="S140" i="152"/>
  <c r="S214" i="144"/>
  <c r="S46" i="144"/>
  <c r="S102" i="144"/>
  <c r="S158" i="144"/>
  <c r="S4" i="152"/>
  <c r="S116" i="152"/>
  <c r="S172" i="152"/>
  <c r="S60" i="152"/>
  <c r="T171" i="144"/>
  <c r="T3" i="144"/>
  <c r="T115" i="144"/>
  <c r="T59" i="144"/>
  <c r="S209" i="144"/>
  <c r="S153" i="144"/>
  <c r="S41" i="144"/>
  <c r="S97" i="144"/>
  <c r="T115" i="152"/>
  <c r="T171" i="152"/>
  <c r="T3" i="152"/>
  <c r="T59" i="152"/>
  <c r="S192" i="144"/>
  <c r="S136" i="144"/>
  <c r="S80" i="144"/>
  <c r="S24" i="144"/>
  <c r="S96" i="144"/>
  <c r="S40" i="144"/>
  <c r="S208" i="144"/>
  <c r="S152" i="144"/>
  <c r="S196" i="144"/>
  <c r="S84" i="144"/>
  <c r="S28" i="144"/>
  <c r="S140" i="144"/>
  <c r="S122" i="144"/>
  <c r="S178" i="144"/>
  <c r="S66" i="144"/>
  <c r="S10" i="144"/>
  <c r="S96" i="152"/>
  <c r="S152" i="152"/>
  <c r="S208" i="152"/>
  <c r="S40" i="152"/>
  <c r="S173" i="144"/>
  <c r="S5" i="144"/>
  <c r="S117" i="144"/>
  <c r="S61" i="144"/>
  <c r="S5" i="152"/>
  <c r="S173" i="152"/>
  <c r="S61" i="152"/>
  <c r="S117" i="152"/>
  <c r="S63" i="144"/>
  <c r="S119" i="144"/>
  <c r="S7" i="144"/>
  <c r="S175" i="144"/>
  <c r="S155" i="152"/>
  <c r="S43" i="152"/>
  <c r="S99" i="152"/>
  <c r="S211" i="152"/>
  <c r="S190" i="144"/>
  <c r="S134" i="144"/>
  <c r="S78" i="144"/>
  <c r="S22" i="144"/>
  <c r="S211" i="147"/>
  <c r="R39" i="152"/>
  <c r="R47" i="152" s="1"/>
  <c r="R207" i="152"/>
  <c r="R215" i="152" s="1"/>
  <c r="R95" i="152"/>
  <c r="R103" i="152" s="1"/>
  <c r="R151" i="152"/>
  <c r="R159" i="152" s="1"/>
  <c r="M21" i="152"/>
  <c r="M77" i="152"/>
  <c r="M133" i="152"/>
  <c r="M189" i="152"/>
  <c r="S22" i="152"/>
  <c r="S78" i="152"/>
  <c r="S134" i="152"/>
  <c r="S190" i="152"/>
  <c r="S174" i="144"/>
  <c r="S62" i="144"/>
  <c r="S6" i="144"/>
  <c r="S118" i="144"/>
  <c r="T210" i="144"/>
  <c r="T154" i="144"/>
  <c r="T42" i="144"/>
  <c r="T98" i="144"/>
  <c r="T194" i="144"/>
  <c r="T138" i="144"/>
  <c r="T82" i="144"/>
  <c r="T26" i="144"/>
  <c r="S80" i="152"/>
  <c r="S24" i="152"/>
  <c r="S192" i="152"/>
  <c r="S136" i="152"/>
  <c r="S60" i="144"/>
  <c r="S4" i="144"/>
  <c r="S172" i="144"/>
  <c r="S116" i="144"/>
  <c r="S83" i="144"/>
  <c r="S27" i="144"/>
  <c r="S139" i="144"/>
  <c r="S195" i="144"/>
  <c r="W34" i="137"/>
  <c r="S118" i="152"/>
  <c r="S6" i="152"/>
  <c r="S174" i="152"/>
  <c r="S62" i="152"/>
  <c r="S64" i="152"/>
  <c r="S120" i="152"/>
  <c r="S176" i="152"/>
  <c r="S8" i="152"/>
  <c r="S158" i="152"/>
  <c r="S214" i="152"/>
  <c r="S46" i="152"/>
  <c r="S102" i="152"/>
  <c r="S212" i="144"/>
  <c r="S100" i="144"/>
  <c r="S156" i="144"/>
  <c r="S44" i="144"/>
  <c r="S44" i="152"/>
  <c r="S212" i="152"/>
  <c r="S156" i="152"/>
  <c r="S100" i="152"/>
  <c r="T26" i="152"/>
  <c r="T194" i="152"/>
  <c r="T138" i="152"/>
  <c r="T82" i="152"/>
  <c r="S64" i="144"/>
  <c r="S120" i="144"/>
  <c r="S176" i="144"/>
  <c r="S8" i="144"/>
  <c r="S11" i="144" s="1"/>
  <c r="S63" i="152"/>
  <c r="S175" i="152"/>
  <c r="S119" i="152"/>
  <c r="S7" i="152"/>
  <c r="S153" i="152"/>
  <c r="S41" i="152"/>
  <c r="S209" i="152"/>
  <c r="S97" i="152"/>
  <c r="S121" i="144"/>
  <c r="S65" i="144"/>
  <c r="S177" i="144"/>
  <c r="S9" i="144"/>
  <c r="S135" i="144"/>
  <c r="S79" i="144"/>
  <c r="S23" i="144"/>
  <c r="S191" i="144"/>
  <c r="S195" i="152"/>
  <c r="S139" i="152"/>
  <c r="S27" i="152"/>
  <c r="S83" i="152"/>
  <c r="T210" i="152"/>
  <c r="T154" i="152"/>
  <c r="T98" i="152"/>
  <c r="T42" i="152"/>
  <c r="S155" i="144"/>
  <c r="S99" i="144"/>
  <c r="S211" i="144"/>
  <c r="S43" i="144"/>
  <c r="S178" i="152"/>
  <c r="S66" i="152"/>
  <c r="S122" i="152"/>
  <c r="S10" i="152"/>
  <c r="S157" i="144"/>
  <c r="S45" i="144"/>
  <c r="S213" i="144"/>
  <c r="S101" i="144"/>
  <c r="R229" i="134"/>
  <c r="R207" i="144"/>
  <c r="R215" i="144" s="1"/>
  <c r="R95" i="144"/>
  <c r="R103" i="144" s="1"/>
  <c r="R39" i="144"/>
  <c r="R47" i="144" s="1"/>
  <c r="R151" i="144"/>
  <c r="R159" i="144" s="1"/>
  <c r="S135" i="152"/>
  <c r="S23" i="152"/>
  <c r="S79" i="152"/>
  <c r="S191" i="152"/>
  <c r="S101" i="152"/>
  <c r="S157" i="152"/>
  <c r="S45" i="152"/>
  <c r="S213" i="152"/>
  <c r="V70" i="137"/>
  <c r="S71" i="134"/>
  <c r="U53" i="147"/>
  <c r="U70" i="138"/>
  <c r="T65" i="147"/>
  <c r="V65" i="138"/>
  <c r="V48" i="147"/>
  <c r="U53" i="134"/>
  <c r="U62" i="147"/>
  <c r="T63" i="134"/>
  <c r="W130" i="138"/>
  <c r="W77" i="137"/>
  <c r="V194" i="147"/>
  <c r="U211" i="134"/>
  <c r="V221" i="138"/>
  <c r="V134" i="147"/>
  <c r="W210" i="138"/>
  <c r="W91" i="137"/>
  <c r="U130" i="147"/>
  <c r="W93" i="137"/>
  <c r="W212" i="138"/>
  <c r="S216" i="134"/>
  <c r="S234" i="134"/>
  <c r="S236" i="134" s="1"/>
  <c r="S220" i="134"/>
  <c r="T202" i="147"/>
  <c r="T199" i="147"/>
  <c r="T216" i="147"/>
  <c r="T218" i="147" s="1"/>
  <c r="W122" i="147"/>
  <c r="W144" i="138"/>
  <c r="V133" i="134"/>
  <c r="V210" i="134"/>
  <c r="W193" i="147"/>
  <c r="W220" i="138"/>
  <c r="U207" i="147"/>
  <c r="W211" i="138"/>
  <c r="W92" i="137"/>
  <c r="T64" i="134"/>
  <c r="T225" i="134"/>
  <c r="U208" i="147"/>
  <c r="T143" i="134"/>
  <c r="V49" i="147"/>
  <c r="U54" i="134"/>
  <c r="V66" i="138"/>
  <c r="U58" i="147"/>
  <c r="T148" i="134"/>
  <c r="T224" i="134"/>
  <c r="T76" i="134"/>
  <c r="T78" i="134" s="1"/>
  <c r="V119" i="147"/>
  <c r="U130" i="134"/>
  <c r="V141" i="138"/>
  <c r="V205" i="147"/>
  <c r="U63" i="147"/>
  <c r="U131" i="147"/>
  <c r="U206" i="147"/>
  <c r="U209" i="147"/>
  <c r="U214" i="134"/>
  <c r="V197" i="147"/>
  <c r="V224" i="138"/>
  <c r="W75" i="137"/>
  <c r="W128" i="138"/>
  <c r="V118" i="147"/>
  <c r="V140" i="138"/>
  <c r="U129" i="134"/>
  <c r="W68" i="137"/>
  <c r="W55" i="138"/>
  <c r="U57" i="147"/>
  <c r="V62" i="138"/>
  <c r="V45" i="147"/>
  <c r="U50" i="134"/>
  <c r="W64" i="137"/>
  <c r="W51" i="138"/>
  <c r="U190" i="147"/>
  <c r="T207" i="134"/>
  <c r="U214" i="138"/>
  <c r="U231" i="138"/>
  <c r="U217" i="138"/>
  <c r="U226" i="138" s="1"/>
  <c r="U212" i="134"/>
  <c r="V195" i="147"/>
  <c r="V222" i="138"/>
  <c r="W52" i="138"/>
  <c r="W65" i="137"/>
  <c r="V205" i="138"/>
  <c r="V58" i="137"/>
  <c r="V86" i="137"/>
  <c r="V94" i="137" s="1"/>
  <c r="W50" i="137"/>
  <c r="V123" i="147"/>
  <c r="U134" i="134"/>
  <c r="V145" i="138"/>
  <c r="V219" i="138"/>
  <c r="V192" i="147"/>
  <c r="U209" i="134"/>
  <c r="V75" i="138"/>
  <c r="W206" i="138"/>
  <c r="W87" i="137"/>
  <c r="U203" i="147"/>
  <c r="T147" i="134"/>
  <c r="V50" i="147"/>
  <c r="U55" i="134"/>
  <c r="V67" i="138"/>
  <c r="T66" i="134"/>
  <c r="W209" i="138"/>
  <c r="W90" i="137"/>
  <c r="T142" i="134"/>
  <c r="V124" i="147"/>
  <c r="V146" i="138"/>
  <c r="U135" i="134"/>
  <c r="W69" i="137"/>
  <c r="W56" i="138"/>
  <c r="U135" i="147"/>
  <c r="U60" i="147"/>
  <c r="U146" i="134"/>
  <c r="T144" i="134"/>
  <c r="W81" i="137"/>
  <c r="W134" i="138"/>
  <c r="W67" i="137"/>
  <c r="W54" i="138"/>
  <c r="T69" i="134"/>
  <c r="T221" i="134"/>
  <c r="V68" i="138"/>
  <c r="U56" i="134"/>
  <c r="V51" i="147"/>
  <c r="T67" i="134"/>
  <c r="W66" i="137"/>
  <c r="W53" i="138"/>
  <c r="U59" i="147"/>
  <c r="V120" i="147"/>
  <c r="V142" i="138"/>
  <c r="U131" i="134"/>
  <c r="T68" i="134"/>
  <c r="V63" i="138"/>
  <c r="V46" i="147"/>
  <c r="U51" i="134"/>
  <c r="V47" i="147"/>
  <c r="V64" i="138"/>
  <c r="U52" i="134"/>
  <c r="W63" i="137"/>
  <c r="W50" i="138"/>
  <c r="U132" i="147"/>
  <c r="V196" i="147"/>
  <c r="U213" i="134"/>
  <c r="V223" i="138"/>
  <c r="W80" i="137"/>
  <c r="W133" i="138"/>
  <c r="T226" i="134"/>
  <c r="T58" i="134"/>
  <c r="U70" i="147"/>
  <c r="U72" i="147" s="1"/>
  <c r="W129" i="138"/>
  <c r="W76" i="137"/>
  <c r="W88" i="137"/>
  <c r="W207" i="138"/>
  <c r="U223" i="134"/>
  <c r="U136" i="147"/>
  <c r="T227" i="134"/>
  <c r="V218" i="138"/>
  <c r="U208" i="134"/>
  <c r="V191" i="147"/>
  <c r="V58" i="138"/>
  <c r="T222" i="134"/>
  <c r="U204" i="147"/>
  <c r="T65" i="134"/>
  <c r="U61" i="147"/>
  <c r="V56" i="147"/>
  <c r="W44" i="147"/>
  <c r="O129" i="147"/>
  <c r="M141" i="134"/>
  <c r="N78" i="137"/>
  <c r="N82" i="137" s="1"/>
  <c r="N131" i="138"/>
  <c r="N121" i="147" s="1"/>
  <c r="U62" i="134"/>
  <c r="O139" i="138"/>
  <c r="N128" i="134"/>
  <c r="W61" i="138"/>
  <c r="V49" i="134"/>
  <c r="P74" i="137"/>
  <c r="P127" i="138"/>
  <c r="P117" i="147" s="1"/>
  <c r="O42" i="137"/>
  <c r="N46" i="137"/>
  <c r="Q38" i="137"/>
  <c r="S67" i="152" l="1"/>
  <c r="S67" i="144"/>
  <c r="S179" i="144"/>
  <c r="S11" i="152"/>
  <c r="S123" i="144"/>
  <c r="S179" i="152"/>
  <c r="S123" i="152"/>
  <c r="M77" i="144"/>
  <c r="M21" i="144"/>
  <c r="M189" i="144"/>
  <c r="M133" i="144"/>
  <c r="U171" i="152"/>
  <c r="U115" i="152"/>
  <c r="U59" i="152"/>
  <c r="U3" i="152"/>
  <c r="S229" i="134"/>
  <c r="S207" i="144"/>
  <c r="S215" i="144" s="1"/>
  <c r="S95" i="144"/>
  <c r="S103" i="144" s="1"/>
  <c r="S39" i="144"/>
  <c r="S47" i="144" s="1"/>
  <c r="S151" i="144"/>
  <c r="S159" i="144" s="1"/>
  <c r="T120" i="152"/>
  <c r="T176" i="152"/>
  <c r="T64" i="152"/>
  <c r="T8" i="152"/>
  <c r="T174" i="144"/>
  <c r="T62" i="144"/>
  <c r="T6" i="144"/>
  <c r="T118" i="144"/>
  <c r="T153" i="152"/>
  <c r="T41" i="152"/>
  <c r="T209" i="152"/>
  <c r="T97" i="152"/>
  <c r="T209" i="144"/>
  <c r="T153" i="144"/>
  <c r="T41" i="144"/>
  <c r="T97" i="144"/>
  <c r="T175" i="144"/>
  <c r="T119" i="144"/>
  <c r="T63" i="144"/>
  <c r="T7" i="144"/>
  <c r="T101" i="152"/>
  <c r="T45" i="152"/>
  <c r="T157" i="152"/>
  <c r="T213" i="152"/>
  <c r="T139" i="144"/>
  <c r="T83" i="144"/>
  <c r="T27" i="144"/>
  <c r="T195" i="144"/>
  <c r="T214" i="144"/>
  <c r="T46" i="144"/>
  <c r="T102" i="144"/>
  <c r="T158" i="144"/>
  <c r="T84" i="152"/>
  <c r="T196" i="152"/>
  <c r="T28" i="152"/>
  <c r="T140" i="152"/>
  <c r="T44" i="152"/>
  <c r="T156" i="152"/>
  <c r="T212" i="152"/>
  <c r="T100" i="152"/>
  <c r="U210" i="144"/>
  <c r="U154" i="144"/>
  <c r="U42" i="144"/>
  <c r="U98" i="144"/>
  <c r="U194" i="144"/>
  <c r="U138" i="144"/>
  <c r="U26" i="144"/>
  <c r="U82" i="144"/>
  <c r="T178" i="152"/>
  <c r="T66" i="152"/>
  <c r="T10" i="152"/>
  <c r="T122" i="152"/>
  <c r="T6" i="152"/>
  <c r="T118" i="152"/>
  <c r="T174" i="152"/>
  <c r="T62" i="152"/>
  <c r="T213" i="144"/>
  <c r="T45" i="144"/>
  <c r="T101" i="144"/>
  <c r="T157" i="144"/>
  <c r="T4" i="152"/>
  <c r="T172" i="152"/>
  <c r="T116" i="152"/>
  <c r="T60" i="152"/>
  <c r="T84" i="144"/>
  <c r="T28" i="144"/>
  <c r="T196" i="144"/>
  <c r="T140" i="144"/>
  <c r="T5" i="152"/>
  <c r="T61" i="152"/>
  <c r="T173" i="152"/>
  <c r="T117" i="152"/>
  <c r="T96" i="144"/>
  <c r="T208" i="144"/>
  <c r="T40" i="144"/>
  <c r="T152" i="144"/>
  <c r="T22" i="152"/>
  <c r="T134" i="152"/>
  <c r="T190" i="152"/>
  <c r="T78" i="152"/>
  <c r="T44" i="144"/>
  <c r="T100" i="144"/>
  <c r="T156" i="144"/>
  <c r="T212" i="144"/>
  <c r="U138" i="152"/>
  <c r="U26" i="152"/>
  <c r="U194" i="152"/>
  <c r="U82" i="152"/>
  <c r="T158" i="152"/>
  <c r="T214" i="152"/>
  <c r="T102" i="152"/>
  <c r="T46" i="152"/>
  <c r="T155" i="152"/>
  <c r="T211" i="152"/>
  <c r="T99" i="152"/>
  <c r="T43" i="152"/>
  <c r="T135" i="152"/>
  <c r="T23" i="152"/>
  <c r="T79" i="152"/>
  <c r="T191" i="152"/>
  <c r="T121" i="144"/>
  <c r="T65" i="144"/>
  <c r="T177" i="144"/>
  <c r="T9" i="144"/>
  <c r="T175" i="152"/>
  <c r="T63" i="152"/>
  <c r="T119" i="152"/>
  <c r="T7" i="152"/>
  <c r="U98" i="152"/>
  <c r="U154" i="152"/>
  <c r="U210" i="152"/>
  <c r="U42" i="152"/>
  <c r="T121" i="152"/>
  <c r="T65" i="152"/>
  <c r="T177" i="152"/>
  <c r="T9" i="152"/>
  <c r="N21" i="152"/>
  <c r="N133" i="152"/>
  <c r="N189" i="152"/>
  <c r="N77" i="152"/>
  <c r="T211" i="144"/>
  <c r="T155" i="144"/>
  <c r="T99" i="144"/>
  <c r="T43" i="144"/>
  <c r="T211" i="147"/>
  <c r="S95" i="152"/>
  <c r="S103" i="152" s="1"/>
  <c r="S207" i="152"/>
  <c r="S215" i="152" s="1"/>
  <c r="S39" i="152"/>
  <c r="S47" i="152" s="1"/>
  <c r="S151" i="152"/>
  <c r="S159" i="152" s="1"/>
  <c r="T64" i="144"/>
  <c r="T120" i="144"/>
  <c r="T176" i="144"/>
  <c r="T8" i="144"/>
  <c r="T78" i="144"/>
  <c r="T134" i="144"/>
  <c r="T190" i="144"/>
  <c r="T22" i="144"/>
  <c r="T80" i="152"/>
  <c r="T192" i="152"/>
  <c r="T24" i="152"/>
  <c r="T136" i="152"/>
  <c r="T135" i="144"/>
  <c r="T191" i="144"/>
  <c r="T23" i="144"/>
  <c r="T79" i="144"/>
  <c r="T122" i="144"/>
  <c r="T66" i="144"/>
  <c r="T178" i="144"/>
  <c r="T10" i="144"/>
  <c r="T61" i="144"/>
  <c r="T173" i="144"/>
  <c r="T5" i="144"/>
  <c r="T117" i="144"/>
  <c r="T96" i="152"/>
  <c r="T208" i="152"/>
  <c r="T152" i="152"/>
  <c r="T40" i="152"/>
  <c r="T192" i="144"/>
  <c r="T80" i="144"/>
  <c r="T136" i="144"/>
  <c r="T24" i="144"/>
  <c r="U171" i="144"/>
  <c r="U115" i="144"/>
  <c r="U3" i="144"/>
  <c r="U59" i="144"/>
  <c r="T195" i="152"/>
  <c r="T139" i="152"/>
  <c r="T27" i="152"/>
  <c r="T83" i="152"/>
  <c r="T60" i="144"/>
  <c r="T172" i="144"/>
  <c r="T116" i="144"/>
  <c r="T4" i="144"/>
  <c r="W75" i="138"/>
  <c r="W70" i="137"/>
  <c r="V53" i="147"/>
  <c r="T71" i="134"/>
  <c r="V70" i="138"/>
  <c r="U65" i="147"/>
  <c r="U225" i="134"/>
  <c r="V130" i="147"/>
  <c r="W196" i="147"/>
  <c r="W223" i="138"/>
  <c r="V213" i="134"/>
  <c r="W140" i="138"/>
  <c r="W118" i="147"/>
  <c r="V129" i="134"/>
  <c r="T234" i="134"/>
  <c r="T236" i="134" s="1"/>
  <c r="T220" i="134"/>
  <c r="T216" i="134"/>
  <c r="W192" i="147"/>
  <c r="W219" i="138"/>
  <c r="V209" i="134"/>
  <c r="U64" i="134"/>
  <c r="V56" i="134"/>
  <c r="W68" i="138"/>
  <c r="W51" i="147"/>
  <c r="U216" i="147"/>
  <c r="U218" i="147" s="1"/>
  <c r="U202" i="147"/>
  <c r="U199" i="147"/>
  <c r="W205" i="147"/>
  <c r="V58" i="147"/>
  <c r="V54" i="134"/>
  <c r="W49" i="147"/>
  <c r="W66" i="138"/>
  <c r="V204" i="147"/>
  <c r="V61" i="147"/>
  <c r="U147" i="134"/>
  <c r="U144" i="134"/>
  <c r="V135" i="147"/>
  <c r="W120" i="147"/>
  <c r="W142" i="138"/>
  <c r="V131" i="134"/>
  <c r="W86" i="137"/>
  <c r="W94" i="137" s="1"/>
  <c r="W205" i="138"/>
  <c r="W58" i="137"/>
  <c r="U65" i="134"/>
  <c r="V59" i="147"/>
  <c r="U227" i="134"/>
  <c r="V223" i="134"/>
  <c r="U63" i="134"/>
  <c r="W134" i="147"/>
  <c r="W123" i="147"/>
  <c r="W145" i="138"/>
  <c r="V134" i="134"/>
  <c r="V190" i="147"/>
  <c r="V217" i="138"/>
  <c r="V226" i="138" s="1"/>
  <c r="U207" i="134"/>
  <c r="V231" i="138"/>
  <c r="V214" i="138"/>
  <c r="W45" i="147"/>
  <c r="V50" i="134"/>
  <c r="W62" i="138"/>
  <c r="U58" i="134"/>
  <c r="U76" i="134"/>
  <c r="U78" i="134" s="1"/>
  <c r="V206" i="147"/>
  <c r="W67" i="138"/>
  <c r="V55" i="134"/>
  <c r="W50" i="147"/>
  <c r="U66" i="134"/>
  <c r="V207" i="147"/>
  <c r="V63" i="147"/>
  <c r="U69" i="134"/>
  <c r="V209" i="147"/>
  <c r="W195" i="147"/>
  <c r="V212" i="134"/>
  <c r="W222" i="138"/>
  <c r="W46" i="147"/>
  <c r="W63" i="138"/>
  <c r="V51" i="134"/>
  <c r="V146" i="134"/>
  <c r="W119" i="147"/>
  <c r="W141" i="138"/>
  <c r="V130" i="134"/>
  <c r="V132" i="147"/>
  <c r="V203" i="147"/>
  <c r="U226" i="134"/>
  <c r="W48" i="147"/>
  <c r="W65" i="138"/>
  <c r="V53" i="134"/>
  <c r="V208" i="147"/>
  <c r="U68" i="134"/>
  <c r="W47" i="147"/>
  <c r="W64" i="138"/>
  <c r="V52" i="134"/>
  <c r="U143" i="134"/>
  <c r="V60" i="147"/>
  <c r="W218" i="138"/>
  <c r="V208" i="134"/>
  <c r="W191" i="147"/>
  <c r="U222" i="134"/>
  <c r="U148" i="134"/>
  <c r="U67" i="134"/>
  <c r="U224" i="134"/>
  <c r="W124" i="147"/>
  <c r="W146" i="138"/>
  <c r="V135" i="134"/>
  <c r="V136" i="147"/>
  <c r="V57" i="147"/>
  <c r="W194" i="147"/>
  <c r="V211" i="134"/>
  <c r="W221" i="138"/>
  <c r="W58" i="138"/>
  <c r="V70" i="147"/>
  <c r="V72" i="147" s="1"/>
  <c r="U221" i="134"/>
  <c r="V62" i="147"/>
  <c r="U142" i="134"/>
  <c r="V131" i="147"/>
  <c r="V214" i="134"/>
  <c r="W224" i="138"/>
  <c r="W197" i="147"/>
  <c r="P129" i="147"/>
  <c r="W56" i="147"/>
  <c r="N133" i="147"/>
  <c r="N143" i="147"/>
  <c r="N145" i="147" s="1"/>
  <c r="N126" i="147"/>
  <c r="N141" i="134"/>
  <c r="O78" i="137"/>
  <c r="O82" i="137" s="1"/>
  <c r="O131" i="138"/>
  <c r="O121" i="147" s="1"/>
  <c r="N143" i="138"/>
  <c r="N148" i="138" s="1"/>
  <c r="M216" i="134" s="1"/>
  <c r="M132" i="134"/>
  <c r="N136" i="138"/>
  <c r="N153" i="138"/>
  <c r="V62" i="134"/>
  <c r="Q74" i="137"/>
  <c r="Q127" i="138"/>
  <c r="Q117" i="147" s="1"/>
  <c r="O128" i="134"/>
  <c r="P139" i="138"/>
  <c r="P42" i="137"/>
  <c r="O46" i="137"/>
  <c r="R38" i="137"/>
  <c r="T123" i="152" l="1"/>
  <c r="T179" i="152"/>
  <c r="T11" i="144"/>
  <c r="T123" i="144"/>
  <c r="T179" i="144"/>
  <c r="T67" i="144"/>
  <c r="T67" i="152"/>
  <c r="T11" i="152"/>
  <c r="O189" i="152"/>
  <c r="O133" i="152"/>
  <c r="O21" i="152"/>
  <c r="O77" i="152"/>
  <c r="U97" i="144"/>
  <c r="U153" i="144"/>
  <c r="U209" i="144"/>
  <c r="U41" i="144"/>
  <c r="V194" i="144"/>
  <c r="V138" i="144"/>
  <c r="V82" i="144"/>
  <c r="V26" i="144"/>
  <c r="U192" i="144"/>
  <c r="U136" i="144"/>
  <c r="U80" i="144"/>
  <c r="U24" i="144"/>
  <c r="U139" i="144"/>
  <c r="U83" i="144"/>
  <c r="U27" i="144"/>
  <c r="U195" i="144"/>
  <c r="U64" i="152"/>
  <c r="U176" i="152"/>
  <c r="U8" i="152"/>
  <c r="U120" i="152"/>
  <c r="U158" i="152"/>
  <c r="U214" i="152"/>
  <c r="U102" i="152"/>
  <c r="U46" i="152"/>
  <c r="U66" i="144"/>
  <c r="U122" i="144"/>
  <c r="U178" i="144"/>
  <c r="U10" i="144"/>
  <c r="U117" i="152"/>
  <c r="U5" i="152"/>
  <c r="U173" i="152"/>
  <c r="U61" i="152"/>
  <c r="U63" i="144"/>
  <c r="U7" i="144"/>
  <c r="U175" i="144"/>
  <c r="U119" i="144"/>
  <c r="V154" i="152"/>
  <c r="V210" i="152"/>
  <c r="V98" i="152"/>
  <c r="V42" i="152"/>
  <c r="U158" i="144"/>
  <c r="U214" i="144"/>
  <c r="U46" i="144"/>
  <c r="U102" i="144"/>
  <c r="N77" i="144"/>
  <c r="N21" i="144"/>
  <c r="N189" i="144"/>
  <c r="N133" i="144"/>
  <c r="U211" i="147"/>
  <c r="T39" i="152"/>
  <c r="T47" i="152" s="1"/>
  <c r="T95" i="152"/>
  <c r="T103" i="152" s="1"/>
  <c r="T151" i="152"/>
  <c r="T159" i="152" s="1"/>
  <c r="T207" i="152"/>
  <c r="T215" i="152" s="1"/>
  <c r="U62" i="144"/>
  <c r="U174" i="144"/>
  <c r="U6" i="144"/>
  <c r="U118" i="144"/>
  <c r="V115" i="152"/>
  <c r="V3" i="152"/>
  <c r="V59" i="152"/>
  <c r="V171" i="152"/>
  <c r="U135" i="152"/>
  <c r="U23" i="152"/>
  <c r="U191" i="152"/>
  <c r="U79" i="152"/>
  <c r="U195" i="152"/>
  <c r="U139" i="152"/>
  <c r="U83" i="152"/>
  <c r="U27" i="152"/>
  <c r="U7" i="152"/>
  <c r="U175" i="152"/>
  <c r="U63" i="152"/>
  <c r="U119" i="152"/>
  <c r="U208" i="144"/>
  <c r="U96" i="144"/>
  <c r="U152" i="144"/>
  <c r="U40" i="144"/>
  <c r="V59" i="144"/>
  <c r="V115" i="144"/>
  <c r="V3" i="144"/>
  <c r="V171" i="144"/>
  <c r="U122" i="152"/>
  <c r="U178" i="152"/>
  <c r="U66" i="152"/>
  <c r="U10" i="152"/>
  <c r="V138" i="152"/>
  <c r="V82" i="152"/>
  <c r="V26" i="152"/>
  <c r="V194" i="152"/>
  <c r="U60" i="144"/>
  <c r="U172" i="144"/>
  <c r="U116" i="144"/>
  <c r="U4" i="144"/>
  <c r="U60" i="152"/>
  <c r="U172" i="152"/>
  <c r="U4" i="152"/>
  <c r="U116" i="152"/>
  <c r="V154" i="144"/>
  <c r="V210" i="144"/>
  <c r="V98" i="144"/>
  <c r="V42" i="144"/>
  <c r="U212" i="144"/>
  <c r="U156" i="144"/>
  <c r="U100" i="144"/>
  <c r="U44" i="144"/>
  <c r="U174" i="152"/>
  <c r="U6" i="152"/>
  <c r="U118" i="152"/>
  <c r="U62" i="152"/>
  <c r="U45" i="144"/>
  <c r="U213" i="144"/>
  <c r="U157" i="144"/>
  <c r="U101" i="144"/>
  <c r="U40" i="152"/>
  <c r="U152" i="152"/>
  <c r="U96" i="152"/>
  <c r="U208" i="152"/>
  <c r="U155" i="152"/>
  <c r="U99" i="152"/>
  <c r="U43" i="152"/>
  <c r="U211" i="152"/>
  <c r="U176" i="144"/>
  <c r="U64" i="144"/>
  <c r="U120" i="144"/>
  <c r="U8" i="144"/>
  <c r="U196" i="144"/>
  <c r="U84" i="144"/>
  <c r="U28" i="144"/>
  <c r="U140" i="144"/>
  <c r="U61" i="144"/>
  <c r="U173" i="144"/>
  <c r="U5" i="144"/>
  <c r="U117" i="144"/>
  <c r="U134" i="144"/>
  <c r="U78" i="144"/>
  <c r="U190" i="144"/>
  <c r="U22" i="144"/>
  <c r="T229" i="134"/>
  <c r="T207" i="144"/>
  <c r="T215" i="144" s="1"/>
  <c r="T95" i="144"/>
  <c r="T103" i="144" s="1"/>
  <c r="T39" i="144"/>
  <c r="T47" i="144" s="1"/>
  <c r="T151" i="144"/>
  <c r="T159" i="144" s="1"/>
  <c r="U65" i="152"/>
  <c r="U121" i="152"/>
  <c r="U177" i="152"/>
  <c r="U9" i="152"/>
  <c r="U191" i="144"/>
  <c r="U135" i="144"/>
  <c r="U23" i="144"/>
  <c r="U79" i="144"/>
  <c r="U41" i="152"/>
  <c r="U153" i="152"/>
  <c r="U209" i="152"/>
  <c r="U97" i="152"/>
  <c r="U65" i="144"/>
  <c r="U121" i="144"/>
  <c r="U177" i="144"/>
  <c r="U9" i="144"/>
  <c r="U101" i="152"/>
  <c r="U45" i="152"/>
  <c r="U157" i="152"/>
  <c r="U213" i="152"/>
  <c r="U44" i="152"/>
  <c r="U212" i="152"/>
  <c r="U156" i="152"/>
  <c r="U100" i="152"/>
  <c r="U190" i="152"/>
  <c r="U22" i="152"/>
  <c r="U78" i="152"/>
  <c r="U134" i="152"/>
  <c r="U140" i="152"/>
  <c r="U28" i="152"/>
  <c r="U84" i="152"/>
  <c r="U196" i="152"/>
  <c r="N138" i="147"/>
  <c r="M193" i="152"/>
  <c r="M197" i="152" s="1"/>
  <c r="M25" i="152"/>
  <c r="M29" i="152" s="1"/>
  <c r="M81" i="152"/>
  <c r="M85" i="152" s="1"/>
  <c r="M137" i="152"/>
  <c r="M141" i="152" s="1"/>
  <c r="U211" i="144"/>
  <c r="U155" i="144"/>
  <c r="U99" i="144"/>
  <c r="U43" i="144"/>
  <c r="U192" i="152"/>
  <c r="U136" i="152"/>
  <c r="U80" i="152"/>
  <c r="U24" i="152"/>
  <c r="W70" i="138"/>
  <c r="W70" i="147"/>
  <c r="W72" i="147" s="1"/>
  <c r="U71" i="134"/>
  <c r="V58" i="134"/>
  <c r="V65" i="147"/>
  <c r="W57" i="147"/>
  <c r="U220" i="134"/>
  <c r="U234" i="134"/>
  <c r="U236" i="134" s="1"/>
  <c r="V224" i="134"/>
  <c r="V76" i="134"/>
  <c r="V78" i="134" s="1"/>
  <c r="W62" i="147"/>
  <c r="W131" i="147"/>
  <c r="V68" i="134"/>
  <c r="W132" i="147"/>
  <c r="V227" i="134"/>
  <c r="V148" i="134"/>
  <c r="V226" i="134"/>
  <c r="V207" i="134"/>
  <c r="W214" i="138"/>
  <c r="W231" i="138"/>
  <c r="W190" i="147"/>
  <c r="W217" i="138"/>
  <c r="W226" i="138" s="1"/>
  <c r="V144" i="134"/>
  <c r="W136" i="147"/>
  <c r="V64" i="134"/>
  <c r="W208" i="147"/>
  <c r="W60" i="147"/>
  <c r="W204" i="147"/>
  <c r="W206" i="147"/>
  <c r="V147" i="134"/>
  <c r="W130" i="147"/>
  <c r="W209" i="147"/>
  <c r="W58" i="147"/>
  <c r="W63" i="147"/>
  <c r="V66" i="134"/>
  <c r="V216" i="147"/>
  <c r="V218" i="147" s="1"/>
  <c r="V199" i="147"/>
  <c r="V202" i="147"/>
  <c r="V142" i="134"/>
  <c r="W207" i="147"/>
  <c r="V63" i="134"/>
  <c r="V222" i="134"/>
  <c r="W203" i="147"/>
  <c r="V221" i="134"/>
  <c r="W61" i="147"/>
  <c r="V67" i="134"/>
  <c r="V143" i="134"/>
  <c r="W135" i="147"/>
  <c r="V65" i="134"/>
  <c r="W59" i="147"/>
  <c r="W53" i="147"/>
  <c r="V225" i="134"/>
  <c r="V69" i="134"/>
  <c r="Q129" i="147"/>
  <c r="O133" i="147"/>
  <c r="O143" i="147"/>
  <c r="O145" i="147" s="1"/>
  <c r="O126" i="147"/>
  <c r="O141" i="134"/>
  <c r="P78" i="137"/>
  <c r="P82" i="137" s="1"/>
  <c r="P131" i="138"/>
  <c r="P121" i="147" s="1"/>
  <c r="O143" i="138"/>
  <c r="O148" i="138" s="1"/>
  <c r="N132" i="134"/>
  <c r="O153" i="138"/>
  <c r="O136" i="138"/>
  <c r="M145" i="134"/>
  <c r="M155" i="134"/>
  <c r="M157" i="134" s="1"/>
  <c r="M137" i="134"/>
  <c r="P128" i="134"/>
  <c r="Q139" i="138"/>
  <c r="R127" i="138"/>
  <c r="R117" i="147" s="1"/>
  <c r="R74" i="137"/>
  <c r="Q42" i="137"/>
  <c r="P46" i="137"/>
  <c r="S38" i="137"/>
  <c r="U123" i="152" l="1"/>
  <c r="U11" i="144"/>
  <c r="U67" i="152"/>
  <c r="U123" i="144"/>
  <c r="U179" i="144"/>
  <c r="U179" i="152"/>
  <c r="U67" i="144"/>
  <c r="U11" i="152"/>
  <c r="V44" i="144"/>
  <c r="V100" i="144"/>
  <c r="V156" i="144"/>
  <c r="V212" i="144"/>
  <c r="V190" i="152"/>
  <c r="V134" i="152"/>
  <c r="V78" i="152"/>
  <c r="V22" i="152"/>
  <c r="V174" i="152"/>
  <c r="V6" i="152"/>
  <c r="V118" i="152"/>
  <c r="V62" i="152"/>
  <c r="V195" i="152"/>
  <c r="V83" i="152"/>
  <c r="V139" i="152"/>
  <c r="V27" i="152"/>
  <c r="V7" i="152"/>
  <c r="V175" i="152"/>
  <c r="V119" i="152"/>
  <c r="V63" i="152"/>
  <c r="V64" i="144"/>
  <c r="V120" i="144"/>
  <c r="V176" i="144"/>
  <c r="V8" i="144"/>
  <c r="U229" i="134"/>
  <c r="U207" i="144"/>
  <c r="U215" i="144" s="1"/>
  <c r="U95" i="144"/>
  <c r="U103" i="144" s="1"/>
  <c r="U151" i="144"/>
  <c r="U159" i="144" s="1"/>
  <c r="U39" i="144"/>
  <c r="U47" i="144" s="1"/>
  <c r="V196" i="152"/>
  <c r="V140" i="152"/>
  <c r="V28" i="152"/>
  <c r="V84" i="152"/>
  <c r="O133" i="144"/>
  <c r="O77" i="144"/>
  <c r="O21" i="144"/>
  <c r="O189" i="144"/>
  <c r="V213" i="144"/>
  <c r="V157" i="144"/>
  <c r="V101" i="144"/>
  <c r="V45" i="144"/>
  <c r="V140" i="144"/>
  <c r="V196" i="144"/>
  <c r="V84" i="144"/>
  <c r="V28" i="144"/>
  <c r="V177" i="144"/>
  <c r="V65" i="144"/>
  <c r="V121" i="144"/>
  <c r="V9" i="144"/>
  <c r="V23" i="152"/>
  <c r="V191" i="152"/>
  <c r="V135" i="152"/>
  <c r="V79" i="152"/>
  <c r="V195" i="144"/>
  <c r="V139" i="144"/>
  <c r="V27" i="144"/>
  <c r="V83" i="144"/>
  <c r="V211" i="152"/>
  <c r="V99" i="152"/>
  <c r="V43" i="152"/>
  <c r="V155" i="152"/>
  <c r="V191" i="144"/>
  <c r="V135" i="144"/>
  <c r="V79" i="144"/>
  <c r="V23" i="144"/>
  <c r="V173" i="144"/>
  <c r="V5" i="144"/>
  <c r="V117" i="144"/>
  <c r="V61" i="144"/>
  <c r="V172" i="152"/>
  <c r="V116" i="152"/>
  <c r="V60" i="152"/>
  <c r="V4" i="152"/>
  <c r="V80" i="144"/>
  <c r="V24" i="144"/>
  <c r="V192" i="144"/>
  <c r="V136" i="144"/>
  <c r="V97" i="144"/>
  <c r="V209" i="144"/>
  <c r="V153" i="144"/>
  <c r="V41" i="144"/>
  <c r="V172" i="144"/>
  <c r="V60" i="144"/>
  <c r="V116" i="144"/>
  <c r="V4" i="144"/>
  <c r="V44" i="152"/>
  <c r="V212" i="152"/>
  <c r="V100" i="152"/>
  <c r="V156" i="152"/>
  <c r="V63" i="144"/>
  <c r="V67" i="144" s="1"/>
  <c r="V175" i="144"/>
  <c r="V7" i="144"/>
  <c r="V119" i="144"/>
  <c r="P21" i="152"/>
  <c r="P77" i="152"/>
  <c r="P133" i="152"/>
  <c r="P189" i="152"/>
  <c r="V122" i="152"/>
  <c r="V178" i="152"/>
  <c r="V10" i="152"/>
  <c r="V66" i="152"/>
  <c r="V214" i="144"/>
  <c r="V46" i="144"/>
  <c r="V102" i="144"/>
  <c r="V158" i="144"/>
  <c r="V102" i="152"/>
  <c r="V158" i="152"/>
  <c r="V46" i="152"/>
  <c r="V214" i="152"/>
  <c r="V65" i="152"/>
  <c r="V121" i="152"/>
  <c r="V9" i="152"/>
  <c r="V177" i="152"/>
  <c r="V62" i="144"/>
  <c r="V174" i="144"/>
  <c r="V6" i="144"/>
  <c r="V118" i="144"/>
  <c r="V41" i="152"/>
  <c r="V97" i="152"/>
  <c r="V153" i="152"/>
  <c r="V209" i="152"/>
  <c r="V211" i="144"/>
  <c r="V155" i="144"/>
  <c r="V99" i="144"/>
  <c r="V43" i="144"/>
  <c r="V101" i="152"/>
  <c r="V157" i="152"/>
  <c r="V45" i="152"/>
  <c r="V213" i="152"/>
  <c r="M193" i="144"/>
  <c r="M197" i="144" s="1"/>
  <c r="M25" i="144"/>
  <c r="M29" i="144" s="1"/>
  <c r="M137" i="144"/>
  <c r="M141" i="144" s="1"/>
  <c r="M81" i="144"/>
  <c r="M85" i="144" s="1"/>
  <c r="V8" i="152"/>
  <c r="V64" i="152"/>
  <c r="V176" i="152"/>
  <c r="V120" i="152"/>
  <c r="V208" i="144"/>
  <c r="V96" i="144"/>
  <c r="V152" i="144"/>
  <c r="V40" i="144"/>
  <c r="V152" i="152"/>
  <c r="V208" i="152"/>
  <c r="V96" i="152"/>
  <c r="V40" i="152"/>
  <c r="V134" i="144"/>
  <c r="V78" i="144"/>
  <c r="V190" i="144"/>
  <c r="V22" i="144"/>
  <c r="V211" i="147"/>
  <c r="U39" i="152"/>
  <c r="U47" i="152" s="1"/>
  <c r="U95" i="152"/>
  <c r="U103" i="152" s="1"/>
  <c r="U207" i="152"/>
  <c r="U215" i="152" s="1"/>
  <c r="U151" i="152"/>
  <c r="U159" i="152" s="1"/>
  <c r="O138" i="147"/>
  <c r="N193" i="152"/>
  <c r="N197" i="152" s="1"/>
  <c r="N25" i="152"/>
  <c r="N29" i="152" s="1"/>
  <c r="N81" i="152"/>
  <c r="N85" i="152" s="1"/>
  <c r="N137" i="152"/>
  <c r="N141" i="152" s="1"/>
  <c r="V122" i="144"/>
  <c r="V66" i="144"/>
  <c r="V10" i="144"/>
  <c r="V178" i="144"/>
  <c r="V117" i="152"/>
  <c r="V173" i="152"/>
  <c r="V61" i="152"/>
  <c r="V5" i="152"/>
  <c r="V192" i="152"/>
  <c r="V136" i="152"/>
  <c r="V80" i="152"/>
  <c r="V24" i="152"/>
  <c r="M150" i="134"/>
  <c r="V71" i="134"/>
  <c r="W65" i="147"/>
  <c r="V216" i="134"/>
  <c r="V220" i="134"/>
  <c r="V234" i="134"/>
  <c r="V236" i="134" s="1"/>
  <c r="W216" i="147"/>
  <c r="W218" i="147" s="1"/>
  <c r="W202" i="147"/>
  <c r="W199" i="147"/>
  <c r="R129" i="147"/>
  <c r="P133" i="147"/>
  <c r="P143" i="147"/>
  <c r="P145" i="147" s="1"/>
  <c r="P126" i="147"/>
  <c r="P141" i="134"/>
  <c r="N145" i="134"/>
  <c r="N155" i="134"/>
  <c r="N157" i="134" s="1"/>
  <c r="N137" i="134"/>
  <c r="P143" i="138"/>
  <c r="P148" i="138" s="1"/>
  <c r="O132" i="134"/>
  <c r="P153" i="138"/>
  <c r="P136" i="138"/>
  <c r="Q78" i="137"/>
  <c r="Q82" i="137" s="1"/>
  <c r="Q131" i="138"/>
  <c r="Q121" i="147" s="1"/>
  <c r="Q128" i="134"/>
  <c r="R139" i="138"/>
  <c r="S127" i="138"/>
  <c r="S117" i="147" s="1"/>
  <c r="S74" i="137"/>
  <c r="R42" i="137"/>
  <c r="Q46" i="137"/>
  <c r="T38" i="137"/>
  <c r="V123" i="152" l="1"/>
  <c r="V11" i="144"/>
  <c r="V11" i="152"/>
  <c r="V179" i="152"/>
  <c r="V179" i="144"/>
  <c r="V123" i="144"/>
  <c r="V67" i="152"/>
  <c r="Q189" i="152"/>
  <c r="Q77" i="152"/>
  <c r="Q21" i="152"/>
  <c r="Q133" i="152"/>
  <c r="P138" i="147"/>
  <c r="O193" i="152"/>
  <c r="O197" i="152" s="1"/>
  <c r="O81" i="152"/>
  <c r="O85" i="152" s="1"/>
  <c r="O137" i="152"/>
  <c r="O141" i="152" s="1"/>
  <c r="O25" i="152"/>
  <c r="O29" i="152" s="1"/>
  <c r="V229" i="134"/>
  <c r="V207" i="144"/>
  <c r="V215" i="144" s="1"/>
  <c r="V151" i="144"/>
  <c r="V159" i="144" s="1"/>
  <c r="V95" i="144"/>
  <c r="V103" i="144" s="1"/>
  <c r="V39" i="144"/>
  <c r="V47" i="144" s="1"/>
  <c r="N193" i="144"/>
  <c r="N197" i="144" s="1"/>
  <c r="N137" i="144"/>
  <c r="N141" i="144" s="1"/>
  <c r="N25" i="144"/>
  <c r="N29" i="144" s="1"/>
  <c r="N81" i="144"/>
  <c r="N85" i="144" s="1"/>
  <c r="W211" i="147"/>
  <c r="V207" i="152"/>
  <c r="V215" i="152" s="1"/>
  <c r="V151" i="152"/>
  <c r="V159" i="152" s="1"/>
  <c r="V95" i="152"/>
  <c r="V103" i="152" s="1"/>
  <c r="V39" i="152"/>
  <c r="V47" i="152" s="1"/>
  <c r="P189" i="144"/>
  <c r="P133" i="144"/>
  <c r="P77" i="144"/>
  <c r="P21" i="144"/>
  <c r="N150" i="134"/>
  <c r="S129" i="147"/>
  <c r="Q133" i="147"/>
  <c r="Q126" i="147"/>
  <c r="Q143" i="147"/>
  <c r="Q145" i="147" s="1"/>
  <c r="Q141" i="134"/>
  <c r="Q143" i="138"/>
  <c r="Q148" i="138" s="1"/>
  <c r="P132" i="134"/>
  <c r="Q153" i="138"/>
  <c r="Q136" i="138"/>
  <c r="O145" i="134"/>
  <c r="O137" i="134"/>
  <c r="O155" i="134"/>
  <c r="O157" i="134" s="1"/>
  <c r="R78" i="137"/>
  <c r="R82" i="137" s="1"/>
  <c r="R131" i="138"/>
  <c r="R121" i="147" s="1"/>
  <c r="T74" i="137"/>
  <c r="T127" i="138"/>
  <c r="T117" i="147" s="1"/>
  <c r="R128" i="134"/>
  <c r="S139" i="138"/>
  <c r="S42" i="137"/>
  <c r="R46" i="137"/>
  <c r="U38" i="137"/>
  <c r="O193" i="144" l="1"/>
  <c r="O197" i="144" s="1"/>
  <c r="O137" i="144"/>
  <c r="O141" i="144" s="1"/>
  <c r="O25" i="144"/>
  <c r="O81" i="144"/>
  <c r="O85" i="144" s="1"/>
  <c r="R189" i="152"/>
  <c r="R21" i="152"/>
  <c r="R133" i="152"/>
  <c r="R77" i="152"/>
  <c r="Q189" i="144"/>
  <c r="Q21" i="144"/>
  <c r="Q77" i="144"/>
  <c r="Q133" i="144"/>
  <c r="Q138" i="147"/>
  <c r="P81" i="152"/>
  <c r="P85" i="152" s="1"/>
  <c r="P193" i="152"/>
  <c r="P197" i="152" s="1"/>
  <c r="P137" i="152"/>
  <c r="P141" i="152" s="1"/>
  <c r="P25" i="152"/>
  <c r="P29" i="152" s="1"/>
  <c r="O150" i="134"/>
  <c r="O29" i="144"/>
  <c r="T129" i="147"/>
  <c r="R133" i="147"/>
  <c r="R143" i="147"/>
  <c r="R145" i="147" s="1"/>
  <c r="R126" i="147"/>
  <c r="R141" i="134"/>
  <c r="R143" i="138"/>
  <c r="R148" i="138" s="1"/>
  <c r="Q216" i="134" s="1"/>
  <c r="Q132" i="134"/>
  <c r="R153" i="138"/>
  <c r="R136" i="138"/>
  <c r="P145" i="134"/>
  <c r="P137" i="134"/>
  <c r="P155" i="134"/>
  <c r="P157" i="134" s="1"/>
  <c r="S78" i="137"/>
  <c r="S82" i="137" s="1"/>
  <c r="S131" i="138"/>
  <c r="S121" i="147" s="1"/>
  <c r="S128" i="134"/>
  <c r="T139" i="138"/>
  <c r="U127" i="138"/>
  <c r="U117" i="147" s="1"/>
  <c r="U74" i="137"/>
  <c r="T42" i="137"/>
  <c r="S46" i="137"/>
  <c r="V38" i="137"/>
  <c r="R138" i="147" l="1"/>
  <c r="Q137" i="152"/>
  <c r="Q141" i="152" s="1"/>
  <c r="Q25" i="152"/>
  <c r="Q29" i="152" s="1"/>
  <c r="Q81" i="152"/>
  <c r="Q85" i="152" s="1"/>
  <c r="Q193" i="152"/>
  <c r="Q197" i="152" s="1"/>
  <c r="P137" i="144"/>
  <c r="P141" i="144" s="1"/>
  <c r="P81" i="144"/>
  <c r="P85" i="144" s="1"/>
  <c r="P25" i="144"/>
  <c r="P29" i="144" s="1"/>
  <c r="P193" i="144"/>
  <c r="P197" i="144" s="1"/>
  <c r="R189" i="144"/>
  <c r="R21" i="144"/>
  <c r="R77" i="144"/>
  <c r="R133" i="144"/>
  <c r="S189" i="152"/>
  <c r="S21" i="152"/>
  <c r="S133" i="152"/>
  <c r="S77" i="152"/>
  <c r="P150" i="134"/>
  <c r="S133" i="147"/>
  <c r="S126" i="147"/>
  <c r="S143" i="147"/>
  <c r="S145" i="147" s="1"/>
  <c r="U129" i="147"/>
  <c r="S141" i="134"/>
  <c r="S143" i="138"/>
  <c r="S148" i="138" s="1"/>
  <c r="R132" i="134"/>
  <c r="S136" i="138"/>
  <c r="S153" i="138"/>
  <c r="Q145" i="134"/>
  <c r="Q155" i="134"/>
  <c r="Q157" i="134" s="1"/>
  <c r="Q137" i="134"/>
  <c r="T78" i="137"/>
  <c r="T82" i="137" s="1"/>
  <c r="T131" i="138"/>
  <c r="T121" i="147" s="1"/>
  <c r="V74" i="137"/>
  <c r="V127" i="138"/>
  <c r="V117" i="147" s="1"/>
  <c r="T128" i="134"/>
  <c r="U139" i="138"/>
  <c r="U42" i="137"/>
  <c r="T46" i="137"/>
  <c r="W38" i="137"/>
  <c r="S189" i="144" l="1"/>
  <c r="S21" i="144"/>
  <c r="S77" i="144"/>
  <c r="S133" i="144"/>
  <c r="S138" i="147"/>
  <c r="R137" i="152"/>
  <c r="R141" i="152" s="1"/>
  <c r="R25" i="152"/>
  <c r="R29" i="152" s="1"/>
  <c r="R193" i="152"/>
  <c r="R197" i="152" s="1"/>
  <c r="R81" i="152"/>
  <c r="R85" i="152" s="1"/>
  <c r="Q193" i="144"/>
  <c r="Q197" i="144" s="1"/>
  <c r="Q137" i="144"/>
  <c r="Q141" i="144" s="1"/>
  <c r="Q81" i="144"/>
  <c r="Q85" i="144" s="1"/>
  <c r="Q25" i="144"/>
  <c r="Q29" i="144" s="1"/>
  <c r="T21" i="152"/>
  <c r="T189" i="152"/>
  <c r="T133" i="152"/>
  <c r="T77" i="152"/>
  <c r="Q150" i="134"/>
  <c r="V129" i="147"/>
  <c r="T133" i="147"/>
  <c r="T126" i="147"/>
  <c r="T143" i="147"/>
  <c r="T145" i="147" s="1"/>
  <c r="T141" i="134"/>
  <c r="T143" i="138"/>
  <c r="T148" i="138" s="1"/>
  <c r="S132" i="134"/>
  <c r="T153" i="138"/>
  <c r="T136" i="138"/>
  <c r="R145" i="134"/>
  <c r="R155" i="134"/>
  <c r="R157" i="134" s="1"/>
  <c r="R137" i="134"/>
  <c r="U78" i="137"/>
  <c r="U82" i="137" s="1"/>
  <c r="U131" i="138"/>
  <c r="U121" i="147" s="1"/>
  <c r="W127" i="138"/>
  <c r="W117" i="147" s="1"/>
  <c r="W74" i="137"/>
  <c r="U128" i="134"/>
  <c r="V139" i="138"/>
  <c r="V42" i="137"/>
  <c r="U46" i="137"/>
  <c r="T189" i="144" l="1"/>
  <c r="T21" i="144"/>
  <c r="T77" i="144"/>
  <c r="T133" i="144"/>
  <c r="U189" i="152"/>
  <c r="U133" i="152"/>
  <c r="U77" i="152"/>
  <c r="U21" i="152"/>
  <c r="R193" i="144"/>
  <c r="R197" i="144" s="1"/>
  <c r="R137" i="144"/>
  <c r="R141" i="144" s="1"/>
  <c r="R81" i="144"/>
  <c r="R85" i="144" s="1"/>
  <c r="R25" i="144"/>
  <c r="R29" i="144" s="1"/>
  <c r="T138" i="147"/>
  <c r="S137" i="152"/>
  <c r="S141" i="152" s="1"/>
  <c r="S25" i="152"/>
  <c r="S29" i="152" s="1"/>
  <c r="S81" i="152"/>
  <c r="S85" i="152" s="1"/>
  <c r="S193" i="152"/>
  <c r="S197" i="152" s="1"/>
  <c r="R150" i="134"/>
  <c r="W129" i="147"/>
  <c r="U133" i="147"/>
  <c r="U143" i="147"/>
  <c r="U145" i="147" s="1"/>
  <c r="U126" i="147"/>
  <c r="U141" i="134"/>
  <c r="S145" i="134"/>
  <c r="S155" i="134"/>
  <c r="S157" i="134" s="1"/>
  <c r="S137" i="134"/>
  <c r="T132" i="134"/>
  <c r="U143" i="138"/>
  <c r="U148" i="138" s="1"/>
  <c r="U153" i="138"/>
  <c r="U136" i="138"/>
  <c r="V78" i="137"/>
  <c r="V82" i="137" s="1"/>
  <c r="V131" i="138"/>
  <c r="V121" i="147" s="1"/>
  <c r="V128" i="134"/>
  <c r="W139" i="138"/>
  <c r="W42" i="137"/>
  <c r="V46" i="137"/>
  <c r="U189" i="144" l="1"/>
  <c r="U21" i="144"/>
  <c r="U77" i="144"/>
  <c r="U133" i="144"/>
  <c r="U138" i="147"/>
  <c r="T25" i="152"/>
  <c r="T29" i="152" s="1"/>
  <c r="T137" i="152"/>
  <c r="T141" i="152" s="1"/>
  <c r="T193" i="152"/>
  <c r="T197" i="152" s="1"/>
  <c r="T81" i="152"/>
  <c r="T85" i="152" s="1"/>
  <c r="S193" i="144"/>
  <c r="S197" i="144" s="1"/>
  <c r="S137" i="144"/>
  <c r="S141" i="144" s="1"/>
  <c r="S81" i="144"/>
  <c r="S85" i="144" s="1"/>
  <c r="S25" i="144"/>
  <c r="S29" i="144" s="1"/>
  <c r="V133" i="152"/>
  <c r="V21" i="152"/>
  <c r="V189" i="152"/>
  <c r="V77" i="152"/>
  <c r="S150" i="134"/>
  <c r="V133" i="147"/>
  <c r="V143" i="147"/>
  <c r="V145" i="147" s="1"/>
  <c r="V126" i="147"/>
  <c r="V141" i="134"/>
  <c r="W46" i="137"/>
  <c r="W78" i="137"/>
  <c r="W82" i="137" s="1"/>
  <c r="W131" i="138"/>
  <c r="W121" i="147" s="1"/>
  <c r="T145" i="134"/>
  <c r="T137" i="134"/>
  <c r="T155" i="134"/>
  <c r="T157" i="134" s="1"/>
  <c r="V143" i="138"/>
  <c r="V148" i="138" s="1"/>
  <c r="U216" i="134" s="1"/>
  <c r="U132" i="134"/>
  <c r="V153" i="138"/>
  <c r="V136" i="138"/>
  <c r="T193" i="144" l="1"/>
  <c r="T197" i="144" s="1"/>
  <c r="T137" i="144"/>
  <c r="T141" i="144" s="1"/>
  <c r="T81" i="144"/>
  <c r="T85" i="144" s="1"/>
  <c r="T25" i="144"/>
  <c r="T29" i="144" s="1"/>
  <c r="V189" i="144"/>
  <c r="V21" i="144"/>
  <c r="V133" i="144"/>
  <c r="V77" i="144"/>
  <c r="V138" i="147"/>
  <c r="U81" i="152"/>
  <c r="U85" i="152" s="1"/>
  <c r="U25" i="152"/>
  <c r="U29" i="152" s="1"/>
  <c r="U137" i="152"/>
  <c r="U141" i="152" s="1"/>
  <c r="U193" i="152"/>
  <c r="U197" i="152" s="1"/>
  <c r="T150" i="134"/>
  <c r="W133" i="147"/>
  <c r="W143" i="147"/>
  <c r="W145" i="147" s="1"/>
  <c r="W126" i="147"/>
  <c r="U145" i="134"/>
  <c r="U155" i="134"/>
  <c r="U157" i="134" s="1"/>
  <c r="U137" i="134"/>
  <c r="W143" i="138"/>
  <c r="W148" i="138" s="1"/>
  <c r="V132" i="134"/>
  <c r="W153" i="138"/>
  <c r="W136" i="138"/>
  <c r="W138" i="147" l="1"/>
  <c r="V81" i="152"/>
  <c r="V85" i="152" s="1"/>
  <c r="V25" i="152"/>
  <c r="V29" i="152" s="1"/>
  <c r="V193" i="152"/>
  <c r="V197" i="152" s="1"/>
  <c r="V137" i="152"/>
  <c r="V141" i="152" s="1"/>
  <c r="U193" i="144"/>
  <c r="U197" i="144" s="1"/>
  <c r="U137" i="144"/>
  <c r="U141" i="144" s="1"/>
  <c r="U25" i="144"/>
  <c r="U29" i="144" s="1"/>
  <c r="U81" i="144"/>
  <c r="U85" i="144" s="1"/>
  <c r="U150" i="134"/>
  <c r="V145" i="134"/>
  <c r="V155" i="134"/>
  <c r="V157" i="134" s="1"/>
  <c r="V137" i="134"/>
  <c r="V193" i="144" l="1"/>
  <c r="V197" i="144" s="1"/>
  <c r="V25" i="144"/>
  <c r="V137" i="144"/>
  <c r="V141" i="144" s="1"/>
  <c r="V81" i="144"/>
  <c r="V85" i="144" s="1"/>
  <c r="V150" i="134"/>
  <c r="V29" i="144"/>
</calcChain>
</file>

<file path=xl/sharedStrings.xml><?xml version="1.0" encoding="utf-8"?>
<sst xmlns="http://schemas.openxmlformats.org/spreadsheetml/2006/main" count="2727" uniqueCount="236">
  <si>
    <t>Capabilities/Uses:</t>
  </si>
  <si>
    <t>Main Datasets:</t>
  </si>
  <si>
    <t>Reference:</t>
  </si>
  <si>
    <t>Read Me</t>
  </si>
  <si>
    <t>Overview</t>
  </si>
  <si>
    <t>Approach</t>
  </si>
  <si>
    <t>Parameter</t>
  </si>
  <si>
    <t>High</t>
  </si>
  <si>
    <t>Low</t>
  </si>
  <si>
    <t>Unit</t>
  </si>
  <si>
    <t>Value</t>
  </si>
  <si>
    <t>-</t>
  </si>
  <si>
    <t>Contact: Edward Oughton (eoughton@teltrium.com); Erica Weir (eweir@teltrium.com).</t>
  </si>
  <si>
    <t>Developed by Teltrium Inc. for NASA SCaN</t>
  </si>
  <si>
    <t xml:space="preserve">    - Quantifying current and future data traffic demand under realistic scenarios.</t>
  </si>
  <si>
    <t xml:space="preserve">    - Supporting high-level decisions pertaining to commercialization strategies of NASA's Near Space Network.</t>
  </si>
  <si>
    <t xml:space="preserve">    - Estimating the cost of moving both current and future traffic demand via commerical operators.</t>
  </si>
  <si>
    <t xml:space="preserve">    - Exploring the implications of centralized or decentralized purchasing of commercial network capacity.</t>
  </si>
  <si>
    <t xml:space="preserve">    - Quantifying the trade-offs in selecting either a small (n=2) or large (n=5) number of commercial suppliers. </t>
  </si>
  <si>
    <t>Caveats to using ASCEND:</t>
  </si>
  <si>
    <t>Assessing Commercialization Strategies for Evolving Network Demand (ASCEND)</t>
  </si>
  <si>
    <t xml:space="preserve">    - ASCEND is not a replacement for detailed network-specific modeling. The aim is to provide an understanding of incremental cost for different sized network suppliers.</t>
  </si>
  <si>
    <t xml:space="preserve">    - ASCEND is not an exact measurement tool but a scenario-based decision-support model which helps to understand future (unknown) scenarios.</t>
  </si>
  <si>
    <t xml:space="preserve">    - ASCEND utilizes parameter assumptions when reliable scientific data are not available, if there are questions regarding the approach, reach out to the model creators (eoughton@teltrium.com; eweir@teltrium.com).</t>
  </si>
  <si>
    <t>Tbc</t>
  </si>
  <si>
    <t>Oughton, E.J., D. Weir, E. et al., 20234 “Assessing Commercialization Strategies for Evolving Network Demand at NASA's Space Communications and Networking (SCaN) program”, Working Paper 24/XX.</t>
  </si>
  <si>
    <t>- This tool provides investment analytics for commercializing the NASA Near Space Network (NSN).</t>
  </si>
  <si>
    <t>- A variety of hypothetical networks are modeled to explore the implications of current and future demand on incremental cost.</t>
  </si>
  <si>
    <t>- The focus is on modeling Low Earth Orbit (LEO) networks, as there is already considerable commercial activity taking place in this space.</t>
  </si>
  <si>
    <t>- The level of current and future network demand can be specified by the ASCEND user, initially parameterized using NASA's own forecasts.</t>
  </si>
  <si>
    <t>- The ASCEND user can then explore the techno-economic cost implications of utilizing different sized LEO networks.</t>
  </si>
  <si>
    <t>The ASCEND Method</t>
  </si>
  <si>
    <t>User</t>
  </si>
  <si>
    <t>AIM</t>
  </si>
  <si>
    <t>BRTS</t>
  </si>
  <si>
    <t>FGST</t>
  </si>
  <si>
    <t>GPM</t>
  </si>
  <si>
    <t>HST</t>
  </si>
  <si>
    <t>ICON</t>
  </si>
  <si>
    <t>ISS</t>
  </si>
  <si>
    <t>HTV</t>
  </si>
  <si>
    <t>JPSS-1</t>
  </si>
  <si>
    <t>LDB</t>
  </si>
  <si>
    <t>MTRS-2</t>
  </si>
  <si>
    <t>NPP</t>
  </si>
  <si>
    <t>OCO-2</t>
  </si>
  <si>
    <t>ORION</t>
  </si>
  <si>
    <t>RBSP-A</t>
  </si>
  <si>
    <t>RBSP-B</t>
  </si>
  <si>
    <t>SORCE</t>
  </si>
  <si>
    <t>SPTR-2</t>
  </si>
  <si>
    <t>THEMIS-A</t>
  </si>
  <si>
    <t>THEMIS-D</t>
  </si>
  <si>
    <t>THEMIS-E</t>
  </si>
  <si>
    <t>TIMED</t>
  </si>
  <si>
    <t>NEOWISE</t>
  </si>
  <si>
    <t>Near Earth Robotic - GEO and Near Earth</t>
  </si>
  <si>
    <t>Near Earth Robotic - LEO Science</t>
  </si>
  <si>
    <t>Launch Events</t>
  </si>
  <si>
    <t>Human Space Flight</t>
  </si>
  <si>
    <t>Near Earth Robotic - Low Latency &amp; Complex Needs</t>
  </si>
  <si>
    <t>Terrestrial &amp; Aerial</t>
  </si>
  <si>
    <t>Near Earth Robotic - Low Latency and Complex Needs</t>
  </si>
  <si>
    <t>ACE</t>
  </si>
  <si>
    <t>???</t>
  </si>
  <si>
    <t>AQUA</t>
  </si>
  <si>
    <t>ARTEMIS I</t>
  </si>
  <si>
    <t>ATLAS V</t>
  </si>
  <si>
    <t>AURA</t>
  </si>
  <si>
    <t>CLICK-A</t>
  </si>
  <si>
    <t>CYGNUS</t>
  </si>
  <si>
    <t>DELTA IV</t>
  </si>
  <si>
    <t>DRAGON</t>
  </si>
  <si>
    <t>ICESAT-2</t>
  </si>
  <si>
    <t>LANDSAT-7</t>
  </si>
  <si>
    <t>LANDSAT-8</t>
  </si>
  <si>
    <t>LANDSAT-9</t>
  </si>
  <si>
    <t>MINOTAUR</t>
  </si>
  <si>
    <t>NUSTAR</t>
  </si>
  <si>
    <t>STARLINER</t>
  </si>
  <si>
    <t>SWIFT</t>
  </si>
  <si>
    <t>TERRA</t>
  </si>
  <si>
    <t>DSCOVR</t>
  </si>
  <si>
    <t>GOES-14</t>
  </si>
  <si>
    <t>GOES-16</t>
  </si>
  <si>
    <t>GOES-17</t>
  </si>
  <si>
    <t>GOES-18</t>
  </si>
  <si>
    <t>MMS (ALL)</t>
  </si>
  <si>
    <t>Major</t>
  </si>
  <si>
    <t>Y</t>
  </si>
  <si>
    <t>Assured Data Delivery Service Mission Projections</t>
  </si>
  <si>
    <t>January 2020 - Dec 2022</t>
  </si>
  <si>
    <t>Near-Future (Jan 2023-Dec 2027)</t>
  </si>
  <si>
    <t>Mission Count</t>
  </si>
  <si>
    <t>Direct to Earth (DTE)</t>
  </si>
  <si>
    <t>Baseline</t>
  </si>
  <si>
    <t>Space Relay (SR)</t>
  </si>
  <si>
    <t>Passes Per Day (Per Mission)</t>
  </si>
  <si>
    <t>Service Time Per Year (Minutes)</t>
  </si>
  <si>
    <t>File Data Delivery and Networking Service Mission Projections</t>
  </si>
  <si>
    <t>Deep Space Robotic</t>
  </si>
  <si>
    <t>Mission Operations</t>
  </si>
  <si>
    <t>Use Case</t>
  </si>
  <si>
    <t>Count</t>
  </si>
  <si>
    <t>Total</t>
  </si>
  <si>
    <t>End of life missions</t>
  </si>
  <si>
    <t>Replacement new missions</t>
  </si>
  <si>
    <t>Total missions</t>
  </si>
  <si>
    <t>New</t>
  </si>
  <si>
    <t>Annual demand increase</t>
  </si>
  <si>
    <t>%</t>
  </si>
  <si>
    <t>Existing Missions</t>
  </si>
  <si>
    <t>Share</t>
  </si>
  <si>
    <t>Future DTE</t>
  </si>
  <si>
    <t>Additional new missions</t>
  </si>
  <si>
    <t>Existing</t>
  </si>
  <si>
    <t>Replacement</t>
  </si>
  <si>
    <t>NASA share of DTE minutes</t>
  </si>
  <si>
    <t>Source</t>
  </si>
  <si>
    <t>Assumption</t>
  </si>
  <si>
    <t>"User_Data_Vol_20210409.xslx"</t>
  </si>
  <si>
    <t>USD/Min</t>
  </si>
  <si>
    <t>Month 1</t>
  </si>
  <si>
    <t>Month 2</t>
  </si>
  <si>
    <t>Month 3</t>
  </si>
  <si>
    <t>Month 4</t>
  </si>
  <si>
    <t>Month 5</t>
  </si>
  <si>
    <t>Month 6</t>
  </si>
  <si>
    <t>Month 7</t>
  </si>
  <si>
    <t>Month 8</t>
  </si>
  <si>
    <t>Month 9</t>
  </si>
  <si>
    <t>Month 10</t>
  </si>
  <si>
    <t>Month 11</t>
  </si>
  <si>
    <t>Month 12</t>
  </si>
  <si>
    <t>0 </t>
  </si>
  <si>
    <t>MMS-1</t>
  </si>
  <si>
    <t>MMS-2</t>
  </si>
  <si>
    <t>MMS-3</t>
  </si>
  <si>
    <t>MMS-4</t>
  </si>
  <si>
    <t>TOTAL</t>
  </si>
  <si>
    <t xml:space="preserve">Aggregate use cases, so that we have a single graph with the low, baseline and high on a single plot. </t>
  </si>
  <si>
    <t>Excludes any missions with empty minute usage data.</t>
  </si>
  <si>
    <t>Total missions in the low demand scenario</t>
  </si>
  <si>
    <t>Total missions in the baseline demand scenario</t>
  </si>
  <si>
    <t>Total missions in the high demand scenario</t>
  </si>
  <si>
    <t>Additional new missions in the low demand scenario</t>
  </si>
  <si>
    <t>Additional new missions in the baseline demand scenario</t>
  </si>
  <si>
    <t>Additional new missions in the high demand scenario</t>
  </si>
  <si>
    <t>Use case</t>
  </si>
  <si>
    <t>DTE Average (Minutes)</t>
  </si>
  <si>
    <t>SR Average (Minutes)</t>
  </si>
  <si>
    <t xml:space="preserve">This sheet is a list of all current missions by use case. </t>
  </si>
  <si>
    <t>This sheet is an estimate of lifespans for all existing missions.</t>
  </si>
  <si>
    <t>This sheet reflects lifespan estimates for all existing missions, but by use case.</t>
  </si>
  <si>
    <t xml:space="preserve">This sheet helps to estimate the number of additional missions, when accouting for the end of life of various missions, so that total future missions matches NASA's low, baseline and high mission forecasts. </t>
  </si>
  <si>
    <t xml:space="preserve">This sheet details all lifespans, broken down by use case and existing/replacement missions, given NASA's low, baseline and high mission forecast. </t>
  </si>
  <si>
    <t>This sheet details the current and future DTE usage by mission.</t>
  </si>
  <si>
    <t xml:space="preserve">This sheed aims to generate the average minutes by use case for DTE and SR services. </t>
  </si>
  <si>
    <t xml:space="preserve">The DTE mean is based on annual data, whereas the SR mean is based on one year of monthly data. </t>
  </si>
  <si>
    <t>This is an estimate of the mean DTE minutes per mission or use case.</t>
  </si>
  <si>
    <t>Estimate of the number of minutes by mission/use case, accounting for lifespans/new missions, and an annual demand increase factor (reflected only in new missions, e.g., from increasing technological demands resulting from higher resolution data).</t>
  </si>
  <si>
    <t xml:space="preserve">This sheet represents SR usage in minutes. </t>
  </si>
  <si>
    <t>These estimates come from the excel file entitled: "CutOffsWorking.xlsx".</t>
  </si>
  <si>
    <t>Data taken from "User_Data_Vol_20210409.xlsx".</t>
  </si>
  <si>
    <t>This sheet represents the number of minutes of SR usage, based on the mean.</t>
  </si>
  <si>
    <t>Antenna</t>
  </si>
  <si>
    <t>ICT equipment</t>
  </si>
  <si>
    <t>Civil engineering structure</t>
  </si>
  <si>
    <t>Construction labor</t>
  </si>
  <si>
    <t>Fixed fiber connection</t>
  </si>
  <si>
    <t>Satellite Manufacture</t>
  </si>
  <si>
    <t>Satellite Launch</t>
  </si>
  <si>
    <t>Staff labor</t>
  </si>
  <si>
    <t>Energy</t>
  </si>
  <si>
    <t>Spectrum license fees</t>
  </si>
  <si>
    <t>Other regulatory fees</t>
  </si>
  <si>
    <t xml:space="preserve">Research and Development </t>
  </si>
  <si>
    <t>Discount rate</t>
  </si>
  <si>
    <t>Asset lifetime</t>
  </si>
  <si>
    <t>Quantity</t>
  </si>
  <si>
    <t>$USD</t>
  </si>
  <si>
    <t>Capex</t>
  </si>
  <si>
    <t>DTE/SR</t>
  </si>
  <si>
    <t>SR</t>
  </si>
  <si>
    <t>Opex</t>
  </si>
  <si>
    <t>Percent</t>
  </si>
  <si>
    <t>Years</t>
  </si>
  <si>
    <t>Cost (USD)</t>
  </si>
  <si>
    <t>Variable Type</t>
  </si>
  <si>
    <t>Asset Type</t>
  </si>
  <si>
    <t>DTE Asset Categories</t>
  </si>
  <si>
    <t>SR Asset Categories</t>
  </si>
  <si>
    <t>$USD/worker/day</t>
  </si>
  <si>
    <t>$USD/km</t>
  </si>
  <si>
    <t>$USD/kwh</t>
  </si>
  <si>
    <t>Present Value (2024)</t>
  </si>
  <si>
    <t>DTE cost per minute</t>
  </si>
  <si>
    <t>DTE minutes utilization rate</t>
  </si>
  <si>
    <t>cost_USD/Minute</t>
  </si>
  <si>
    <t>price_usd/Minute</t>
  </si>
  <si>
    <t>Present Value (USD)</t>
  </si>
  <si>
    <t>USD/Minute</t>
  </si>
  <si>
    <t>Price/Minute 10% Profit</t>
  </si>
  <si>
    <t>Metric</t>
  </si>
  <si>
    <t>Price/Minute 20% Profit</t>
  </si>
  <si>
    <t>Price/Minute 30% Profit</t>
  </si>
  <si>
    <t>Price/Minute 40% Profit</t>
  </si>
  <si>
    <t>Price/Minute 50% Profit</t>
  </si>
  <si>
    <t>Price/Minute 60% Profit</t>
  </si>
  <si>
    <t>Price/Minute 70% Profit</t>
  </si>
  <si>
    <t>Price/Minute 80% Profit</t>
  </si>
  <si>
    <t>Price/Minute 90% Profit</t>
  </si>
  <si>
    <t>Price/Minute 100% Profit</t>
  </si>
  <si>
    <t>Maintenance</t>
  </si>
  <si>
    <t>Percent of capex</t>
  </si>
  <si>
    <t>Site purchase</t>
  </si>
  <si>
    <t>DTE</t>
  </si>
  <si>
    <t>Site compound</t>
  </si>
  <si>
    <t>$USD/Acre</t>
  </si>
  <si>
    <t xml:space="preserve">Research and development </t>
  </si>
  <si>
    <t>Price/Minute 110% Profit</t>
  </si>
  <si>
    <t>Price/Minute 120% Profit</t>
  </si>
  <si>
    <t>THIS IS SR DATA NOT DTE (where can I find the DTE minutes broken down by mission/use case please?)</t>
  </si>
  <si>
    <t>Average (Hours)</t>
  </si>
  <si>
    <t>Total (Minutes)</t>
  </si>
  <si>
    <t>Low Demand</t>
  </si>
  <si>
    <t>Baseline Demand</t>
  </si>
  <si>
    <t>High Demand</t>
  </si>
  <si>
    <t>Cost inputs for a SR 25 satellite LEO constellation</t>
  </si>
  <si>
    <t xml:space="preserve">Cost inputs for a DTE single site facility </t>
  </si>
  <si>
    <t>Not currently in use</t>
  </si>
  <si>
    <t>Nasa aggregate mission forecast</t>
  </si>
  <si>
    <t>Estimated required new missions by use case</t>
  </si>
  <si>
    <t>Model parameters</t>
  </si>
  <si>
    <t>Parameters</t>
  </si>
  <si>
    <t>Estimated LRIC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</si>
</sst>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4" formatCode="_-* #,##0.00_-;\-* #,##0.00_-;_-* &quot;-&quot;??_-;_-@_-"/>
    <numFmt numFmtId="165" formatCode="0.0"/>
    <numFmt numFmtId="166" formatCode="_(* #,##0_);_(* \(#,##0\);_(* &quot;-&quot;??_);_(@_)"/>
    <numFmt numFmtId="167" formatCode="&quot;$&quot;#,##0.0_);[Red]\(&quot;$&quot;#,##0.0\)"/>
  </numFmts>
  <fonts count="4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name val="Helvetica"/>
    </font>
    <font>
      <sz val="11"/>
      <color theme="1"/>
      <name val="Helvetica"/>
    </font>
    <font>
      <sz val="20"/>
      <color rgb="FFFFFFFF"/>
      <name val="Helvetica"/>
    </font>
    <font>
      <b/>
      <sz val="11"/>
      <name val="Helvetica"/>
    </font>
    <font>
      <sz val="20"/>
      <name val="Helvetica"/>
    </font>
    <font>
      <u/>
      <sz val="11"/>
      <color theme="10"/>
      <name val="Helvetica"/>
    </font>
    <font>
      <sz val="11"/>
      <color theme="0"/>
      <name val="Helvetica"/>
    </font>
    <font>
      <sz val="9"/>
      <color rgb="FFFF0000"/>
      <name val="Helvetica"/>
    </font>
    <font>
      <sz val="9"/>
      <name val="Helvetica"/>
    </font>
    <font>
      <sz val="9"/>
      <color theme="0"/>
      <name val="Helvetica"/>
    </font>
    <font>
      <sz val="9"/>
      <color theme="1"/>
      <name val="Helvetica"/>
    </font>
    <font>
      <sz val="10"/>
      <color theme="0"/>
      <name val="Helvetica"/>
    </font>
    <font>
      <b/>
      <sz val="11"/>
      <color theme="1"/>
      <name val="Helvetica"/>
    </font>
    <font>
      <sz val="11"/>
      <color rgb="FF000000"/>
      <name val="Helvetica"/>
    </font>
    <font>
      <sz val="11"/>
      <color rgb="FFFF0000"/>
      <name val="Helvetica"/>
    </font>
    <font>
      <i/>
      <sz val="11"/>
      <color theme="1"/>
      <name val="Helvetica"/>
    </font>
    <font>
      <b/>
      <sz val="11"/>
      <color rgb="FF000000"/>
      <name val="Helvetica"/>
    </font>
    <font>
      <i/>
      <sz val="11"/>
      <color rgb="FF000000"/>
      <name val="Helvetica"/>
    </font>
    <font>
      <b/>
      <sz val="11"/>
      <color theme="0"/>
      <name val="Helvetica"/>
    </font>
    <font>
      <b/>
      <sz val="12"/>
      <color rgb="FFFF0000"/>
      <name val="Helvetica"/>
    </font>
    <font>
      <b/>
      <i/>
      <sz val="11"/>
      <color rgb="FFFF0000"/>
      <name val="Helvetica"/>
    </font>
  </fonts>
  <fills count="4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05BD8"/>
        <bgColor rgb="FF004C97"/>
      </patternFill>
    </fill>
    <fill>
      <patternFill patternType="solid">
        <fgColor rgb="FF105BD8"/>
        <bgColor indexed="64"/>
      </patternFill>
    </fill>
    <fill>
      <patternFill patternType="solid">
        <fgColor rgb="FF061F4A"/>
        <bgColor rgb="FFC00000"/>
      </patternFill>
    </fill>
    <fill>
      <patternFill patternType="solid">
        <fgColor rgb="FF061F4A"/>
        <bgColor indexed="64"/>
      </patternFill>
    </fill>
    <fill>
      <patternFill patternType="solid">
        <fgColor rgb="FF061F4A"/>
        <bgColor rgb="FF004C97"/>
      </patternFill>
    </fill>
    <fill>
      <patternFill patternType="solid">
        <fgColor theme="8"/>
        <bgColor indexed="64"/>
      </patternFill>
    </fill>
    <fill>
      <patternFill patternType="solid">
        <fgColor theme="3"/>
        <bgColor indexed="64"/>
      </patternFill>
    </fill>
    <fill>
      <patternFill patternType="solid">
        <fgColor theme="0" tint="-4.9989318521683403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thin">
        <color indexed="64"/>
      </left>
      <right style="thick">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7">
    <xf numFmtId="0" fontId="0" fillId="0" borderId="0"/>
    <xf numFmtId="9" fontId="1" fillId="0" borderId="0"/>
    <xf numFmtId="43" fontId="2" fillId="0" borderId="0" applyFont="0" applyFill="0" applyBorder="0" applyAlignment="0" applyProtection="0"/>
    <xf numFmtId="0" fontId="4" fillId="0" borderId="0" applyNumberFormat="0" applyFill="0" applyBorder="0" applyAlignment="0" applyProtection="0"/>
    <xf numFmtId="0" fontId="5" fillId="0" borderId="10" applyNumberFormat="0" applyFill="0" applyAlignment="0" applyProtection="0"/>
    <xf numFmtId="0" fontId="6" fillId="0" borderId="11" applyNumberFormat="0" applyFill="0" applyAlignment="0" applyProtection="0"/>
    <xf numFmtId="0" fontId="7" fillId="0" borderId="12"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13" applyNumberFormat="0" applyAlignment="0" applyProtection="0"/>
    <xf numFmtId="0" fontId="12" fillId="8" borderId="14" applyNumberFormat="0" applyAlignment="0" applyProtection="0"/>
    <xf numFmtId="0" fontId="13" fillId="8" borderId="13" applyNumberFormat="0" applyAlignment="0" applyProtection="0"/>
    <xf numFmtId="0" fontId="14" fillId="0" borderId="15" applyNumberFormat="0" applyFill="0" applyAlignment="0" applyProtection="0"/>
    <xf numFmtId="0" fontId="15" fillId="9" borderId="16" applyNumberFormat="0" applyAlignment="0" applyProtection="0"/>
    <xf numFmtId="0" fontId="16" fillId="0" borderId="0" applyNumberFormat="0" applyFill="0" applyBorder="0" applyAlignment="0" applyProtection="0"/>
    <xf numFmtId="0" fontId="2" fillId="10" borderId="17" applyNumberFormat="0" applyFont="0" applyAlignment="0" applyProtection="0"/>
    <xf numFmtId="0" fontId="17" fillId="0" borderId="0" applyNumberFormat="0" applyFill="0" applyBorder="0" applyAlignment="0" applyProtection="0"/>
    <xf numFmtId="0" fontId="3" fillId="0" borderId="18"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164" fontId="2" fillId="0" borderId="0" applyFont="0" applyFill="0" applyBorder="0" applyAlignment="0" applyProtection="0"/>
    <xf numFmtId="0" fontId="19" fillId="0" borderId="0" applyNumberFormat="0" applyFill="0" applyBorder="0" applyAlignment="0" applyProtection="0"/>
    <xf numFmtId="0" fontId="2" fillId="0" borderId="0"/>
  </cellStyleXfs>
  <cellXfs count="240">
    <xf numFmtId="0" fontId="0" fillId="0" borderId="0" xfId="0"/>
    <xf numFmtId="0" fontId="0" fillId="0" borderId="0" xfId="0"/>
    <xf numFmtId="0" fontId="20" fillId="0" borderId="0" xfId="0" applyFont="1"/>
    <xf numFmtId="0" fontId="21" fillId="0" borderId="0" xfId="0" applyFont="1"/>
    <xf numFmtId="0" fontId="23" fillId="0" borderId="0" xfId="0" applyFont="1"/>
    <xf numFmtId="0" fontId="20" fillId="0" borderId="0" xfId="0" quotePrefix="1" applyFont="1"/>
    <xf numFmtId="0" fontId="20" fillId="35" borderId="0" xfId="0" applyFont="1" applyFill="1"/>
    <xf numFmtId="0" fontId="21" fillId="36" borderId="0" xfId="0" applyFont="1" applyFill="1"/>
    <xf numFmtId="0" fontId="20" fillId="37" borderId="0" xfId="0" applyFont="1" applyFill="1"/>
    <xf numFmtId="0" fontId="21" fillId="38" borderId="0" xfId="0" applyFont="1" applyFill="1"/>
    <xf numFmtId="0" fontId="24" fillId="0" borderId="0" xfId="0" applyFont="1"/>
    <xf numFmtId="0" fontId="25" fillId="0" borderId="0" xfId="45" applyFont="1"/>
    <xf numFmtId="0" fontId="26" fillId="38" borderId="0" xfId="0" applyFont="1" applyFill="1"/>
    <xf numFmtId="0" fontId="0" fillId="0" borderId="0" xfId="0"/>
    <xf numFmtId="14" fontId="30" fillId="3" borderId="1" xfId="0" applyNumberFormat="1" applyFont="1" applyFill="1" applyBorder="1" applyAlignment="1">
      <alignment horizontal="center" vertical="center" wrapText="1"/>
    </xf>
    <xf numFmtId="0" fontId="28" fillId="3" borderId="1" xfId="0" applyFont="1" applyFill="1" applyBorder="1" applyAlignment="1">
      <alignment horizontal="center" vertical="center" wrapTex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xf>
    <xf numFmtId="0" fontId="29" fillId="38" borderId="1" xfId="0" applyFont="1" applyFill="1" applyBorder="1" applyAlignment="1">
      <alignment horizontal="center" vertical="center"/>
    </xf>
    <xf numFmtId="0" fontId="27" fillId="3" borderId="1" xfId="0" applyFont="1" applyFill="1" applyBorder="1" applyAlignment="1">
      <alignment horizontal="center" vertical="center" wrapText="1" readingOrder="1"/>
    </xf>
    <xf numFmtId="0" fontId="21" fillId="3" borderId="1" xfId="0" applyFont="1" applyFill="1" applyBorder="1"/>
    <xf numFmtId="0" fontId="32" fillId="3" borderId="4" xfId="0" applyFont="1" applyFill="1" applyBorder="1" applyAlignment="1">
      <alignment horizontal="center" vertical="center"/>
    </xf>
    <xf numFmtId="0" fontId="21" fillId="3" borderId="1" xfId="0" applyFont="1" applyFill="1" applyBorder="1" applyAlignment="1">
      <alignment horizontal="center"/>
    </xf>
    <xf numFmtId="0" fontId="21" fillId="3" borderId="1"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5" xfId="0" applyFont="1" applyFill="1" applyBorder="1" applyAlignment="1">
      <alignment horizontal="center"/>
    </xf>
    <xf numFmtId="166" fontId="21" fillId="3" borderId="9" xfId="2" applyNumberFormat="1" applyFont="1" applyFill="1" applyBorder="1" applyAlignment="1">
      <alignment horizontal="center"/>
    </xf>
    <xf numFmtId="166" fontId="21" fillId="3" borderId="7" xfId="2" applyNumberFormat="1" applyFont="1" applyFill="1" applyBorder="1" applyAlignment="1">
      <alignment horizontal="center"/>
    </xf>
    <xf numFmtId="0" fontId="21" fillId="3" borderId="9" xfId="0" applyFont="1" applyFill="1" applyBorder="1" applyAlignment="1">
      <alignment horizontal="center" vertical="center"/>
    </xf>
    <xf numFmtId="9" fontId="21" fillId="0" borderId="1" xfId="1" applyFont="1" applyBorder="1"/>
    <xf numFmtId="166" fontId="21" fillId="0" borderId="1" xfId="2" applyNumberFormat="1" applyFont="1" applyBorder="1"/>
    <xf numFmtId="166" fontId="21" fillId="0" borderId="5" xfId="2" applyNumberFormat="1" applyFont="1" applyBorder="1"/>
    <xf numFmtId="9" fontId="21" fillId="0" borderId="9" xfId="1" applyFont="1" applyBorder="1"/>
    <xf numFmtId="166" fontId="0" fillId="0" borderId="0" xfId="2" applyNumberFormat="1" applyFont="1" applyAlignment="1">
      <alignment horizontal="center"/>
    </xf>
    <xf numFmtId="166" fontId="0" fillId="0" borderId="0" xfId="2" applyNumberFormat="1" applyFont="1" applyBorder="1" applyAlignment="1">
      <alignment horizontal="center"/>
    </xf>
    <xf numFmtId="0" fontId="32" fillId="3" borderId="4" xfId="0" applyFont="1" applyFill="1" applyBorder="1" applyAlignment="1">
      <alignment horizontal="center" vertical="center" wrapText="1"/>
    </xf>
    <xf numFmtId="166" fontId="21" fillId="0" borderId="0" xfId="2" applyNumberFormat="1" applyFont="1"/>
    <xf numFmtId="1" fontId="21" fillId="0" borderId="1" xfId="0" applyNumberFormat="1" applyFont="1" applyBorder="1"/>
    <xf numFmtId="0" fontId="21" fillId="0" borderId="1" xfId="0" applyFont="1" applyBorder="1"/>
    <xf numFmtId="166" fontId="21" fillId="0" borderId="0" xfId="0" applyNumberFormat="1" applyFont="1"/>
    <xf numFmtId="166" fontId="21" fillId="0" borderId="0" xfId="2" applyNumberFormat="1" applyFont="1" applyAlignment="1">
      <alignment horizontal="center"/>
    </xf>
    <xf numFmtId="166" fontId="21" fillId="0" borderId="26" xfId="2" applyNumberFormat="1" applyFont="1" applyBorder="1" applyAlignment="1">
      <alignment horizontal="center"/>
    </xf>
    <xf numFmtId="166" fontId="21" fillId="0" borderId="1" xfId="2" applyNumberFormat="1" applyFont="1" applyBorder="1" applyAlignment="1">
      <alignment horizontal="center"/>
    </xf>
    <xf numFmtId="0" fontId="16" fillId="0" borderId="0" xfId="0" applyFont="1"/>
    <xf numFmtId="0" fontId="26" fillId="38" borderId="1" xfId="0" applyFont="1" applyFill="1" applyBorder="1" applyAlignment="1">
      <alignment horizontal="center" vertical="center" wrapText="1" readingOrder="1"/>
    </xf>
    <xf numFmtId="0" fontId="26" fillId="38" borderId="1" xfId="0" applyFont="1" applyFill="1" applyBorder="1" applyAlignment="1">
      <alignment horizontal="center" vertical="center"/>
    </xf>
    <xf numFmtId="0" fontId="33" fillId="3" borderId="1" xfId="0" applyFont="1" applyFill="1" applyBorder="1" applyAlignment="1">
      <alignment horizontal="center" vertical="center" wrapText="1" readingOrder="1"/>
    </xf>
    <xf numFmtId="14" fontId="21" fillId="3"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Font="1"/>
    <xf numFmtId="14" fontId="21" fillId="3" borderId="4" xfId="0" applyNumberFormat="1" applyFont="1" applyFill="1" applyBorder="1" applyAlignment="1">
      <alignment horizontal="center" vertical="center" wrapText="1"/>
    </xf>
    <xf numFmtId="1" fontId="21" fillId="3" borderId="1" xfId="0" applyNumberFormat="1" applyFont="1" applyFill="1" applyBorder="1" applyAlignment="1">
      <alignment horizontal="center" vertical="center" wrapText="1"/>
    </xf>
    <xf numFmtId="9" fontId="21" fillId="0" borderId="5" xfId="1" applyFont="1" applyBorder="1"/>
    <xf numFmtId="0" fontId="20"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34" fillId="3" borderId="1" xfId="0" applyFont="1" applyFill="1" applyBorder="1" applyAlignment="1">
      <alignment horizontal="center" vertical="center" wrapText="1" readingOrder="1"/>
    </xf>
    <xf numFmtId="14" fontId="21" fillId="3" borderId="6" xfId="0" applyNumberFormat="1" applyFont="1" applyFill="1" applyBorder="1" applyAlignment="1">
      <alignment horizontal="center" vertical="center" wrapText="1"/>
    </xf>
    <xf numFmtId="1" fontId="21" fillId="3" borderId="9" xfId="0" applyNumberFormat="1" applyFont="1" applyFill="1" applyBorder="1" applyAlignment="1">
      <alignment horizontal="center" vertical="center" wrapText="1"/>
    </xf>
    <xf numFmtId="14" fontId="32" fillId="3" borderId="1" xfId="0" applyNumberFormat="1" applyFont="1" applyFill="1" applyBorder="1" applyAlignment="1">
      <alignment horizontal="right" vertical="center" wrapText="1"/>
    </xf>
    <xf numFmtId="0" fontId="21" fillId="0" borderId="1" xfId="0" applyFont="1" applyBorder="1" applyAlignment="1">
      <alignment horizontal="center" vertical="center"/>
    </xf>
    <xf numFmtId="14" fontId="21" fillId="3" borderId="1" xfId="0" applyNumberFormat="1" applyFont="1" applyFill="1" applyBorder="1" applyAlignment="1">
      <alignment horizontal="center" vertical="center"/>
    </xf>
    <xf numFmtId="0" fontId="26" fillId="38" borderId="0" xfId="0" applyFont="1" applyFill="1" applyAlignment="1">
      <alignment horizontal="center" vertical="center"/>
    </xf>
    <xf numFmtId="9" fontId="21" fillId="0" borderId="5" xfId="1" applyFont="1" applyBorder="1" applyAlignment="1">
      <alignment horizontal="center" vertical="center"/>
    </xf>
    <xf numFmtId="9" fontId="21" fillId="0" borderId="7" xfId="1" applyFont="1" applyBorder="1" applyAlignment="1">
      <alignment horizontal="center" vertical="center"/>
    </xf>
    <xf numFmtId="0" fontId="35" fillId="0" borderId="0" xfId="0" applyFont="1" applyFill="1"/>
    <xf numFmtId="0" fontId="21" fillId="0" borderId="1" xfId="0" quotePrefix="1" applyFont="1" applyBorder="1"/>
    <xf numFmtId="0" fontId="21" fillId="0" borderId="0" xfId="0" applyFont="1" applyBorder="1"/>
    <xf numFmtId="0" fontId="21" fillId="0" borderId="0" xfId="0" applyFont="1" applyBorder="1" applyAlignment="1">
      <alignment horizontal="center"/>
    </xf>
    <xf numFmtId="0" fontId="32" fillId="3" borderId="1" xfId="0" applyFont="1" applyFill="1" applyBorder="1" applyAlignment="1">
      <alignment horizontal="center" vertical="center" wrapText="1"/>
    </xf>
    <xf numFmtId="1" fontId="34" fillId="3" borderId="1" xfId="0" applyNumberFormat="1" applyFont="1" applyFill="1" applyBorder="1" applyAlignment="1">
      <alignment horizontal="center" vertical="center" wrapText="1" readingOrder="1"/>
    </xf>
    <xf numFmtId="165" fontId="21" fillId="3" borderId="1" xfId="0" applyNumberFormat="1" applyFont="1" applyFill="1" applyBorder="1" applyAlignment="1">
      <alignment horizontal="center" vertical="center" wrapText="1"/>
    </xf>
    <xf numFmtId="0" fontId="26" fillId="38" borderId="22" xfId="0" applyFont="1" applyFill="1" applyBorder="1" applyAlignment="1">
      <alignment horizontal="center" vertical="center" wrapText="1" readingOrder="1"/>
    </xf>
    <xf numFmtId="0" fontId="26" fillId="38" borderId="22" xfId="0" applyFont="1" applyFill="1" applyBorder="1" applyAlignment="1">
      <alignment horizontal="center" vertical="center"/>
    </xf>
    <xf numFmtId="0" fontId="0" fillId="0" borderId="0" xfId="0" applyFont="1" applyAlignment="1">
      <alignment horizontal="center"/>
    </xf>
    <xf numFmtId="0" fontId="20" fillId="3" borderId="1" xfId="0" applyFont="1" applyFill="1" applyBorder="1" applyAlignment="1">
      <alignment horizontal="center" vertical="center" wrapText="1" readingOrder="1"/>
    </xf>
    <xf numFmtId="0" fontId="23" fillId="0" borderId="2" xfId="0" applyFont="1" applyFill="1" applyBorder="1" applyAlignment="1">
      <alignment horizontal="center" vertical="center" wrapText="1" readingOrder="1"/>
    </xf>
    <xf numFmtId="0" fontId="23" fillId="0" borderId="8" xfId="0" applyFont="1" applyFill="1" applyBorder="1" applyAlignment="1">
      <alignment horizontal="center" vertical="center" wrapText="1" readingOrder="1"/>
    </xf>
    <xf numFmtId="0" fontId="23" fillId="0" borderId="3" xfId="0" applyFont="1" applyFill="1" applyBorder="1" applyAlignment="1">
      <alignment horizontal="center" vertical="center" wrapText="1" readingOrder="1"/>
    </xf>
    <xf numFmtId="0" fontId="21" fillId="0" borderId="0" xfId="0" applyFont="1" applyFill="1" applyBorder="1" applyAlignment="1">
      <alignment horizontal="center" vertical="center"/>
    </xf>
    <xf numFmtId="14" fontId="21" fillId="0" borderId="0" xfId="0" applyNumberFormat="1" applyFont="1" applyFill="1" applyBorder="1" applyAlignment="1">
      <alignment horizontal="center" vertical="center" wrapText="1"/>
    </xf>
    <xf numFmtId="0" fontId="34" fillId="0" borderId="0" xfId="0" applyFont="1" applyFill="1" applyBorder="1" applyAlignment="1">
      <alignment horizontal="center" vertical="center" wrapText="1" readingOrder="1"/>
    </xf>
    <xf numFmtId="0" fontId="21" fillId="0" borderId="0" xfId="0" applyFont="1" applyFill="1"/>
    <xf numFmtId="0" fontId="33" fillId="0" borderId="0" xfId="0" applyFont="1" applyFill="1" applyBorder="1" applyAlignment="1">
      <alignment horizontal="center" vertical="center" wrapText="1" readingOrder="1"/>
    </xf>
    <xf numFmtId="0" fontId="21" fillId="0" borderId="0" xfId="0" applyFont="1" applyFill="1" applyBorder="1" applyAlignment="1">
      <alignment horizontal="center" vertical="center" wrapText="1"/>
    </xf>
    <xf numFmtId="0" fontId="21" fillId="0" borderId="0" xfId="0" applyFont="1" applyFill="1" applyBorder="1"/>
    <xf numFmtId="0" fontId="26" fillId="38" borderId="25" xfId="0" applyFont="1" applyFill="1" applyBorder="1" applyAlignment="1">
      <alignment horizontal="center" vertical="center"/>
    </xf>
    <xf numFmtId="0" fontId="26" fillId="38" borderId="20"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20" fillId="3" borderId="25" xfId="0" applyFont="1" applyFill="1" applyBorder="1" applyAlignment="1">
      <alignment horizontal="center" vertical="center" wrapText="1" readingOrder="1"/>
    </xf>
    <xf numFmtId="0" fontId="20" fillId="3" borderId="20" xfId="0" applyFont="1" applyFill="1" applyBorder="1" applyAlignment="1">
      <alignment horizontal="center" vertical="center" wrapText="1" readingOrder="1"/>
    </xf>
    <xf numFmtId="0" fontId="33" fillId="3" borderId="25" xfId="0" applyFont="1" applyFill="1" applyBorder="1" applyAlignment="1">
      <alignment horizontal="center" vertical="center" wrapText="1" readingOrder="1"/>
    </xf>
    <xf numFmtId="0" fontId="33" fillId="3" borderId="20" xfId="0" applyFont="1" applyFill="1" applyBorder="1" applyAlignment="1">
      <alignment horizontal="center" vertical="center" wrapText="1" readingOrder="1"/>
    </xf>
    <xf numFmtId="0" fontId="23" fillId="0" borderId="27" xfId="0" applyFont="1" applyFill="1" applyBorder="1" applyAlignment="1">
      <alignment horizontal="center" vertical="center" wrapText="1" readingOrder="1"/>
    </xf>
    <xf numFmtId="0" fontId="23" fillId="0" borderId="24" xfId="0" applyFont="1" applyFill="1" applyBorder="1" applyAlignment="1">
      <alignment horizontal="center" vertical="center" wrapText="1" readingOrder="1"/>
    </xf>
    <xf numFmtId="0" fontId="23" fillId="0" borderId="1" xfId="0" applyFont="1" applyFill="1" applyBorder="1" applyAlignment="1">
      <alignment horizontal="center" vertical="center" wrapText="1" readingOrder="1"/>
    </xf>
    <xf numFmtId="166" fontId="26" fillId="38" borderId="1" xfId="2" applyNumberFormat="1" applyFont="1" applyFill="1" applyBorder="1" applyAlignment="1">
      <alignment horizontal="center" vertical="center"/>
    </xf>
    <xf numFmtId="0" fontId="26" fillId="38" borderId="1" xfId="2" applyNumberFormat="1" applyFont="1" applyFill="1" applyBorder="1" applyAlignment="1">
      <alignment horizontal="center" vertical="center" wrapText="1" readingOrder="1"/>
    </xf>
    <xf numFmtId="0" fontId="26" fillId="38" borderId="1" xfId="2" applyNumberFormat="1" applyFont="1" applyFill="1" applyBorder="1" applyAlignment="1">
      <alignment horizontal="center" vertical="center"/>
    </xf>
    <xf numFmtId="0" fontId="26" fillId="38" borderId="0" xfId="0" applyFont="1" applyFill="1" applyBorder="1" applyAlignment="1">
      <alignment horizontal="center" vertical="center"/>
    </xf>
    <xf numFmtId="166" fontId="21" fillId="3" borderId="1" xfId="2" applyNumberFormat="1"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166" fontId="26" fillId="38" borderId="1" xfId="2" applyNumberFormat="1" applyFont="1" applyFill="1" applyBorder="1" applyAlignment="1">
      <alignment horizontal="center" vertical="center" wrapText="1"/>
    </xf>
    <xf numFmtId="43" fontId="21" fillId="0" borderId="0" xfId="0" applyNumberFormat="1" applyFont="1"/>
    <xf numFmtId="0" fontId="21" fillId="0" borderId="0" xfId="0" applyFont="1" applyAlignment="1">
      <alignment horizontal="center"/>
    </xf>
    <xf numFmtId="0" fontId="37" fillId="3" borderId="0" xfId="0" applyFont="1" applyFill="1" applyBorder="1" applyAlignment="1">
      <alignment horizontal="left" vertical="center" readingOrder="1"/>
    </xf>
    <xf numFmtId="0" fontId="26" fillId="38" borderId="1" xfId="0" applyFont="1" applyFill="1" applyBorder="1" applyAlignment="1">
      <alignment horizontal="center" vertical="center" readingOrder="1"/>
    </xf>
    <xf numFmtId="0" fontId="34" fillId="3" borderId="1" xfId="0" applyFont="1" applyFill="1" applyBorder="1" applyAlignment="1">
      <alignment horizontal="center" vertical="center" readingOrder="1"/>
    </xf>
    <xf numFmtId="0" fontId="0" fillId="0" borderId="0" xfId="0" applyFont="1" applyFill="1"/>
    <xf numFmtId="0" fontId="37" fillId="0" borderId="0" xfId="0" applyFont="1" applyFill="1" applyBorder="1" applyAlignment="1">
      <alignment horizontal="left" vertical="center" readingOrder="1"/>
    </xf>
    <xf numFmtId="0" fontId="21" fillId="0" borderId="1" xfId="0" applyFont="1" applyBorder="1" applyAlignment="1">
      <alignment horizontal="center"/>
    </xf>
    <xf numFmtId="14" fontId="21" fillId="0" borderId="0" xfId="0" applyNumberFormat="1" applyFont="1"/>
    <xf numFmtId="0" fontId="21" fillId="0" borderId="26" xfId="0" applyFont="1" applyBorder="1" applyAlignment="1">
      <alignment horizontal="center"/>
    </xf>
    <xf numFmtId="0" fontId="34" fillId="0" borderId="0" xfId="0" applyFont="1" applyAlignment="1">
      <alignment horizontal="center"/>
    </xf>
    <xf numFmtId="0" fontId="34" fillId="0" borderId="26" xfId="0" applyFont="1" applyBorder="1" applyAlignment="1">
      <alignment horizontal="center"/>
    </xf>
    <xf numFmtId="1" fontId="21" fillId="0" borderId="0" xfId="0" applyNumberFormat="1" applyFont="1" applyAlignment="1">
      <alignment horizontal="center"/>
    </xf>
    <xf numFmtId="1" fontId="21" fillId="0" borderId="26" xfId="0" applyNumberFormat="1" applyFont="1" applyBorder="1" applyAlignment="1">
      <alignment horizontal="center"/>
    </xf>
    <xf numFmtId="1" fontId="21" fillId="0" borderId="1" xfId="0" applyNumberFormat="1" applyFont="1" applyBorder="1" applyAlignment="1">
      <alignment horizontal="center"/>
    </xf>
    <xf numFmtId="0" fontId="35" fillId="0" borderId="0" xfId="0" applyFont="1"/>
    <xf numFmtId="0" fontId="35" fillId="0" borderId="0" xfId="0" applyFont="1" applyBorder="1"/>
    <xf numFmtId="166" fontId="34" fillId="3" borderId="1" xfId="2" applyNumberFormat="1" applyFont="1" applyFill="1" applyBorder="1" applyAlignment="1">
      <alignment horizontal="center" vertical="center" wrapText="1" readingOrder="1"/>
    </xf>
    <xf numFmtId="166" fontId="34" fillId="0" borderId="1" xfId="2" applyNumberFormat="1" applyFont="1" applyBorder="1" applyAlignment="1">
      <alignment horizontal="center" vertical="center"/>
    </xf>
    <xf numFmtId="0" fontId="33" fillId="0" borderId="1" xfId="0" applyFont="1" applyFill="1" applyBorder="1" applyAlignment="1">
      <alignment horizontal="center" vertical="center" wrapText="1" readingOrder="1"/>
    </xf>
    <xf numFmtId="0" fontId="21" fillId="0" borderId="1" xfId="0" applyFont="1" applyFill="1" applyBorder="1" applyAlignment="1">
      <alignment horizontal="center" vertical="center" wrapText="1"/>
    </xf>
    <xf numFmtId="166" fontId="34" fillId="0" borderId="1" xfId="2" applyNumberFormat="1" applyFont="1" applyFill="1" applyBorder="1" applyAlignment="1">
      <alignment horizontal="center" vertical="center"/>
    </xf>
    <xf numFmtId="166" fontId="21" fillId="0" borderId="1" xfId="2" applyNumberFormat="1" applyFont="1" applyBorder="1" applyAlignment="1">
      <alignment horizontal="center" vertical="center"/>
    </xf>
    <xf numFmtId="0" fontId="21" fillId="0" borderId="0" xfId="0" applyFont="1" applyAlignment="1">
      <alignment horizontal="center" vertical="center"/>
    </xf>
    <xf numFmtId="0" fontId="32" fillId="0" borderId="0" xfId="0" applyFont="1"/>
    <xf numFmtId="166" fontId="20" fillId="3" borderId="1" xfId="2" applyNumberFormat="1" applyFont="1" applyFill="1" applyBorder="1" applyAlignment="1">
      <alignment horizontal="center" vertical="center" wrapText="1" readingOrder="1"/>
    </xf>
    <xf numFmtId="2" fontId="21" fillId="0" borderId="1" xfId="0" applyNumberFormat="1" applyFont="1" applyBorder="1" applyAlignment="1">
      <alignment horizontal="center"/>
    </xf>
    <xf numFmtId="1" fontId="21" fillId="0" borderId="0" xfId="0" applyNumberFormat="1" applyFont="1" applyBorder="1" applyAlignment="1">
      <alignment horizontal="center"/>
    </xf>
    <xf numFmtId="166" fontId="21" fillId="0" borderId="0" xfId="2" applyNumberFormat="1" applyFont="1" applyBorder="1" applyAlignment="1">
      <alignment horizontal="center"/>
    </xf>
    <xf numFmtId="0" fontId="35" fillId="0" borderId="0" xfId="0" applyFont="1" applyFill="1" applyBorder="1" applyAlignment="1">
      <alignment horizontal="left"/>
    </xf>
    <xf numFmtId="0" fontId="38" fillId="41" borderId="1" xfId="0" applyFont="1" applyFill="1" applyBorder="1" applyAlignment="1">
      <alignment horizontal="center" vertical="center" wrapText="1" readingOrder="1"/>
    </xf>
    <xf numFmtId="16" fontId="38" fillId="41" borderId="1" xfId="0" applyNumberFormat="1" applyFont="1" applyFill="1" applyBorder="1" applyAlignment="1">
      <alignment horizontal="center" vertical="center" wrapText="1" readingOrder="1"/>
    </xf>
    <xf numFmtId="0" fontId="33" fillId="3" borderId="1" xfId="0" applyFont="1" applyFill="1" applyBorder="1" applyAlignment="1">
      <alignment horizontal="left" wrapText="1" readingOrder="1"/>
    </xf>
    <xf numFmtId="166" fontId="33" fillId="3" borderId="1" xfId="2" applyNumberFormat="1" applyFont="1" applyFill="1" applyBorder="1" applyAlignment="1">
      <alignment horizontal="center" wrapText="1" readingOrder="1"/>
    </xf>
    <xf numFmtId="166" fontId="33" fillId="3" borderId="1" xfId="2" applyNumberFormat="1" applyFont="1" applyFill="1" applyBorder="1" applyAlignment="1">
      <alignment horizontal="center" vertical="center" wrapText="1" readingOrder="1"/>
    </xf>
    <xf numFmtId="0" fontId="33" fillId="0" borderId="1" xfId="0" applyFont="1" applyFill="1" applyBorder="1" applyAlignment="1">
      <alignment horizontal="left" wrapText="1" readingOrder="1"/>
    </xf>
    <xf numFmtId="166" fontId="33" fillId="0" borderId="1" xfId="2" applyNumberFormat="1" applyFont="1" applyFill="1" applyBorder="1" applyAlignment="1">
      <alignment horizontal="center" wrapText="1" readingOrder="1"/>
    </xf>
    <xf numFmtId="166" fontId="33" fillId="0" borderId="1" xfId="2" applyNumberFormat="1" applyFont="1" applyFill="1" applyBorder="1" applyAlignment="1">
      <alignment horizontal="center" vertical="center" wrapText="1" readingOrder="1"/>
    </xf>
    <xf numFmtId="43" fontId="21" fillId="0" borderId="0" xfId="0" applyNumberFormat="1" applyFont="1" applyFill="1"/>
    <xf numFmtId="166" fontId="36" fillId="3" borderId="1" xfId="2" applyNumberFormat="1" applyFont="1" applyFill="1" applyBorder="1" applyAlignment="1">
      <alignment horizontal="center" wrapText="1" readingOrder="1"/>
    </xf>
    <xf numFmtId="166" fontId="20" fillId="3" borderId="0" xfId="2" applyNumberFormat="1" applyFont="1" applyFill="1" applyBorder="1" applyAlignment="1">
      <alignment horizontal="center" vertical="center" wrapText="1" readingOrder="1"/>
    </xf>
    <xf numFmtId="0" fontId="21" fillId="0" borderId="1" xfId="0" applyFont="1" applyBorder="1" applyAlignment="1">
      <alignment horizontal="center" vertical="center" wrapText="1"/>
    </xf>
    <xf numFmtId="6" fontId="21" fillId="0" borderId="1" xfId="0" applyNumberFormat="1" applyFont="1" applyBorder="1" applyAlignment="1">
      <alignment horizontal="center" vertical="center" wrapText="1"/>
    </xf>
    <xf numFmtId="3" fontId="21" fillId="0" borderId="1" xfId="0" applyNumberFormat="1" applyFont="1" applyBorder="1" applyAlignment="1">
      <alignment horizontal="center" vertical="center" wrapText="1"/>
    </xf>
    <xf numFmtId="0" fontId="32" fillId="42" borderId="4"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5" xfId="0" applyFont="1" applyFill="1" applyBorder="1" applyAlignment="1">
      <alignment horizontal="center" vertical="center"/>
    </xf>
    <xf numFmtId="6" fontId="0" fillId="0" borderId="0" xfId="0" applyNumberFormat="1"/>
    <xf numFmtId="0" fontId="3" fillId="0" borderId="0" xfId="0" applyFont="1" applyAlignment="1">
      <alignment horizontal="right"/>
    </xf>
    <xf numFmtId="0" fontId="32" fillId="42" borderId="1" xfId="0" applyFont="1" applyFill="1" applyBorder="1" applyAlignment="1">
      <alignment horizontal="center" vertical="center"/>
    </xf>
    <xf numFmtId="6" fontId="0" fillId="0" borderId="1" xfId="0" applyNumberFormat="1" applyBorder="1"/>
    <xf numFmtId="0" fontId="0" fillId="0" borderId="1" xfId="0" applyBorder="1"/>
    <xf numFmtId="0" fontId="32" fillId="42" borderId="1" xfId="0" applyFont="1" applyFill="1" applyBorder="1" applyAlignment="1">
      <alignment horizontal="center" vertical="center" wrapText="1"/>
    </xf>
    <xf numFmtId="0" fontId="36" fillId="42" borderId="1" xfId="0" applyFont="1" applyFill="1" applyBorder="1" applyAlignment="1">
      <alignment horizontal="center" vertical="center" wrapText="1"/>
    </xf>
    <xf numFmtId="0" fontId="36" fillId="0" borderId="0" xfId="0" applyFont="1" applyFill="1" applyBorder="1" applyAlignment="1">
      <alignment horizontal="center" vertical="center" wrapText="1"/>
    </xf>
    <xf numFmtId="167" fontId="0" fillId="0" borderId="0" xfId="0" applyNumberFormat="1"/>
    <xf numFmtId="0" fontId="22" fillId="39" borderId="0" xfId="0" applyFont="1" applyFill="1" applyAlignment="1">
      <alignment horizontal="center" vertical="center"/>
    </xf>
    <xf numFmtId="0" fontId="36" fillId="3" borderId="19" xfId="0" applyFont="1" applyFill="1" applyBorder="1" applyAlignment="1">
      <alignment horizontal="center" vertical="center" wrapText="1" readingOrder="1"/>
    </xf>
    <xf numFmtId="0" fontId="36" fillId="3" borderId="21" xfId="0" applyFont="1" applyFill="1" applyBorder="1" applyAlignment="1">
      <alignment horizontal="center" vertical="center" wrapText="1" readingOrder="1"/>
    </xf>
    <xf numFmtId="0" fontId="36" fillId="3" borderId="22" xfId="0" applyFont="1" applyFill="1" applyBorder="1" applyAlignment="1">
      <alignment horizontal="center" vertical="center" wrapText="1" readingOrder="1"/>
    </xf>
    <xf numFmtId="0" fontId="36" fillId="3" borderId="1" xfId="0" applyFont="1" applyFill="1" applyBorder="1" applyAlignment="1">
      <alignment horizontal="center" vertical="center" wrapText="1" readingOrder="1"/>
    </xf>
    <xf numFmtId="0" fontId="33" fillId="40" borderId="28" xfId="0" applyFont="1" applyFill="1" applyBorder="1" applyAlignment="1">
      <alignment horizontal="center" vertical="center" wrapText="1" readingOrder="1"/>
    </xf>
    <xf numFmtId="0" fontId="21" fillId="2" borderId="0" xfId="0" applyFont="1" applyFill="1" applyBorder="1" applyAlignment="1">
      <alignment horizontal="center"/>
    </xf>
    <xf numFmtId="0" fontId="21" fillId="2" borderId="28" xfId="0" applyFont="1" applyFill="1" applyBorder="1" applyAlignment="1">
      <alignment horizontal="center"/>
    </xf>
    <xf numFmtId="6" fontId="21" fillId="3" borderId="1" xfId="0" applyNumberFormat="1" applyFont="1" applyFill="1" applyBorder="1"/>
    <xf numFmtId="8" fontId="21" fillId="3" borderId="1" xfId="0" applyNumberFormat="1" applyFont="1" applyFill="1" applyBorder="1"/>
    <xf numFmtId="6" fontId="21" fillId="0" borderId="1" xfId="0" quotePrefix="1" applyNumberFormat="1" applyFont="1" applyBorder="1" applyAlignment="1">
      <alignment horizontal="center" vertical="center" wrapText="1"/>
    </xf>
    <xf numFmtId="0" fontId="21" fillId="3" borderId="1" xfId="0" quotePrefix="1" applyFont="1" applyFill="1" applyBorder="1" applyAlignment="1">
      <alignment horizontal="center" vertical="center"/>
    </xf>
    <xf numFmtId="3" fontId="21" fillId="3" borderId="1" xfId="0" quotePrefix="1" applyNumberFormat="1" applyFont="1" applyFill="1" applyBorder="1" applyAlignment="1">
      <alignment horizontal="center" vertical="center"/>
    </xf>
    <xf numFmtId="0" fontId="39" fillId="0" borderId="0" xfId="0" applyFont="1"/>
    <xf numFmtId="166" fontId="34" fillId="0" borderId="0" xfId="2" applyNumberFormat="1" applyFont="1" applyAlignment="1">
      <alignment horizontal="center" vertical="center"/>
    </xf>
    <xf numFmtId="166" fontId="21" fillId="0" borderId="0" xfId="2" applyNumberFormat="1" applyFont="1" applyAlignment="1">
      <alignment horizontal="center" vertical="center"/>
    </xf>
    <xf numFmtId="166" fontId="21" fillId="3" borderId="1" xfId="2" applyNumberFormat="1" applyFont="1" applyFill="1" applyBorder="1" applyAlignment="1">
      <alignment horizontal="center" wrapText="1"/>
    </xf>
    <xf numFmtId="166" fontId="0" fillId="0" borderId="1" xfId="2" applyNumberFormat="1" applyFont="1" applyBorder="1" applyAlignment="1">
      <alignment horizontal="center" vertical="center"/>
    </xf>
    <xf numFmtId="0" fontId="0" fillId="0" borderId="0" xfId="0" applyFont="1" applyBorder="1" applyAlignment="1">
      <alignment horizontal="center" vertical="center"/>
    </xf>
    <xf numFmtId="166" fontId="0" fillId="0" borderId="0" xfId="2" applyNumberFormat="1" applyFont="1" applyBorder="1" applyAlignment="1">
      <alignment horizontal="center" vertical="center"/>
    </xf>
    <xf numFmtId="0" fontId="0" fillId="0" borderId="0" xfId="0" applyFont="1" applyAlignment="1">
      <alignment horizontal="center" vertical="center" wrapText="1"/>
    </xf>
    <xf numFmtId="9" fontId="0" fillId="0" borderId="0" xfId="0" applyNumberFormat="1" applyFont="1" applyAlignment="1">
      <alignment horizontal="center" vertical="center" wrapText="1"/>
    </xf>
    <xf numFmtId="0" fontId="26" fillId="38" borderId="0" xfId="0" applyFont="1" applyFill="1" applyBorder="1"/>
    <xf numFmtId="0" fontId="26" fillId="0" borderId="0" xfId="0" applyFont="1" applyFill="1" applyBorder="1"/>
    <xf numFmtId="0" fontId="20" fillId="0" borderId="0" xfId="0" applyFont="1" applyFill="1" applyBorder="1"/>
    <xf numFmtId="0" fontId="21" fillId="3" borderId="0" xfId="0" applyFont="1" applyFill="1" applyBorder="1"/>
    <xf numFmtId="9" fontId="21" fillId="0" borderId="0" xfId="1" applyFont="1" applyBorder="1"/>
    <xf numFmtId="1" fontId="30" fillId="3" borderId="0" xfId="0" applyNumberFormat="1" applyFont="1" applyFill="1" applyBorder="1" applyAlignment="1">
      <alignment horizontal="center" vertical="center" wrapText="1"/>
    </xf>
    <xf numFmtId="0" fontId="32" fillId="3" borderId="0" xfId="0" applyFont="1" applyFill="1" applyBorder="1" applyAlignment="1">
      <alignment horizontal="center"/>
    </xf>
    <xf numFmtId="166" fontId="21" fillId="3" borderId="0" xfId="2" applyNumberFormat="1" applyFont="1" applyFill="1" applyBorder="1" applyAlignment="1">
      <alignment horizontal="center"/>
    </xf>
    <xf numFmtId="0" fontId="32" fillId="3" borderId="0" xfId="0" applyFont="1" applyFill="1" applyBorder="1"/>
    <xf numFmtId="9" fontId="1" fillId="0" borderId="0" xfId="1" applyBorder="1"/>
    <xf numFmtId="6" fontId="21" fillId="3" borderId="0" xfId="0" applyNumberFormat="1" applyFont="1" applyFill="1" applyBorder="1"/>
    <xf numFmtId="8" fontId="21" fillId="3" borderId="0" xfId="0" applyNumberFormat="1" applyFont="1" applyFill="1" applyBorder="1"/>
    <xf numFmtId="0" fontId="0" fillId="0" borderId="0" xfId="0" applyBorder="1"/>
    <xf numFmtId="0" fontId="26" fillId="38" borderId="1" xfId="0" applyFont="1" applyFill="1" applyBorder="1"/>
    <xf numFmtId="0" fontId="31" fillId="38" borderId="1" xfId="0" applyFont="1" applyFill="1" applyBorder="1"/>
    <xf numFmtId="0" fontId="40" fillId="3" borderId="0" xfId="0" applyFont="1" applyFill="1" applyBorder="1"/>
    <xf numFmtId="0" fontId="23" fillId="0" borderId="1" xfId="0" applyFont="1" applyFill="1" applyBorder="1" applyAlignment="1">
      <alignment horizontal="center" vertical="center"/>
    </xf>
    <xf numFmtId="9" fontId="21" fillId="0" borderId="1" xfId="1" applyFont="1" applyBorder="1" applyAlignment="1">
      <alignment horizontal="center" vertical="center"/>
    </xf>
    <xf numFmtId="0" fontId="32" fillId="3" borderId="6" xfId="0" applyFont="1" applyFill="1" applyBorder="1" applyAlignment="1">
      <alignment horizontal="center" vertical="center"/>
    </xf>
    <xf numFmtId="0" fontId="32" fillId="3" borderId="9" xfId="0" applyFont="1" applyFill="1" applyBorder="1" applyAlignment="1">
      <alignment horizontal="center" vertical="center"/>
    </xf>
    <xf numFmtId="166" fontId="21" fillId="3" borderId="9" xfId="2" applyNumberFormat="1" applyFont="1" applyFill="1" applyBorder="1" applyAlignment="1">
      <alignment horizontal="center" vertical="center"/>
    </xf>
    <xf numFmtId="166" fontId="21" fillId="3" borderId="7" xfId="2" applyNumberFormat="1" applyFont="1" applyFill="1" applyBorder="1" applyAlignment="1">
      <alignment horizontal="center" vertical="center"/>
    </xf>
    <xf numFmtId="0" fontId="23" fillId="0" borderId="5" xfId="0" applyFont="1" applyFill="1" applyBorder="1" applyAlignment="1">
      <alignment horizontal="center" vertical="center"/>
    </xf>
    <xf numFmtId="166" fontId="21" fillId="0" borderId="9" xfId="1" applyNumberFormat="1" applyFont="1" applyBorder="1"/>
    <xf numFmtId="166" fontId="21" fillId="0" borderId="7" xfId="1" applyNumberFormat="1" applyFont="1" applyBorder="1"/>
    <xf numFmtId="0" fontId="23" fillId="42" borderId="2" xfId="0" applyFont="1" applyFill="1" applyBorder="1" applyAlignment="1">
      <alignment horizontal="center" vertical="center"/>
    </xf>
    <xf numFmtId="0" fontId="23" fillId="42" borderId="30" xfId="0" applyFont="1" applyFill="1" applyBorder="1" applyAlignment="1">
      <alignment horizontal="center" vertical="center"/>
    </xf>
    <xf numFmtId="0" fontId="23" fillId="42" borderId="31" xfId="0" applyFont="1" applyFill="1" applyBorder="1" applyAlignment="1">
      <alignment horizontal="center" vertical="center"/>
    </xf>
    <xf numFmtId="0" fontId="23" fillId="42" borderId="32" xfId="0" applyFont="1" applyFill="1" applyBorder="1" applyAlignment="1">
      <alignment horizontal="center" vertical="center"/>
    </xf>
    <xf numFmtId="0" fontId="23" fillId="42" borderId="4" xfId="0" applyFont="1" applyFill="1" applyBorder="1" applyAlignment="1">
      <alignment horizontal="center" vertical="center"/>
    </xf>
    <xf numFmtId="0" fontId="32" fillId="42" borderId="6" xfId="0" applyFont="1" applyFill="1" applyBorder="1" applyAlignment="1">
      <alignment horizontal="center" vertical="center"/>
    </xf>
    <xf numFmtId="0" fontId="23" fillId="42" borderId="33" xfId="0" applyFont="1" applyFill="1" applyBorder="1" applyAlignment="1">
      <alignment horizontal="center" vertical="center"/>
    </xf>
    <xf numFmtId="0" fontId="23" fillId="42" borderId="24" xfId="0" applyFont="1" applyFill="1" applyBorder="1" applyAlignment="1">
      <alignment horizontal="center" vertical="center"/>
    </xf>
    <xf numFmtId="0" fontId="21" fillId="42" borderId="4" xfId="0" applyFont="1" applyFill="1" applyBorder="1" applyAlignment="1">
      <alignment horizontal="center" vertical="center"/>
    </xf>
    <xf numFmtId="0" fontId="21" fillId="42" borderId="1" xfId="0" applyFont="1" applyFill="1" applyBorder="1" applyAlignment="1">
      <alignment horizontal="center" vertical="center"/>
    </xf>
    <xf numFmtId="0" fontId="32" fillId="42" borderId="5" xfId="0" applyFont="1" applyFill="1" applyBorder="1" applyAlignment="1">
      <alignment horizontal="center" vertical="center"/>
    </xf>
    <xf numFmtId="0" fontId="32" fillId="42" borderId="1" xfId="0" applyFont="1" applyFill="1" applyBorder="1" applyAlignment="1">
      <alignment horizontal="center"/>
    </xf>
    <xf numFmtId="0" fontId="32" fillId="42" borderId="1" xfId="0" applyFont="1" applyFill="1" applyBorder="1" applyAlignment="1">
      <alignment horizontal="center" vertical="center"/>
    </xf>
    <xf numFmtId="0" fontId="23" fillId="42" borderId="1" xfId="0" applyFont="1" applyFill="1" applyBorder="1" applyAlignment="1">
      <alignment horizontal="center" vertical="center"/>
    </xf>
    <xf numFmtId="0" fontId="32" fillId="42" borderId="1" xfId="0" applyFont="1" applyFill="1" applyBorder="1" applyAlignment="1">
      <alignment horizontal="center"/>
    </xf>
    <xf numFmtId="0" fontId="32" fillId="42" borderId="23" xfId="0" applyFont="1" applyFill="1" applyBorder="1" applyAlignment="1">
      <alignment horizontal="center" vertical="center"/>
    </xf>
    <xf numFmtId="0" fontId="32" fillId="42" borderId="29" xfId="0" applyFont="1" applyFill="1" applyBorder="1" applyAlignment="1">
      <alignment horizontal="center" vertical="center"/>
    </xf>
    <xf numFmtId="0" fontId="32" fillId="42" borderId="2" xfId="0" applyFont="1" applyFill="1" applyBorder="1" applyAlignment="1">
      <alignment horizontal="center" vertical="center" wrapText="1"/>
    </xf>
    <xf numFmtId="0" fontId="32" fillId="42" borderId="8" xfId="0" applyFont="1" applyFill="1" applyBorder="1" applyAlignment="1">
      <alignment horizontal="center" vertical="center" wrapText="1"/>
    </xf>
    <xf numFmtId="0" fontId="32" fillId="42" borderId="3" xfId="0" applyFont="1" applyFill="1" applyBorder="1" applyAlignment="1">
      <alignment horizontal="center" vertical="center" wrapText="1"/>
    </xf>
    <xf numFmtId="0" fontId="32" fillId="42" borderId="34" xfId="0" applyFont="1" applyFill="1" applyBorder="1" applyAlignment="1">
      <alignment horizontal="center" vertical="center"/>
    </xf>
    <xf numFmtId="0" fontId="32" fillId="42" borderId="5" xfId="0" applyFont="1" applyFill="1" applyBorder="1" applyAlignment="1">
      <alignment horizontal="center" vertical="center"/>
    </xf>
    <xf numFmtId="0" fontId="32" fillId="42" borderId="35" xfId="0" applyFont="1" applyFill="1" applyBorder="1" applyAlignment="1">
      <alignment horizontal="center" vertical="center"/>
    </xf>
    <xf numFmtId="0" fontId="32" fillId="42" borderId="4" xfId="0" applyFont="1" applyFill="1" applyBorder="1" applyAlignment="1">
      <alignment horizontal="center" vertical="center" wrapText="1"/>
    </xf>
    <xf numFmtId="0" fontId="32" fillId="42" borderId="4" xfId="0" applyFont="1" applyFill="1" applyBorder="1" applyAlignment="1">
      <alignment horizontal="center"/>
    </xf>
    <xf numFmtId="0" fontId="32" fillId="42" borderId="6" xfId="0" applyFont="1" applyFill="1" applyBorder="1" applyAlignment="1">
      <alignment horizontal="center"/>
    </xf>
    <xf numFmtId="0" fontId="32" fillId="42" borderId="9" xfId="0" applyFont="1" applyFill="1" applyBorder="1" applyAlignment="1">
      <alignment horizontal="center"/>
    </xf>
    <xf numFmtId="0" fontId="32" fillId="42" borderId="2" xfId="0" applyFont="1" applyFill="1" applyBorder="1" applyAlignment="1">
      <alignment horizontal="center" vertical="center"/>
    </xf>
    <xf numFmtId="0" fontId="32" fillId="42" borderId="8" xfId="0" applyFont="1" applyFill="1" applyBorder="1" applyAlignment="1">
      <alignment horizontal="center" vertical="center"/>
    </xf>
    <xf numFmtId="0" fontId="32" fillId="42" borderId="3" xfId="0" applyFont="1" applyFill="1" applyBorder="1" applyAlignment="1">
      <alignment horizontal="center" vertical="center"/>
    </xf>
    <xf numFmtId="0" fontId="29" fillId="0" borderId="0" xfId="0" applyFont="1" applyFill="1" applyBorder="1" applyAlignment="1">
      <alignment horizontal="center" vertical="center"/>
    </xf>
    <xf numFmtId="0" fontId="31" fillId="0" borderId="0" xfId="0" applyFont="1" applyFill="1" applyBorder="1"/>
    <xf numFmtId="9" fontId="1" fillId="0" borderId="9" xfId="1" applyBorder="1" applyAlignment="1">
      <alignment horizontal="center" vertical="center"/>
    </xf>
    <xf numFmtId="0" fontId="21" fillId="3" borderId="7" xfId="0" applyFont="1" applyFill="1" applyBorder="1" applyAlignment="1">
      <alignment horizontal="center" vertical="center"/>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2" builtinId="3"/>
    <cellStyle name="Comma 2" xfId="44" xr:uid="{9499E6E4-4910-4A0C-A02A-950FBD404BFB}"/>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5" builtinId="8"/>
    <cellStyle name="Input" xfId="11" builtinId="20" customBuiltin="1"/>
    <cellStyle name="Linked Cell" xfId="14" builtinId="24" customBuiltin="1"/>
    <cellStyle name="Neutral" xfId="10" builtinId="28" customBuiltin="1"/>
    <cellStyle name="Normal" xfId="0" builtinId="0"/>
    <cellStyle name="Normal 2 2 2" xfId="46" xr:uid="{FB8CAFA6-22F4-4F8D-8435-335629BDE3EB}"/>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colors>
    <mruColors>
      <color rgb="FF105BD8"/>
      <color rgb="FF0B3D91"/>
      <color rgb="FF061F4A"/>
      <color rgb="FF212121"/>
      <color rgb="FFAEB0B5"/>
      <color rgb="FF323A45"/>
      <color rgb="FF004225"/>
      <color rgb="FFDD36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lifespans_all!$B$61</c:f>
              <c:strCache>
                <c:ptCount val="1"/>
                <c:pt idx="0">
                  <c:v>Human Space Flight</c:v>
                </c:pt>
              </c:strCache>
            </c:strRef>
          </c:tx>
          <c:spPr>
            <a:solidFill>
              <a:schemeClr val="accent1"/>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lifespans_all!$D$61:$M$61</c:f>
              <c:numCache>
                <c:formatCode>0</c:formatCode>
                <c:ptCount val="10"/>
                <c:pt idx="0">
                  <c:v>6.1</c:v>
                </c:pt>
                <c:pt idx="1">
                  <c:v>6.2</c:v>
                </c:pt>
                <c:pt idx="2">
                  <c:v>6.3</c:v>
                </c:pt>
                <c:pt idx="3">
                  <c:v>6.4</c:v>
                </c:pt>
                <c:pt idx="4">
                  <c:v>6.5</c:v>
                </c:pt>
                <c:pt idx="5">
                  <c:v>6.6</c:v>
                </c:pt>
                <c:pt idx="6">
                  <c:v>6.7</c:v>
                </c:pt>
                <c:pt idx="7">
                  <c:v>6.8</c:v>
                </c:pt>
                <c:pt idx="8">
                  <c:v>6.9</c:v>
                </c:pt>
                <c:pt idx="9">
                  <c:v>7</c:v>
                </c:pt>
              </c:numCache>
            </c:numRef>
          </c:val>
          <c:extLst>
            <c:ext xmlns:c16="http://schemas.microsoft.com/office/drawing/2014/chart" uri="{C3380CC4-5D6E-409C-BE32-E72D297353CC}">
              <c16:uniqueId val="{00000000-8718-41DC-80C4-A5E6D6C7CEEC}"/>
            </c:ext>
          </c:extLst>
        </c:ser>
        <c:ser>
          <c:idx val="1"/>
          <c:order val="1"/>
          <c:tx>
            <c:strRef>
              <c:f>lifespans_all!$B$62</c:f>
              <c:strCache>
                <c:ptCount val="1"/>
                <c:pt idx="0">
                  <c:v>Near Earth Robotic - LEO Science</c:v>
                </c:pt>
              </c:strCache>
            </c:strRef>
          </c:tx>
          <c:spPr>
            <a:solidFill>
              <a:schemeClr val="accent2"/>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lifespans_all!$D$62:$M$62</c:f>
              <c:numCache>
                <c:formatCode>0</c:formatCode>
                <c:ptCount val="10"/>
                <c:pt idx="0">
                  <c:v>17.600000000000001</c:v>
                </c:pt>
                <c:pt idx="1">
                  <c:v>18.2</c:v>
                </c:pt>
                <c:pt idx="2">
                  <c:v>18.8</c:v>
                </c:pt>
                <c:pt idx="3">
                  <c:v>19.399999999999999</c:v>
                </c:pt>
                <c:pt idx="4">
                  <c:v>20</c:v>
                </c:pt>
                <c:pt idx="5">
                  <c:v>20.6</c:v>
                </c:pt>
                <c:pt idx="6">
                  <c:v>21.2</c:v>
                </c:pt>
                <c:pt idx="7">
                  <c:v>21.8</c:v>
                </c:pt>
                <c:pt idx="8">
                  <c:v>22.4</c:v>
                </c:pt>
                <c:pt idx="9">
                  <c:v>23</c:v>
                </c:pt>
              </c:numCache>
            </c:numRef>
          </c:val>
          <c:extLst>
            <c:ext xmlns:c16="http://schemas.microsoft.com/office/drawing/2014/chart" uri="{C3380CC4-5D6E-409C-BE32-E72D297353CC}">
              <c16:uniqueId val="{00000001-8718-41DC-80C4-A5E6D6C7CEEC}"/>
            </c:ext>
          </c:extLst>
        </c:ser>
        <c:ser>
          <c:idx val="2"/>
          <c:order val="2"/>
          <c:tx>
            <c:strRef>
              <c:f>lifespans_all!$B$63</c:f>
              <c:strCache>
                <c:ptCount val="1"/>
                <c:pt idx="0">
                  <c:v>Near Earth Robotic - GEO and Near Earth</c:v>
                </c:pt>
              </c:strCache>
            </c:strRef>
          </c:tx>
          <c:spPr>
            <a:solidFill>
              <a:schemeClr val="accent3"/>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lifespans_all!$D$63:$M$63</c:f>
              <c:numCache>
                <c:formatCode>0</c:formatCode>
                <c:ptCount val="10"/>
                <c:pt idx="0">
                  <c:v>8.1999999999999993</c:v>
                </c:pt>
                <c:pt idx="1">
                  <c:v>8.4</c:v>
                </c:pt>
                <c:pt idx="2">
                  <c:v>8.6</c:v>
                </c:pt>
                <c:pt idx="3">
                  <c:v>8.8000000000000007</c:v>
                </c:pt>
                <c:pt idx="4">
                  <c:v>9</c:v>
                </c:pt>
                <c:pt idx="5">
                  <c:v>9.1999999999999993</c:v>
                </c:pt>
                <c:pt idx="6">
                  <c:v>9.4</c:v>
                </c:pt>
                <c:pt idx="7">
                  <c:v>9.6</c:v>
                </c:pt>
                <c:pt idx="8">
                  <c:v>9.8000000000000007</c:v>
                </c:pt>
                <c:pt idx="9">
                  <c:v>10</c:v>
                </c:pt>
              </c:numCache>
            </c:numRef>
          </c:val>
          <c:extLst>
            <c:ext xmlns:c16="http://schemas.microsoft.com/office/drawing/2014/chart" uri="{C3380CC4-5D6E-409C-BE32-E72D297353CC}">
              <c16:uniqueId val="{00000002-8718-41DC-80C4-A5E6D6C7CEEC}"/>
            </c:ext>
          </c:extLst>
        </c:ser>
        <c:ser>
          <c:idx val="3"/>
          <c:order val="3"/>
          <c:tx>
            <c:strRef>
              <c:f>lifespans_all!$B$64</c:f>
              <c:strCache>
                <c:ptCount val="1"/>
                <c:pt idx="0">
                  <c:v>Deep Space Robotic</c:v>
                </c:pt>
              </c:strCache>
            </c:strRef>
          </c:tx>
          <c:spPr>
            <a:solidFill>
              <a:schemeClr val="accent4"/>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lifespans_all!$D$64:$M$64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8718-41DC-80C4-A5E6D6C7CEEC}"/>
            </c:ext>
          </c:extLst>
        </c:ser>
        <c:ser>
          <c:idx val="4"/>
          <c:order val="4"/>
          <c:tx>
            <c:strRef>
              <c:f>lifespans_all!$B$65</c:f>
              <c:strCache>
                <c:ptCount val="1"/>
                <c:pt idx="0">
                  <c:v>Near Earth Robotic - Low Latency &amp; Complex Needs</c:v>
                </c:pt>
              </c:strCache>
            </c:strRef>
          </c:tx>
          <c:spPr>
            <a:solidFill>
              <a:schemeClr val="accent5"/>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lifespans_all!$D$65:$M$65</c:f>
              <c:numCache>
                <c:formatCode>0</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5-8718-41DC-80C4-A5E6D6C7CEEC}"/>
            </c:ext>
          </c:extLst>
        </c:ser>
        <c:ser>
          <c:idx val="5"/>
          <c:order val="5"/>
          <c:tx>
            <c:strRef>
              <c:f>lifespans_all!$B$66</c:f>
              <c:strCache>
                <c:ptCount val="1"/>
                <c:pt idx="0">
                  <c:v>Mission Operations</c:v>
                </c:pt>
              </c:strCache>
            </c:strRef>
          </c:tx>
          <c:spPr>
            <a:solidFill>
              <a:schemeClr val="accent6"/>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8718-41DC-80C4-A5E6D6C7CEEC}"/>
            </c:ext>
          </c:extLst>
        </c:ser>
        <c:ser>
          <c:idx val="6"/>
          <c:order val="6"/>
          <c:tx>
            <c:strRef>
              <c:f>lifespans_all!$B$67</c:f>
              <c:strCache>
                <c:ptCount val="1"/>
                <c:pt idx="0">
                  <c:v>Launch Events</c:v>
                </c:pt>
              </c:strCache>
            </c:strRef>
          </c:tx>
          <c:spPr>
            <a:solidFill>
              <a:schemeClr val="accent1">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lifespans_all!$D$67:$M$67</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8718-41DC-80C4-A5E6D6C7CEEC}"/>
            </c:ext>
          </c:extLst>
        </c:ser>
        <c:ser>
          <c:idx val="7"/>
          <c:order val="7"/>
          <c:tx>
            <c:strRef>
              <c:f>lifespans_all!$B$68</c:f>
              <c:strCache>
                <c:ptCount val="1"/>
                <c:pt idx="0">
                  <c:v>Terrestrial &amp; Aerial</c:v>
                </c:pt>
              </c:strCache>
            </c:strRef>
          </c:tx>
          <c:spPr>
            <a:solidFill>
              <a:schemeClr val="accent2">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lifespans_all!$D$68:$M$68</c:f>
              <c:numCache>
                <c:formatCode>0</c:formatCode>
                <c:ptCount val="10"/>
                <c:pt idx="0">
                  <c:v>3.1</c:v>
                </c:pt>
                <c:pt idx="1">
                  <c:v>3.2</c:v>
                </c:pt>
                <c:pt idx="2">
                  <c:v>3.3</c:v>
                </c:pt>
                <c:pt idx="3">
                  <c:v>3.4</c:v>
                </c:pt>
                <c:pt idx="4">
                  <c:v>3.5</c:v>
                </c:pt>
                <c:pt idx="5">
                  <c:v>3.6</c:v>
                </c:pt>
                <c:pt idx="6">
                  <c:v>3.7</c:v>
                </c:pt>
                <c:pt idx="7">
                  <c:v>3.8</c:v>
                </c:pt>
                <c:pt idx="8">
                  <c:v>3.9</c:v>
                </c:pt>
                <c:pt idx="9">
                  <c:v>4</c:v>
                </c:pt>
              </c:numCache>
            </c:numRef>
          </c:val>
          <c:extLst>
            <c:ext xmlns:c16="http://schemas.microsoft.com/office/drawing/2014/chart" uri="{C3380CC4-5D6E-409C-BE32-E72D297353CC}">
              <c16:uniqueId val="{00000008-8718-41DC-80C4-A5E6D6C7CEE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DTE_demand_forecast!$B$75</c:f>
              <c:strCache>
                <c:ptCount val="1"/>
                <c:pt idx="0">
                  <c:v>Existing</c:v>
                </c:pt>
              </c:strCache>
            </c:strRef>
          </c:tx>
          <c:spPr>
            <a:solidFill>
              <a:schemeClr val="accent1"/>
            </a:solidFill>
            <a:ln>
              <a:noFill/>
            </a:ln>
            <a:effectLst/>
          </c:spPr>
          <c:cat>
            <c:numRef>
              <c:f>DTE_demand_forecast!$C$74:$L$74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DTE_demand_forecast!$C$75:$L$75</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43F5-4264-9E36-2338D4F3E918}"/>
            </c:ext>
          </c:extLst>
        </c:ser>
        <c:ser>
          <c:idx val="1"/>
          <c:order val="1"/>
          <c:tx>
            <c:strRef>
              <c:f>DTE_demand_forecast!$B$76</c:f>
              <c:strCache>
                <c:ptCount val="1"/>
                <c:pt idx="0">
                  <c:v>Replacement</c:v>
                </c:pt>
              </c:strCache>
            </c:strRef>
          </c:tx>
          <c:spPr>
            <a:solidFill>
              <a:schemeClr val="accent2"/>
            </a:solidFill>
            <a:ln>
              <a:noFill/>
            </a:ln>
            <a:effectLst/>
          </c:spPr>
          <c:cat>
            <c:numRef>
              <c:f>DTE_demand_forecast!$C$74:$L$74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DTE_demand_forecast!$C$76:$L$76</c:f>
              <c:numCache>
                <c:formatCode>0</c:formatCode>
                <c:ptCount val="10"/>
                <c:pt idx="0">
                  <c:v>42549.109198595244</c:v>
                </c:pt>
                <c:pt idx="1">
                  <c:v>227686.89209626763</c:v>
                </c:pt>
                <c:pt idx="2">
                  <c:v>293941.17307242914</c:v>
                </c:pt>
                <c:pt idx="3">
                  <c:v>426456.42317511037</c:v>
                </c:pt>
                <c:pt idx="4">
                  <c:v>568453.76621577819</c:v>
                </c:pt>
                <c:pt idx="5">
                  <c:v>813928.51793756511</c:v>
                </c:pt>
                <c:pt idx="6">
                  <c:v>968255.32779114705</c:v>
                </c:pt>
                <c:pt idx="7">
                  <c:v>1097827.3878881005</c:v>
                </c:pt>
                <c:pt idx="8">
                  <c:v>1169766.4367408783</c:v>
                </c:pt>
                <c:pt idx="9">
                  <c:v>1244143.9165926122</c:v>
                </c:pt>
              </c:numCache>
            </c:numRef>
          </c:val>
          <c:extLst>
            <c:ext xmlns:c16="http://schemas.microsoft.com/office/drawing/2014/chart" uri="{C3380CC4-5D6E-409C-BE32-E72D297353CC}">
              <c16:uniqueId val="{00000001-43F5-4264-9E36-2338D4F3E918}"/>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SR </a:t>
            </a:r>
            <a:r>
              <a:rPr lang="en-US"/>
              <a:t>Total aggregate cost by scenario </a:t>
            </a:r>
            <a:r>
              <a:rPr lang="en-US" sz="1400" b="0" i="0" u="none" strike="noStrike" baseline="0">
                <a:effectLst/>
              </a:rPr>
              <a:t>(80%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SR_cost_per_minute_forecast!$B$169</c:f>
              <c:strCache>
                <c:ptCount val="1"/>
                <c:pt idx="0">
                  <c:v>Low Demand</c:v>
                </c:pt>
              </c:strCache>
            </c:strRef>
          </c:tx>
          <c:spPr>
            <a:ln w="28575" cap="rnd">
              <a:solidFill>
                <a:schemeClr val="accent1"/>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SR_cost_per_minute_forecast!$C$179:$L$179</c:f>
              <c:numCache>
                <c:formatCode>_(* #,##0_);_(* \(#,##0\);_(* "-"??_);_(@_)</c:formatCode>
                <c:ptCount val="10"/>
                <c:pt idx="0">
                  <c:v>28445967.715982422</c:v>
                </c:pt>
                <c:pt idx="1">
                  <c:v>28358732.329558574</c:v>
                </c:pt>
                <c:pt idx="2">
                  <c:v>30590763.497541811</c:v>
                </c:pt>
                <c:pt idx="3">
                  <c:v>31838065.762354895</c:v>
                </c:pt>
                <c:pt idx="4">
                  <c:v>33855496.204228662</c:v>
                </c:pt>
                <c:pt idx="5">
                  <c:v>35572658.603215814</c:v>
                </c:pt>
                <c:pt idx="6">
                  <c:v>37436116.678709105</c:v>
                </c:pt>
                <c:pt idx="7">
                  <c:v>39334358.340671904</c:v>
                </c:pt>
                <c:pt idx="8">
                  <c:v>41009670.406424247</c:v>
                </c:pt>
                <c:pt idx="9">
                  <c:v>42739970.138537772</c:v>
                </c:pt>
              </c:numCache>
            </c:numRef>
          </c:val>
          <c:smooth val="0"/>
          <c:extLst>
            <c:ext xmlns:c16="http://schemas.microsoft.com/office/drawing/2014/chart" uri="{C3380CC4-5D6E-409C-BE32-E72D297353CC}">
              <c16:uniqueId val="{00000000-3638-4B3F-BE1B-149980EF31A0}"/>
            </c:ext>
          </c:extLst>
        </c:ser>
        <c:ser>
          <c:idx val="1"/>
          <c:order val="1"/>
          <c:tx>
            <c:strRef>
              <c:f>SR_cost_per_minute_forecast!$B$187</c:f>
              <c:strCache>
                <c:ptCount val="1"/>
                <c:pt idx="0">
                  <c:v>Baseline Demand</c:v>
                </c:pt>
              </c:strCache>
            </c:strRef>
          </c:tx>
          <c:spPr>
            <a:ln w="28575" cap="rnd">
              <a:solidFill>
                <a:schemeClr val="accent2"/>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SR_cost_per_minute_forecast!$C$197:$L$197</c:f>
              <c:numCache>
                <c:formatCode>_(* #,##0_);_(* \(#,##0\);_(* "-"??_);_(@_)</c:formatCode>
                <c:ptCount val="10"/>
                <c:pt idx="0">
                  <c:v>29963784.901604075</c:v>
                </c:pt>
                <c:pt idx="1">
                  <c:v>31455079.38822674</c:v>
                </c:pt>
                <c:pt idx="2">
                  <c:v>35328174.497304112</c:v>
                </c:pt>
                <c:pt idx="3">
                  <c:v>38280944.722031616</c:v>
                </c:pt>
                <c:pt idx="4">
                  <c:v>42070166.877816483</c:v>
                </c:pt>
                <c:pt idx="5">
                  <c:v>45627415.507687293</c:v>
                </c:pt>
                <c:pt idx="6">
                  <c:v>49401277.395030186</c:v>
                </c:pt>
                <c:pt idx="7">
                  <c:v>53282317.118554756</c:v>
                </c:pt>
                <c:pt idx="8">
                  <c:v>57014953.104044825</c:v>
                </c:pt>
                <c:pt idx="9">
                  <c:v>60879290.529174417</c:v>
                </c:pt>
              </c:numCache>
            </c:numRef>
          </c:val>
          <c:smooth val="0"/>
          <c:extLst>
            <c:ext xmlns:c16="http://schemas.microsoft.com/office/drawing/2014/chart" uri="{C3380CC4-5D6E-409C-BE32-E72D297353CC}">
              <c16:uniqueId val="{00000001-3638-4B3F-BE1B-149980EF31A0}"/>
            </c:ext>
          </c:extLst>
        </c:ser>
        <c:ser>
          <c:idx val="2"/>
          <c:order val="2"/>
          <c:tx>
            <c:strRef>
              <c:f>SR_cost_per_minute_forecast!$B$205</c:f>
              <c:strCache>
                <c:ptCount val="1"/>
                <c:pt idx="0">
                  <c:v>High Demand</c:v>
                </c:pt>
              </c:strCache>
            </c:strRef>
          </c:tx>
          <c:spPr>
            <a:ln w="28575" cap="rnd">
              <a:solidFill>
                <a:schemeClr val="accent3"/>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SR_cost_per_minute_forecast!$C$215:$L$215</c:f>
              <c:numCache>
                <c:formatCode>_(* #,##0_);_(* \(#,##0\);_(* "-"??_);_(@_)</c:formatCode>
                <c:ptCount val="10"/>
                <c:pt idx="0">
                  <c:v>31293035.138724323</c:v>
                </c:pt>
                <c:pt idx="1">
                  <c:v>34166749.871952049</c:v>
                </c:pt>
                <c:pt idx="2">
                  <c:v>39477030.337403834</c:v>
                </c:pt>
                <c:pt idx="3">
                  <c:v>43923388.664567247</c:v>
                </c:pt>
                <c:pt idx="4">
                  <c:v>49264282.90454942</c:v>
                </c:pt>
                <c:pt idx="5">
                  <c:v>54433013.524408408</c:v>
                </c:pt>
                <c:pt idx="6">
                  <c:v>59879939.034928307</c:v>
                </c:pt>
                <c:pt idx="7">
                  <c:v>65497442.687350266</c:v>
                </c:pt>
                <c:pt idx="8">
                  <c:v>71031809.694237679</c:v>
                </c:pt>
                <c:pt idx="9">
                  <c:v>76765061.331393003</c:v>
                </c:pt>
              </c:numCache>
            </c:numRef>
          </c:val>
          <c:smooth val="0"/>
          <c:extLst>
            <c:ext xmlns:c16="http://schemas.microsoft.com/office/drawing/2014/chart" uri="{C3380CC4-5D6E-409C-BE32-E72D297353CC}">
              <c16:uniqueId val="{00000002-3638-4B3F-BE1B-149980EF31A0}"/>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Demand Forecast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83891062464"/>
          <c:w val="0.79011781286457805"/>
          <c:h val="0.57664470395815959"/>
        </c:manualLayout>
      </c:layout>
      <c:areaChart>
        <c:grouping val="stacked"/>
        <c:varyColors val="0"/>
        <c:ser>
          <c:idx val="0"/>
          <c:order val="0"/>
          <c:tx>
            <c:strRef>
              <c:f>DTE_demand_forecast!$B$154</c:f>
              <c:strCache>
                <c:ptCount val="1"/>
                <c:pt idx="0">
                  <c:v>Existing</c:v>
                </c:pt>
              </c:strCache>
            </c:strRef>
          </c:tx>
          <c:spPr>
            <a:solidFill>
              <a:schemeClr val="accent1"/>
            </a:solidFill>
            <a:ln>
              <a:noFill/>
            </a:ln>
            <a:effectLst/>
          </c:spPr>
          <c:cat>
            <c:numRef>
              <c:f>DTE_demand_forecast!$C$153:$L$153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DTE_demand_forecast!$C$154:$L$154</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9118-48D4-91FC-0A778305BA64}"/>
            </c:ext>
          </c:extLst>
        </c:ser>
        <c:ser>
          <c:idx val="1"/>
          <c:order val="1"/>
          <c:tx>
            <c:strRef>
              <c:f>DTE_demand_forecast!$B$155</c:f>
              <c:strCache>
                <c:ptCount val="1"/>
                <c:pt idx="0">
                  <c:v>Replacement</c:v>
                </c:pt>
              </c:strCache>
            </c:strRef>
          </c:tx>
          <c:spPr>
            <a:solidFill>
              <a:schemeClr val="accent2"/>
            </a:solidFill>
            <a:ln>
              <a:noFill/>
            </a:ln>
            <a:effectLst/>
          </c:spPr>
          <c:cat>
            <c:numRef>
              <c:f>DTE_demand_forecast!$C$153:$L$153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DTE_demand_forecast!$C$155:$L$155</c:f>
              <c:numCache>
                <c:formatCode>0</c:formatCode>
                <c:ptCount val="10"/>
                <c:pt idx="0">
                  <c:v>124918.11640279366</c:v>
                </c:pt>
                <c:pt idx="1">
                  <c:v>393555.44743469905</c:v>
                </c:pt>
                <c:pt idx="2">
                  <c:v>539323.30476090929</c:v>
                </c:pt>
                <c:pt idx="3">
                  <c:v>776724.28006873839</c:v>
                </c:pt>
                <c:pt idx="4">
                  <c:v>1015045.2837551539</c:v>
                </c:pt>
                <c:pt idx="5">
                  <c:v>1360556.5354057609</c:v>
                </c:pt>
                <c:pt idx="6">
                  <c:v>1618742.6685783002</c:v>
                </c:pt>
                <c:pt idx="7">
                  <c:v>1856109.7737199813</c:v>
                </c:pt>
                <c:pt idx="8">
                  <c:v>2039895.4744829619</c:v>
                </c:pt>
                <c:pt idx="9">
                  <c:v>2230290.1593669737</c:v>
                </c:pt>
              </c:numCache>
            </c:numRef>
          </c:val>
          <c:extLst>
            <c:ext xmlns:c16="http://schemas.microsoft.com/office/drawing/2014/chart" uri="{C3380CC4-5D6E-409C-BE32-E72D297353CC}">
              <c16:uniqueId val="{00000001-9118-48D4-91FC-0A778305BA64}"/>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6999577756044043"/>
          <c:w val="0.79011781286457805"/>
          <c:h val="0.58581152040304452"/>
        </c:manualLayout>
      </c:layout>
      <c:areaChart>
        <c:grouping val="stacked"/>
        <c:varyColors val="0"/>
        <c:ser>
          <c:idx val="0"/>
          <c:order val="0"/>
          <c:tx>
            <c:strRef>
              <c:f>DTE_demand_forecast!$B$233</c:f>
              <c:strCache>
                <c:ptCount val="1"/>
                <c:pt idx="0">
                  <c:v>Existing</c:v>
                </c:pt>
              </c:strCache>
            </c:strRef>
          </c:tx>
          <c:spPr>
            <a:solidFill>
              <a:schemeClr val="accent1"/>
            </a:solidFill>
            <a:ln>
              <a:noFill/>
            </a:ln>
            <a:effectLst/>
          </c:spPr>
          <c:cat>
            <c:numRef>
              <c:f>DTE_demand_forecast!$C$232:$L$232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DTE_demand_forecast!$C$233:$L$233</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78B1-4104-91EF-7D6EC5F8FE67}"/>
            </c:ext>
          </c:extLst>
        </c:ser>
        <c:ser>
          <c:idx val="1"/>
          <c:order val="1"/>
          <c:tx>
            <c:strRef>
              <c:f>DTE_demand_forecast!$B$234</c:f>
              <c:strCache>
                <c:ptCount val="1"/>
                <c:pt idx="0">
                  <c:v>Replacement</c:v>
                </c:pt>
              </c:strCache>
            </c:strRef>
          </c:tx>
          <c:spPr>
            <a:solidFill>
              <a:schemeClr val="accent2"/>
            </a:solidFill>
            <a:ln>
              <a:noFill/>
            </a:ln>
            <a:effectLst/>
          </c:spPr>
          <c:cat>
            <c:numRef>
              <c:f>DTE_demand_forecast!$C$232:$L$232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DTE_demand_forecast!$C$234:$L$234</c:f>
              <c:numCache>
                <c:formatCode>0</c:formatCode>
                <c:ptCount val="10"/>
                <c:pt idx="0">
                  <c:v>190271.8260856508</c:v>
                </c:pt>
                <c:pt idx="1">
                  <c:v>524712.79582959425</c:v>
                </c:pt>
                <c:pt idx="2">
                  <c:v>731597.28982577892</c:v>
                </c:pt>
                <c:pt idx="3">
                  <c:v>1054765.0575542564</c:v>
                </c:pt>
                <c:pt idx="4">
                  <c:v>1369547.2750491893</c:v>
                </c:pt>
                <c:pt idx="5">
                  <c:v>1794466.97274966</c:v>
                </c:pt>
                <c:pt idx="6">
                  <c:v>2135096.0890175402</c:v>
                </c:pt>
                <c:pt idx="7">
                  <c:v>2458030.3324034382</c:v>
                </c:pt>
                <c:pt idx="8">
                  <c:v>2730599.3155722287</c:v>
                </c:pt>
                <c:pt idx="9">
                  <c:v>3013087.8459348092</c:v>
                </c:pt>
              </c:numCache>
            </c:numRef>
          </c:val>
          <c:extLst>
            <c:ext xmlns:c16="http://schemas.microsoft.com/office/drawing/2014/chart" uri="{C3380CC4-5D6E-409C-BE32-E72D297353CC}">
              <c16:uniqueId val="{00000001-78B1-4104-91EF-7D6EC5F8FE67}"/>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SR_demand_forecast!$B$56</c:f>
              <c:strCache>
                <c:ptCount val="1"/>
                <c:pt idx="0">
                  <c:v>Human Space Flight</c:v>
                </c:pt>
              </c:strCache>
            </c:strRef>
          </c:tx>
          <c:spPr>
            <a:solidFill>
              <a:schemeClr val="accent1"/>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SR_demand_forecast!$D$56:$M$56</c:f>
              <c:numCache>
                <c:formatCode>_(* #,##0_);_(* \(#,##0\);_(* "-"??_);_(@_)</c:formatCode>
                <c:ptCount val="10"/>
                <c:pt idx="0">
                  <c:v>471003.9</c:v>
                </c:pt>
                <c:pt idx="1">
                  <c:v>482951.31599999999</c:v>
                </c:pt>
                <c:pt idx="2">
                  <c:v>495372.03347999998</c:v>
                </c:pt>
                <c:pt idx="3">
                  <c:v>508280.2055328</c:v>
                </c:pt>
                <c:pt idx="4">
                  <c:v>521690.36205431999</c:v>
                </c:pt>
                <c:pt idx="5">
                  <c:v>535617.41915448767</c:v>
                </c:pt>
                <c:pt idx="6">
                  <c:v>550076.68879384035</c:v>
                </c:pt>
                <c:pt idx="7">
                  <c:v>565083.88865110534</c:v>
                </c:pt>
                <c:pt idx="8">
                  <c:v>580655.15222714329</c:v>
                </c:pt>
                <c:pt idx="9">
                  <c:v>596807.03919076244</c:v>
                </c:pt>
              </c:numCache>
            </c:numRef>
          </c:val>
          <c:extLst>
            <c:ext xmlns:c16="http://schemas.microsoft.com/office/drawing/2014/chart" uri="{C3380CC4-5D6E-409C-BE32-E72D297353CC}">
              <c16:uniqueId val="{00000000-12ED-4526-9F4D-19E4028C8D7F}"/>
            </c:ext>
          </c:extLst>
        </c:ser>
        <c:ser>
          <c:idx val="1"/>
          <c:order val="1"/>
          <c:tx>
            <c:strRef>
              <c:f>SR_demand_forecast!$B$57</c:f>
              <c:strCache>
                <c:ptCount val="1"/>
                <c:pt idx="0">
                  <c:v>Near Earth Robotic - LEO Science</c:v>
                </c:pt>
              </c:strCache>
            </c:strRef>
          </c:tx>
          <c:spPr>
            <a:solidFill>
              <a:schemeClr val="accent2"/>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SR_demand_forecast!$D$57:$M$57</c:f>
              <c:numCache>
                <c:formatCode>_(* #,##0_);_(* \(#,##0\);_(* "-"??_);_(@_)</c:formatCode>
                <c:ptCount val="10"/>
                <c:pt idx="0">
                  <c:v>1140965.7888888889</c:v>
                </c:pt>
                <c:pt idx="1">
                  <c:v>1118554.4582222223</c:v>
                </c:pt>
                <c:pt idx="2">
                  <c:v>1233940.7949688889</c:v>
                </c:pt>
                <c:pt idx="3">
                  <c:v>1291237.7096719111</c:v>
                </c:pt>
                <c:pt idx="4">
                  <c:v>1394488.6061962401</c:v>
                </c:pt>
                <c:pt idx="5">
                  <c:v>1475384.5698310065</c:v>
                </c:pt>
                <c:pt idx="6">
                  <c:v>1567202.7446353522</c:v>
                </c:pt>
                <c:pt idx="7">
                  <c:v>1660350.2283495278</c:v>
                </c:pt>
                <c:pt idx="8">
                  <c:v>1739113.30695364</c:v>
                </c:pt>
                <c:pt idx="9">
                  <c:v>1820389.4487661328</c:v>
                </c:pt>
              </c:numCache>
            </c:numRef>
          </c:val>
          <c:extLst>
            <c:ext xmlns:c16="http://schemas.microsoft.com/office/drawing/2014/chart" uri="{C3380CC4-5D6E-409C-BE32-E72D297353CC}">
              <c16:uniqueId val="{00000001-12ED-4526-9F4D-19E4028C8D7F}"/>
            </c:ext>
          </c:extLst>
        </c:ser>
        <c:ser>
          <c:idx val="2"/>
          <c:order val="2"/>
          <c:tx>
            <c:strRef>
              <c:f>SR_demand_forecast!$B$58</c:f>
              <c:strCache>
                <c:ptCount val="1"/>
                <c:pt idx="0">
                  <c:v>Near Earth Robotic - GEO and Near Earth</c:v>
                </c:pt>
              </c:strCache>
            </c:strRef>
          </c:tx>
          <c:spPr>
            <a:solidFill>
              <a:schemeClr val="accent3"/>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SR_demand_forecast!$D$58:$M$58</c:f>
              <c:numCache>
                <c:formatCode>_(* #,##0_);_(* \(#,##0\);_(* "-"??_);_(@_)</c:formatCode>
                <c:ptCount val="10"/>
                <c:pt idx="0">
                  <c:v>7565.7142857142862</c:v>
                </c:pt>
                <c:pt idx="1">
                  <c:v>8057.4857142857145</c:v>
                </c:pt>
                <c:pt idx="2">
                  <c:v>11315.093142857142</c:v>
                </c:pt>
                <c:pt idx="3">
                  <c:v>12043.194788571427</c:v>
                </c:pt>
                <c:pt idx="4">
                  <c:v>12795.894462857143</c:v>
                </c:pt>
                <c:pt idx="5">
                  <c:v>13573.884846198856</c:v>
                </c:pt>
                <c:pt idx="6">
                  <c:v>14377.876487089097</c:v>
                </c:pt>
                <c:pt idx="7">
                  <c:v>15208.598239676463</c:v>
                </c:pt>
                <c:pt idx="8">
                  <c:v>16066.797711772493</c:v>
                </c:pt>
                <c:pt idx="9">
                  <c:v>16953.241723456496</c:v>
                </c:pt>
              </c:numCache>
            </c:numRef>
          </c:val>
          <c:extLst>
            <c:ext xmlns:c16="http://schemas.microsoft.com/office/drawing/2014/chart" uri="{C3380CC4-5D6E-409C-BE32-E72D297353CC}">
              <c16:uniqueId val="{00000002-12ED-4526-9F4D-19E4028C8D7F}"/>
            </c:ext>
          </c:extLst>
        </c:ser>
        <c:ser>
          <c:idx val="3"/>
          <c:order val="3"/>
          <c:tx>
            <c:strRef>
              <c:f>SR_demand_forecast!$B$59</c:f>
              <c:strCache>
                <c:ptCount val="1"/>
                <c:pt idx="0">
                  <c:v>Deep Space Robotic</c:v>
                </c:pt>
              </c:strCache>
            </c:strRef>
          </c:tx>
          <c:spPr>
            <a:solidFill>
              <a:schemeClr val="accent4"/>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2ED-4526-9F4D-19E4028C8D7F}"/>
            </c:ext>
          </c:extLst>
        </c:ser>
        <c:ser>
          <c:idx val="4"/>
          <c:order val="4"/>
          <c:tx>
            <c:strRef>
              <c:f>SR_demand_forecast!$B$60</c:f>
              <c:strCache>
                <c:ptCount val="1"/>
                <c:pt idx="0">
                  <c:v>Near Earth Robotic - Low Latency &amp; Complex Needs</c:v>
                </c:pt>
              </c:strCache>
            </c:strRef>
          </c:tx>
          <c:spPr>
            <a:solidFill>
              <a:schemeClr val="accent5"/>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SR_demand_forecast!$D$60:$M$60</c:f>
              <c:numCache>
                <c:formatCode>_(* #,##0_);_(* \(#,##0\);_(* "-"??_);_(@_)</c:formatCode>
                <c:ptCount val="10"/>
                <c:pt idx="0">
                  <c:v>460.5</c:v>
                </c:pt>
                <c:pt idx="1">
                  <c:v>460.5</c:v>
                </c:pt>
                <c:pt idx="2">
                  <c:v>460.5</c:v>
                </c:pt>
                <c:pt idx="3">
                  <c:v>460.5</c:v>
                </c:pt>
                <c:pt idx="4">
                  <c:v>498.46000967999998</c:v>
                </c:pt>
                <c:pt idx="5">
                  <c:v>508.42920987360003</c:v>
                </c:pt>
                <c:pt idx="6">
                  <c:v>518.59779407107203</c:v>
                </c:pt>
                <c:pt idx="7">
                  <c:v>528.96974995249332</c:v>
                </c:pt>
                <c:pt idx="8">
                  <c:v>539.54914495154333</c:v>
                </c:pt>
                <c:pt idx="9">
                  <c:v>550.34012785057416</c:v>
                </c:pt>
              </c:numCache>
            </c:numRef>
          </c:val>
          <c:extLst>
            <c:ext xmlns:c16="http://schemas.microsoft.com/office/drawing/2014/chart" uri="{C3380CC4-5D6E-409C-BE32-E72D297353CC}">
              <c16:uniqueId val="{00000004-12ED-4526-9F4D-19E4028C8D7F}"/>
            </c:ext>
          </c:extLst>
        </c:ser>
        <c:ser>
          <c:idx val="5"/>
          <c:order val="5"/>
          <c:tx>
            <c:strRef>
              <c:f>SR_demand_forecast!$B$61</c:f>
              <c:strCache>
                <c:ptCount val="1"/>
                <c:pt idx="0">
                  <c:v>Mission Operations</c:v>
                </c:pt>
              </c:strCache>
            </c:strRef>
          </c:tx>
          <c:spPr>
            <a:solidFill>
              <a:schemeClr val="accent6"/>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2ED-4526-9F4D-19E4028C8D7F}"/>
            </c:ext>
          </c:extLst>
        </c:ser>
        <c:ser>
          <c:idx val="6"/>
          <c:order val="6"/>
          <c:tx>
            <c:strRef>
              <c:f>SR_demand_forecast!$B$62</c:f>
              <c:strCache>
                <c:ptCount val="1"/>
                <c:pt idx="0">
                  <c:v>Launch Events</c:v>
                </c:pt>
              </c:strCache>
            </c:strRef>
          </c:tx>
          <c:spPr>
            <a:solidFill>
              <a:schemeClr val="accent1">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SR_demand_forecast!$D$62:$M$62</c:f>
              <c:numCache>
                <c:formatCode>_(* #,##0_);_(* \(#,##0\);_(* "-"??_);_(@_)</c:formatCode>
                <c:ptCount val="10"/>
                <c:pt idx="0">
                  <c:v>7340.8</c:v>
                </c:pt>
                <c:pt idx="1">
                  <c:v>7817.9520000000002</c:v>
                </c:pt>
                <c:pt idx="2">
                  <c:v>8314.0065599999998</c:v>
                </c:pt>
                <c:pt idx="3">
                  <c:v>8829.5289216000001</c:v>
                </c:pt>
                <c:pt idx="4">
                  <c:v>9554.1987500799987</c:v>
                </c:pt>
                <c:pt idx="5">
                  <c:v>10160.07499758976</c:v>
                </c:pt>
                <c:pt idx="6">
                  <c:v>10788.199815499878</c:v>
                </c:pt>
                <c:pt idx="7">
                  <c:v>11439.220796127363</c:v>
                </c:pt>
                <c:pt idx="8">
                  <c:v>12113.80253605375</c:v>
                </c:pt>
                <c:pt idx="9">
                  <c:v>12812.627057258744</c:v>
                </c:pt>
              </c:numCache>
            </c:numRef>
          </c:val>
          <c:extLst>
            <c:ext xmlns:c16="http://schemas.microsoft.com/office/drawing/2014/chart" uri="{C3380CC4-5D6E-409C-BE32-E72D297353CC}">
              <c16:uniqueId val="{00000006-12ED-4526-9F4D-19E4028C8D7F}"/>
            </c:ext>
          </c:extLst>
        </c:ser>
        <c:ser>
          <c:idx val="7"/>
          <c:order val="7"/>
          <c:tx>
            <c:strRef>
              <c:f>SR_demand_forecast!$B$63</c:f>
              <c:strCache>
                <c:ptCount val="1"/>
                <c:pt idx="0">
                  <c:v>Terrestrial &amp; Aerial</c:v>
                </c:pt>
              </c:strCache>
            </c:strRef>
          </c:tx>
          <c:spPr>
            <a:solidFill>
              <a:schemeClr val="accent2">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SR_demand_forecast!$D$63:$M$63</c:f>
              <c:numCache>
                <c:formatCode>_(* #,##0_);_(* \(#,##0\);_(* "-"??_);_(@_)</c:formatCode>
                <c:ptCount val="10"/>
                <c:pt idx="0">
                  <c:v>104591.93333333333</c:v>
                </c:pt>
                <c:pt idx="1">
                  <c:v>108775.61066666667</c:v>
                </c:pt>
                <c:pt idx="2">
                  <c:v>113111.78978666668</c:v>
                </c:pt>
                <c:pt idx="3">
                  <c:v>117604.89729386667</c:v>
                </c:pt>
                <c:pt idx="4">
                  <c:v>122259.47585210667</c:v>
                </c:pt>
                <c:pt idx="5">
                  <c:v>130591.80397319127</c:v>
                </c:pt>
                <c:pt idx="6">
                  <c:v>136328.45031109056</c:v>
                </c:pt>
                <c:pt idx="7">
                  <c:v>142255.82151424981</c:v>
                </c:pt>
                <c:pt idx="8">
                  <c:v>148379.25191874441</c:v>
                </c:pt>
                <c:pt idx="9">
                  <c:v>154704.21294414639</c:v>
                </c:pt>
              </c:numCache>
            </c:numRef>
          </c:val>
          <c:extLst>
            <c:ext xmlns:c16="http://schemas.microsoft.com/office/drawing/2014/chart" uri="{C3380CC4-5D6E-409C-BE32-E72D297353CC}">
              <c16:uniqueId val="{00000007-12ED-4526-9F4D-19E4028C8D7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SR_demand_forecast!$B$69</c:f>
              <c:strCache>
                <c:ptCount val="1"/>
                <c:pt idx="0">
                  <c:v>Existing</c:v>
                </c:pt>
              </c:strCache>
            </c:strRef>
          </c:tx>
          <c:spPr>
            <a:solidFill>
              <a:schemeClr val="accent1"/>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SR_demand_forecast!$D$69:$M$69</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389E-4E40-841D-F12B2C326EC0}"/>
            </c:ext>
          </c:extLst>
        </c:ser>
        <c:ser>
          <c:idx val="1"/>
          <c:order val="1"/>
          <c:tx>
            <c:strRef>
              <c:f>SR_demand_forecast!$B$70</c:f>
              <c:strCache>
                <c:ptCount val="1"/>
                <c:pt idx="0">
                  <c:v>Replacement</c:v>
                </c:pt>
              </c:strCache>
            </c:strRef>
          </c:tx>
          <c:spPr>
            <a:solidFill>
              <a:schemeClr val="accent2"/>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SR_demand_forecast!$D$70:$M$70</c:f>
              <c:numCache>
                <c:formatCode>_(* #,##0_);_(* \(#,##0\);_(* "-"??_);_(@_)</c:formatCode>
                <c:ptCount val="10"/>
                <c:pt idx="0">
                  <c:v>55813.723809523814</c:v>
                </c:pt>
                <c:pt idx="1">
                  <c:v>284342.90990476188</c:v>
                </c:pt>
                <c:pt idx="2">
                  <c:v>427332.66238285712</c:v>
                </c:pt>
                <c:pt idx="3">
                  <c:v>636675.25843097141</c:v>
                </c:pt>
                <c:pt idx="4">
                  <c:v>929400.83065861708</c:v>
                </c:pt>
                <c:pt idx="5">
                  <c:v>1267790.515345681</c:v>
                </c:pt>
                <c:pt idx="6">
                  <c:v>1581348.0578369431</c:v>
                </c:pt>
                <c:pt idx="7">
                  <c:v>1830323.005078417</c:v>
                </c:pt>
                <c:pt idx="8">
                  <c:v>1932324.1382700831</c:v>
                </c:pt>
                <c:pt idx="9">
                  <c:v>2037673.1875873851</c:v>
                </c:pt>
              </c:numCache>
            </c:numRef>
          </c:val>
          <c:extLst>
            <c:ext xmlns:c16="http://schemas.microsoft.com/office/drawing/2014/chart" uri="{C3380CC4-5D6E-409C-BE32-E72D297353CC}">
              <c16:uniqueId val="{00000001-389E-4E40-841D-F12B2C326EC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SR_demand_forecast!$B$129</c:f>
              <c:strCache>
                <c:ptCount val="1"/>
                <c:pt idx="0">
                  <c:v>Human Space Flight</c:v>
                </c:pt>
              </c:strCache>
            </c:strRef>
          </c:tx>
          <c:spPr>
            <a:solidFill>
              <a:schemeClr val="accent1"/>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SR_demand_forecast!$D$129:$M$129</c:f>
              <c:numCache>
                <c:formatCode>_(* #,##0_);_(* \(#,##0\);_(* "-"??_);_(@_)</c:formatCode>
                <c:ptCount val="10"/>
                <c:pt idx="0">
                  <c:v>505467.6</c:v>
                </c:pt>
                <c:pt idx="1">
                  <c:v>553257.26399999997</c:v>
                </c:pt>
                <c:pt idx="2">
                  <c:v>602940.13392000005</c:v>
                </c:pt>
                <c:pt idx="3">
                  <c:v>654572.8221312</c:v>
                </c:pt>
                <c:pt idx="4">
                  <c:v>708213.44821727998</c:v>
                </c:pt>
                <c:pt idx="5">
                  <c:v>763921.67661795067</c:v>
                </c:pt>
                <c:pt idx="6">
                  <c:v>821758.75517536141</c:v>
                </c:pt>
                <c:pt idx="7">
                  <c:v>881787.55460442114</c:v>
                </c:pt>
                <c:pt idx="8">
                  <c:v>944072.60890857328</c:v>
                </c:pt>
                <c:pt idx="9">
                  <c:v>1008680.1567630498</c:v>
                </c:pt>
              </c:numCache>
            </c:numRef>
          </c:val>
          <c:extLst>
            <c:ext xmlns:c16="http://schemas.microsoft.com/office/drawing/2014/chart" uri="{C3380CC4-5D6E-409C-BE32-E72D297353CC}">
              <c16:uniqueId val="{00000000-6A77-48AF-87AA-BCA6095B03F7}"/>
            </c:ext>
          </c:extLst>
        </c:ser>
        <c:ser>
          <c:idx val="1"/>
          <c:order val="1"/>
          <c:tx>
            <c:strRef>
              <c:f>SR_demand_forecast!$B$130</c:f>
              <c:strCache>
                <c:ptCount val="1"/>
                <c:pt idx="0">
                  <c:v>Near Earth Robotic - LEO Science</c:v>
                </c:pt>
              </c:strCache>
            </c:strRef>
          </c:tx>
          <c:spPr>
            <a:solidFill>
              <a:schemeClr val="accent2"/>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SR_demand_forecast!$D$130:$M$130</c:f>
              <c:numCache>
                <c:formatCode>_(* #,##0_);_(* \(#,##0\);_(* "-"??_);_(@_)</c:formatCode>
                <c:ptCount val="10"/>
                <c:pt idx="0">
                  <c:v>1194326.0999999999</c:v>
                </c:pt>
                <c:pt idx="1">
                  <c:v>1227409.4928888888</c:v>
                </c:pt>
                <c:pt idx="2">
                  <c:v>1400488.9980088889</c:v>
                </c:pt>
                <c:pt idx="3">
                  <c:v>1517743.2658063113</c:v>
                </c:pt>
                <c:pt idx="4">
                  <c:v>1683283.1902676001</c:v>
                </c:pt>
                <c:pt idx="5">
                  <c:v>1828869.140734351</c:v>
                </c:pt>
                <c:pt idx="6">
                  <c:v>1987849.3840103326</c:v>
                </c:pt>
                <c:pt idx="7">
                  <c:v>2150704.0251066475</c:v>
                </c:pt>
                <c:pt idx="8">
                  <c:v>2301794.2887324351</c:v>
                </c:pt>
                <c:pt idx="9">
                  <c:v>2458094.5614487668</c:v>
                </c:pt>
              </c:numCache>
            </c:numRef>
          </c:val>
          <c:extLst>
            <c:ext xmlns:c16="http://schemas.microsoft.com/office/drawing/2014/chart" uri="{C3380CC4-5D6E-409C-BE32-E72D297353CC}">
              <c16:uniqueId val="{00000001-6A77-48AF-87AA-BCA6095B03F7}"/>
            </c:ext>
          </c:extLst>
        </c:ser>
        <c:ser>
          <c:idx val="2"/>
          <c:order val="2"/>
          <c:tx>
            <c:strRef>
              <c:f>SR_demand_forecast!$B$131</c:f>
              <c:strCache>
                <c:ptCount val="1"/>
                <c:pt idx="0">
                  <c:v>Near Earth Robotic - GEO and Near Earth</c:v>
                </c:pt>
              </c:strCache>
            </c:strRef>
          </c:tx>
          <c:spPr>
            <a:solidFill>
              <a:schemeClr val="accent3"/>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SR_demand_forecast!$D$131:$M$131</c:f>
              <c:numCache>
                <c:formatCode>_(* #,##0_);_(* \(#,##0\);_(* "-"??_);_(@_)</c:formatCode>
                <c:ptCount val="10"/>
                <c:pt idx="0">
                  <c:v>8275</c:v>
                </c:pt>
                <c:pt idx="1">
                  <c:v>9504.4285714285725</c:v>
                </c:pt>
                <c:pt idx="2">
                  <c:v>13528.915714285713</c:v>
                </c:pt>
                <c:pt idx="3">
                  <c:v>15053.993485714285</c:v>
                </c:pt>
                <c:pt idx="4">
                  <c:v>16634.662801714287</c:v>
                </c:pt>
                <c:pt idx="5">
                  <c:v>18272.537292960002</c:v>
                </c:pt>
                <c:pt idx="6">
                  <c:v>19969.272898734856</c:v>
                </c:pt>
                <c:pt idx="7">
                  <c:v>21726.568913823521</c:v>
                </c:pt>
                <c:pt idx="8">
                  <c:v>23546.169060356246</c:v>
                </c:pt>
                <c:pt idx="9">
                  <c:v>25429.862585184743</c:v>
                </c:pt>
              </c:numCache>
            </c:numRef>
          </c:val>
          <c:extLst>
            <c:ext xmlns:c16="http://schemas.microsoft.com/office/drawing/2014/chart" uri="{C3380CC4-5D6E-409C-BE32-E72D297353CC}">
              <c16:uniqueId val="{00000002-6A77-48AF-87AA-BCA6095B03F7}"/>
            </c:ext>
          </c:extLst>
        </c:ser>
        <c:ser>
          <c:idx val="3"/>
          <c:order val="3"/>
          <c:tx>
            <c:strRef>
              <c:f>SR_demand_forecast!$B$132</c:f>
              <c:strCache>
                <c:ptCount val="1"/>
                <c:pt idx="0">
                  <c:v>Deep Space Robotic</c:v>
                </c:pt>
              </c:strCache>
            </c:strRef>
          </c:tx>
          <c:spPr>
            <a:solidFill>
              <a:schemeClr val="accent4"/>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A77-48AF-87AA-BCA6095B03F7}"/>
            </c:ext>
          </c:extLst>
        </c:ser>
        <c:ser>
          <c:idx val="4"/>
          <c:order val="4"/>
          <c:tx>
            <c:strRef>
              <c:f>SR_demand_forecast!$B$133</c:f>
              <c:strCache>
                <c:ptCount val="1"/>
                <c:pt idx="0">
                  <c:v>Near Earth Robotic - Low Latency &amp; Complex Needs</c:v>
                </c:pt>
              </c:strCache>
            </c:strRef>
          </c:tx>
          <c:spPr>
            <a:solidFill>
              <a:schemeClr val="accent5"/>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SR_demand_forecast!$D$133:$M$133</c:f>
              <c:numCache>
                <c:formatCode>_(* #,##0_);_(* \(#,##0\);_(* "-"??_);_(@_)</c:formatCode>
                <c:ptCount val="10"/>
                <c:pt idx="0">
                  <c:v>506.55</c:v>
                </c:pt>
                <c:pt idx="1">
                  <c:v>554.44200000000001</c:v>
                </c:pt>
                <c:pt idx="2">
                  <c:v>604.23126000000002</c:v>
                </c:pt>
                <c:pt idx="3">
                  <c:v>655.97451360000002</c:v>
                </c:pt>
                <c:pt idx="4">
                  <c:v>747.69001451999998</c:v>
                </c:pt>
                <c:pt idx="5">
                  <c:v>813.48673579776005</c:v>
                </c:pt>
                <c:pt idx="6">
                  <c:v>881.6162499208225</c:v>
                </c:pt>
                <c:pt idx="7">
                  <c:v>952.1455499144879</c:v>
                </c:pt>
                <c:pt idx="8">
                  <c:v>1025.1433754079321</c:v>
                </c:pt>
                <c:pt idx="9">
                  <c:v>1100.6802557011483</c:v>
                </c:pt>
              </c:numCache>
            </c:numRef>
          </c:val>
          <c:extLst>
            <c:ext xmlns:c16="http://schemas.microsoft.com/office/drawing/2014/chart" uri="{C3380CC4-5D6E-409C-BE32-E72D297353CC}">
              <c16:uniqueId val="{00000004-6A77-48AF-87AA-BCA6095B03F7}"/>
            </c:ext>
          </c:extLst>
        </c:ser>
        <c:ser>
          <c:idx val="5"/>
          <c:order val="5"/>
          <c:tx>
            <c:strRef>
              <c:f>SR_demand_forecast!$B$134</c:f>
              <c:strCache>
                <c:ptCount val="1"/>
                <c:pt idx="0">
                  <c:v>Mission Operations</c:v>
                </c:pt>
              </c:strCache>
            </c:strRef>
          </c:tx>
          <c:spPr>
            <a:solidFill>
              <a:schemeClr val="accent6"/>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A77-48AF-87AA-BCA6095B03F7}"/>
            </c:ext>
          </c:extLst>
        </c:ser>
        <c:ser>
          <c:idx val="6"/>
          <c:order val="6"/>
          <c:tx>
            <c:strRef>
              <c:f>SR_demand_forecast!$B$135</c:f>
              <c:strCache>
                <c:ptCount val="1"/>
                <c:pt idx="0">
                  <c:v>Launch Events</c:v>
                </c:pt>
              </c:strCache>
            </c:strRef>
          </c:tx>
          <c:spPr>
            <a:solidFill>
              <a:schemeClr val="accent1">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SR_demand_forecast!$D$135:$M$135</c:f>
              <c:numCache>
                <c:formatCode>_(* #,##0_);_(* \(#,##0\);_(* "-"??_);_(@_)</c:formatCode>
                <c:ptCount val="10"/>
                <c:pt idx="0">
                  <c:v>7799.6</c:v>
                </c:pt>
                <c:pt idx="1">
                  <c:v>8753.9040000000005</c:v>
                </c:pt>
                <c:pt idx="2">
                  <c:v>9746.0131199999996</c:v>
                </c:pt>
                <c:pt idx="3">
                  <c:v>10777.0578432</c:v>
                </c:pt>
                <c:pt idx="4">
                  <c:v>12037.29812512</c:v>
                </c:pt>
                <c:pt idx="5">
                  <c:v>13199.38863263872</c:v>
                </c:pt>
                <c:pt idx="6">
                  <c:v>14404.983041208141</c:v>
                </c:pt>
                <c:pt idx="7">
                  <c:v>15655.356670667281</c:v>
                </c:pt>
                <c:pt idx="8">
                  <c:v>16951.818452088308</c:v>
                </c:pt>
                <c:pt idx="9">
                  <c:v>18295.711762097904</c:v>
                </c:pt>
              </c:numCache>
            </c:numRef>
          </c:val>
          <c:extLst>
            <c:ext xmlns:c16="http://schemas.microsoft.com/office/drawing/2014/chart" uri="{C3380CC4-5D6E-409C-BE32-E72D297353CC}">
              <c16:uniqueId val="{00000006-6A77-48AF-87AA-BCA6095B03F7}"/>
            </c:ext>
          </c:extLst>
        </c:ser>
        <c:ser>
          <c:idx val="7"/>
          <c:order val="7"/>
          <c:tx>
            <c:strRef>
              <c:f>SR_demand_forecast!$B$136</c:f>
              <c:strCache>
                <c:ptCount val="1"/>
                <c:pt idx="0">
                  <c:v>Terrestrial &amp; Aerial</c:v>
                </c:pt>
              </c:strCache>
            </c:strRef>
          </c:tx>
          <c:spPr>
            <a:solidFill>
              <a:schemeClr val="accent2">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SR_demand_forecast!$D$136:$M$136</c:f>
              <c:numCache>
                <c:formatCode>_(* #,##0_);_(* \(#,##0\);_(* "-"??_);_(@_)</c:formatCode>
                <c:ptCount val="10"/>
                <c:pt idx="0">
                  <c:v>107965.86666666667</c:v>
                </c:pt>
                <c:pt idx="1">
                  <c:v>115658.43466666667</c:v>
                </c:pt>
                <c:pt idx="2">
                  <c:v>123642.51050666667</c:v>
                </c:pt>
                <c:pt idx="3">
                  <c:v>131926.67747306667</c:v>
                </c:pt>
                <c:pt idx="4">
                  <c:v>140519.74558058666</c:v>
                </c:pt>
                <c:pt idx="5">
                  <c:v>152942.37412085079</c:v>
                </c:pt>
                <c:pt idx="6">
                  <c:v>162925.62878680538</c:v>
                </c:pt>
                <c:pt idx="7">
                  <c:v>173260.53242308309</c:v>
                </c:pt>
                <c:pt idx="8">
                  <c:v>183957.15768663061</c:v>
                </c:pt>
                <c:pt idx="9">
                  <c:v>195025.83948108411</c:v>
                </c:pt>
              </c:numCache>
            </c:numRef>
          </c:val>
          <c:extLst>
            <c:ext xmlns:c16="http://schemas.microsoft.com/office/drawing/2014/chart" uri="{C3380CC4-5D6E-409C-BE32-E72D297353CC}">
              <c16:uniqueId val="{00000007-6A77-48AF-87AA-BCA6095B03F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SR_demand_forecast!$B$142</c:f>
              <c:strCache>
                <c:ptCount val="1"/>
                <c:pt idx="0">
                  <c:v>Existing</c:v>
                </c:pt>
              </c:strCache>
            </c:strRef>
          </c:tx>
          <c:spPr>
            <a:solidFill>
              <a:schemeClr val="accent1"/>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SR_demand_forecast!$D$142:$M$142</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53E7-457A-9757-9794A37996D0}"/>
            </c:ext>
          </c:extLst>
        </c:ser>
        <c:ser>
          <c:idx val="1"/>
          <c:order val="1"/>
          <c:tx>
            <c:strRef>
              <c:f>SR_demand_forecast!$B$143</c:f>
              <c:strCache>
                <c:ptCount val="1"/>
                <c:pt idx="0">
                  <c:v>Replacement</c:v>
                </c:pt>
              </c:strCache>
            </c:strRef>
          </c:tx>
          <c:spPr>
            <a:solidFill>
              <a:schemeClr val="accent2"/>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SR_demand_forecast!$D$143:$M$143</c:f>
              <c:numCache>
                <c:formatCode>_(* #,##0_);_(* \(#,##0\);_(* "-"??_);_(@_)</c:formatCode>
                <c:ptCount val="10"/>
                <c:pt idx="0">
                  <c:v>148225.80396825398</c:v>
                </c:pt>
                <c:pt idx="1">
                  <c:v>472863.55342857138</c:v>
                </c:pt>
                <c:pt idx="2">
                  <c:v>715769.24697428569</c:v>
                </c:pt>
                <c:pt idx="3">
                  <c:v>1028949.0134753144</c:v>
                </c:pt>
                <c:pt idx="4">
                  <c:v>1429549.8683401546</c:v>
                </c:pt>
                <c:pt idx="5">
                  <c:v>1879972.9374678824</c:v>
                </c:pt>
                <c:pt idx="6">
                  <c:v>2309845.1401623632</c:v>
                </c:pt>
                <c:pt idx="7">
                  <c:v>2679542.4610463344</c:v>
                </c:pt>
                <c:pt idx="8">
                  <c:v>2906803.463993269</c:v>
                </c:pt>
                <c:pt idx="9">
                  <c:v>3142083.0900736623</c:v>
                </c:pt>
              </c:numCache>
            </c:numRef>
          </c:val>
          <c:extLst>
            <c:ext xmlns:c16="http://schemas.microsoft.com/office/drawing/2014/chart" uri="{C3380CC4-5D6E-409C-BE32-E72D297353CC}">
              <c16:uniqueId val="{00000001-53E7-457A-9757-9794A37996D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SR_demand_forecast!$B$202</c:f>
              <c:strCache>
                <c:ptCount val="1"/>
                <c:pt idx="0">
                  <c:v>Human Space Flight</c:v>
                </c:pt>
              </c:strCache>
            </c:strRef>
          </c:tx>
          <c:spPr>
            <a:solidFill>
              <a:schemeClr val="accent1"/>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SR_demand_forecast!$D$202:$M$202</c:f>
              <c:numCache>
                <c:formatCode>_(* #,##0_);_(* \(#,##0\);_(* "-"??_);_(@_)</c:formatCode>
                <c:ptCount val="10"/>
                <c:pt idx="0">
                  <c:v>528443.4</c:v>
                </c:pt>
                <c:pt idx="1">
                  <c:v>600127.89599999995</c:v>
                </c:pt>
                <c:pt idx="2">
                  <c:v>674652.20088000002</c:v>
                </c:pt>
                <c:pt idx="3">
                  <c:v>752101.23319679988</c:v>
                </c:pt>
                <c:pt idx="4">
                  <c:v>832562.17232591996</c:v>
                </c:pt>
                <c:pt idx="5">
                  <c:v>916124.51492692612</c:v>
                </c:pt>
                <c:pt idx="6">
                  <c:v>1002880.1327630421</c:v>
                </c:pt>
                <c:pt idx="7">
                  <c:v>1092923.3319066316</c:v>
                </c:pt>
                <c:pt idx="8">
                  <c:v>1186350.91336286</c:v>
                </c:pt>
                <c:pt idx="9">
                  <c:v>1283262.2351445747</c:v>
                </c:pt>
              </c:numCache>
            </c:numRef>
          </c:val>
          <c:extLst>
            <c:ext xmlns:c16="http://schemas.microsoft.com/office/drawing/2014/chart" uri="{C3380CC4-5D6E-409C-BE32-E72D297353CC}">
              <c16:uniqueId val="{00000000-8C20-4D8B-BCD2-17FACFBE20A0}"/>
            </c:ext>
          </c:extLst>
        </c:ser>
        <c:ser>
          <c:idx val="1"/>
          <c:order val="1"/>
          <c:tx>
            <c:strRef>
              <c:f>SR_demand_forecast!$B$203</c:f>
              <c:strCache>
                <c:ptCount val="1"/>
                <c:pt idx="0">
                  <c:v>Near Earth Robotic - LEO Science</c:v>
                </c:pt>
              </c:strCache>
            </c:strRef>
          </c:tx>
          <c:spPr>
            <a:solidFill>
              <a:schemeClr val="accent2"/>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SR_demand_forecast!$D$203:$M$203</c:f>
              <c:numCache>
                <c:formatCode>_(* #,##0_);_(* \(#,##0\);_(* "-"??_);_(@_)</c:formatCode>
                <c:ptCount val="10"/>
                <c:pt idx="0">
                  <c:v>1247686.4111111111</c:v>
                </c:pt>
                <c:pt idx="1">
                  <c:v>1336264.5275555556</c:v>
                </c:pt>
                <c:pt idx="2">
                  <c:v>1567037.201048889</c:v>
                </c:pt>
                <c:pt idx="3">
                  <c:v>1744248.8219407112</c:v>
                </c:pt>
                <c:pt idx="4">
                  <c:v>1972077.7743389602</c:v>
                </c:pt>
                <c:pt idx="5">
                  <c:v>2182353.7116376958</c:v>
                </c:pt>
                <c:pt idx="6">
                  <c:v>2408496.0233853124</c:v>
                </c:pt>
                <c:pt idx="7">
                  <c:v>2641057.8218637668</c:v>
                </c:pt>
                <c:pt idx="8">
                  <c:v>2864475.27051123</c:v>
                </c:pt>
                <c:pt idx="9">
                  <c:v>3095799.6741314013</c:v>
                </c:pt>
              </c:numCache>
            </c:numRef>
          </c:val>
          <c:extLst>
            <c:ext xmlns:c16="http://schemas.microsoft.com/office/drawing/2014/chart" uri="{C3380CC4-5D6E-409C-BE32-E72D297353CC}">
              <c16:uniqueId val="{00000001-8C20-4D8B-BCD2-17FACFBE20A0}"/>
            </c:ext>
          </c:extLst>
        </c:ser>
        <c:ser>
          <c:idx val="2"/>
          <c:order val="2"/>
          <c:tx>
            <c:strRef>
              <c:f>SR_demand_forecast!$B$204</c:f>
              <c:strCache>
                <c:ptCount val="1"/>
                <c:pt idx="0">
                  <c:v>Near Earth Robotic - GEO and Near Earth</c:v>
                </c:pt>
              </c:strCache>
            </c:strRef>
          </c:tx>
          <c:spPr>
            <a:solidFill>
              <a:schemeClr val="accent3"/>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SR_demand_forecast!$D$204:$M$204</c:f>
              <c:numCache>
                <c:formatCode>_(* #,##0_);_(* \(#,##0\);_(* "-"??_);_(@_)</c:formatCode>
                <c:ptCount val="10"/>
                <c:pt idx="0">
                  <c:v>9220.7142857142862</c:v>
                </c:pt>
                <c:pt idx="1">
                  <c:v>11433.685714285715</c:v>
                </c:pt>
                <c:pt idx="2">
                  <c:v>16480.679142857145</c:v>
                </c:pt>
                <c:pt idx="3">
                  <c:v>19068.391748571426</c:v>
                </c:pt>
                <c:pt idx="4">
                  <c:v>21753.020586857143</c:v>
                </c:pt>
                <c:pt idx="5">
                  <c:v>24537.407221974856</c:v>
                </c:pt>
                <c:pt idx="6">
                  <c:v>27424.468114262541</c:v>
                </c:pt>
                <c:pt idx="7">
                  <c:v>30417.19647935293</c:v>
                </c:pt>
                <c:pt idx="8">
                  <c:v>33518.664191801239</c:v>
                </c:pt>
                <c:pt idx="9">
                  <c:v>36732.023734155744</c:v>
                </c:pt>
              </c:numCache>
            </c:numRef>
          </c:val>
          <c:extLst>
            <c:ext xmlns:c16="http://schemas.microsoft.com/office/drawing/2014/chart" uri="{C3380CC4-5D6E-409C-BE32-E72D297353CC}">
              <c16:uniqueId val="{00000002-8C20-4D8B-BCD2-17FACFBE20A0}"/>
            </c:ext>
          </c:extLst>
        </c:ser>
        <c:ser>
          <c:idx val="3"/>
          <c:order val="3"/>
          <c:tx>
            <c:strRef>
              <c:f>SR_demand_forecast!$B$205</c:f>
              <c:strCache>
                <c:ptCount val="1"/>
                <c:pt idx="0">
                  <c:v>Deep Space Robotic</c:v>
                </c:pt>
              </c:strCache>
            </c:strRef>
          </c:tx>
          <c:spPr>
            <a:solidFill>
              <a:schemeClr val="accent4"/>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C20-4D8B-BCD2-17FACFBE20A0}"/>
            </c:ext>
          </c:extLst>
        </c:ser>
        <c:ser>
          <c:idx val="4"/>
          <c:order val="4"/>
          <c:tx>
            <c:strRef>
              <c:f>SR_demand_forecast!$B$206</c:f>
              <c:strCache>
                <c:ptCount val="1"/>
                <c:pt idx="0">
                  <c:v>Near Earth Robotic - Low Latency &amp; Complex Needs</c:v>
                </c:pt>
              </c:strCache>
            </c:strRef>
          </c:tx>
          <c:spPr>
            <a:solidFill>
              <a:schemeClr val="accent5"/>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SR_demand_forecast!$D$206:$M$206</c:f>
              <c:numCache>
                <c:formatCode>_(* #,##0_);_(* \(#,##0\);_(* "-"??_);_(@_)</c:formatCode>
                <c:ptCount val="10"/>
                <c:pt idx="0">
                  <c:v>552.6</c:v>
                </c:pt>
                <c:pt idx="1">
                  <c:v>648.38400000000001</c:v>
                </c:pt>
                <c:pt idx="2">
                  <c:v>747.96252000000004</c:v>
                </c:pt>
                <c:pt idx="3">
                  <c:v>851.44902720000005</c:v>
                </c:pt>
                <c:pt idx="4">
                  <c:v>996.92001935999997</c:v>
                </c:pt>
                <c:pt idx="5">
                  <c:v>1118.5442617219201</c:v>
                </c:pt>
                <c:pt idx="6">
                  <c:v>1244.634705770573</c:v>
                </c:pt>
                <c:pt idx="7">
                  <c:v>1375.3213498764824</c:v>
                </c:pt>
                <c:pt idx="8">
                  <c:v>1510.737605864321</c:v>
                </c:pt>
                <c:pt idx="9">
                  <c:v>1651.0203835517225</c:v>
                </c:pt>
              </c:numCache>
            </c:numRef>
          </c:val>
          <c:extLst>
            <c:ext xmlns:c16="http://schemas.microsoft.com/office/drawing/2014/chart" uri="{C3380CC4-5D6E-409C-BE32-E72D297353CC}">
              <c16:uniqueId val="{00000004-8C20-4D8B-BCD2-17FACFBE20A0}"/>
            </c:ext>
          </c:extLst>
        </c:ser>
        <c:ser>
          <c:idx val="5"/>
          <c:order val="5"/>
          <c:tx>
            <c:strRef>
              <c:f>SR_demand_forecast!$B$207</c:f>
              <c:strCache>
                <c:ptCount val="1"/>
                <c:pt idx="0">
                  <c:v>Mission Operations</c:v>
                </c:pt>
              </c:strCache>
            </c:strRef>
          </c:tx>
          <c:spPr>
            <a:solidFill>
              <a:schemeClr val="accent6"/>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C20-4D8B-BCD2-17FACFBE20A0}"/>
            </c:ext>
          </c:extLst>
        </c:ser>
        <c:ser>
          <c:idx val="6"/>
          <c:order val="6"/>
          <c:tx>
            <c:strRef>
              <c:f>SR_demand_forecast!$B$208</c:f>
              <c:strCache>
                <c:ptCount val="1"/>
                <c:pt idx="0">
                  <c:v>Launch Events</c:v>
                </c:pt>
              </c:strCache>
            </c:strRef>
          </c:tx>
          <c:spPr>
            <a:solidFill>
              <a:schemeClr val="accent1">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SR_demand_forecast!$D$208:$M$208</c:f>
              <c:numCache>
                <c:formatCode>_(* #,##0_);_(* \(#,##0\);_(* "-"??_);_(@_)</c:formatCode>
                <c:ptCount val="10"/>
                <c:pt idx="0">
                  <c:v>8029</c:v>
                </c:pt>
                <c:pt idx="1">
                  <c:v>9221.880000000001</c:v>
                </c:pt>
                <c:pt idx="2">
                  <c:v>10462.0164</c:v>
                </c:pt>
                <c:pt idx="3">
                  <c:v>11750.822303999999</c:v>
                </c:pt>
                <c:pt idx="4">
                  <c:v>13278.84781264</c:v>
                </c:pt>
                <c:pt idx="5">
                  <c:v>14719.045450163199</c:v>
                </c:pt>
                <c:pt idx="6">
                  <c:v>16213.374654062272</c:v>
                </c:pt>
                <c:pt idx="7">
                  <c:v>17763.424607937239</c:v>
                </c:pt>
                <c:pt idx="8">
                  <c:v>19370.826410105583</c:v>
                </c:pt>
                <c:pt idx="9">
                  <c:v>21037.254114517487</c:v>
                </c:pt>
              </c:numCache>
            </c:numRef>
          </c:val>
          <c:extLst>
            <c:ext xmlns:c16="http://schemas.microsoft.com/office/drawing/2014/chart" uri="{C3380CC4-5D6E-409C-BE32-E72D297353CC}">
              <c16:uniqueId val="{00000006-8C20-4D8B-BCD2-17FACFBE20A0}"/>
            </c:ext>
          </c:extLst>
        </c:ser>
        <c:ser>
          <c:idx val="7"/>
          <c:order val="7"/>
          <c:tx>
            <c:strRef>
              <c:f>SR_demand_forecast!$B$209</c:f>
              <c:strCache>
                <c:ptCount val="1"/>
                <c:pt idx="0">
                  <c:v>Terrestrial &amp; Aerial</c:v>
                </c:pt>
              </c:strCache>
            </c:strRef>
          </c:tx>
          <c:spPr>
            <a:solidFill>
              <a:schemeClr val="accent2">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SR_demand_forecast!$D$209:$M$209</c:f>
              <c:numCache>
                <c:formatCode>_(* #,##0_);_(* \(#,##0\);_(* "-"??_);_(@_)</c:formatCode>
                <c:ptCount val="10"/>
                <c:pt idx="0">
                  <c:v>111339.8</c:v>
                </c:pt>
                <c:pt idx="1">
                  <c:v>122541.25866666669</c:v>
                </c:pt>
                <c:pt idx="2">
                  <c:v>134173.23122666666</c:v>
                </c:pt>
                <c:pt idx="3">
                  <c:v>146248.45765226666</c:v>
                </c:pt>
                <c:pt idx="4">
                  <c:v>158780.01530906669</c:v>
                </c:pt>
                <c:pt idx="5">
                  <c:v>175292.94426851033</c:v>
                </c:pt>
                <c:pt idx="6">
                  <c:v>189522.80726252019</c:v>
                </c:pt>
                <c:pt idx="7">
                  <c:v>204265.2433319164</c:v>
                </c:pt>
                <c:pt idx="8">
                  <c:v>219535.06345451681</c:v>
                </c:pt>
                <c:pt idx="9">
                  <c:v>235347.46601802181</c:v>
                </c:pt>
              </c:numCache>
            </c:numRef>
          </c:val>
          <c:extLst>
            <c:ext xmlns:c16="http://schemas.microsoft.com/office/drawing/2014/chart" uri="{C3380CC4-5D6E-409C-BE32-E72D297353CC}">
              <c16:uniqueId val="{00000007-8C20-4D8B-BCD2-17FACFBE20A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6999583891062464"/>
          <c:w val="0.79973806443103357"/>
          <c:h val="0.57664470395815959"/>
        </c:manualLayout>
      </c:layout>
      <c:areaChart>
        <c:grouping val="stacked"/>
        <c:varyColors val="0"/>
        <c:ser>
          <c:idx val="0"/>
          <c:order val="0"/>
          <c:tx>
            <c:strRef>
              <c:f>SR_demand_forecast!$B$215</c:f>
              <c:strCache>
                <c:ptCount val="1"/>
                <c:pt idx="0">
                  <c:v>Existing</c:v>
                </c:pt>
              </c:strCache>
            </c:strRef>
          </c:tx>
          <c:spPr>
            <a:solidFill>
              <a:schemeClr val="accent1"/>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SR_demand_forecast!$D$215:$M$215</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2C27-4DC8-B24B-4ACAFECA47E0}"/>
            </c:ext>
          </c:extLst>
        </c:ser>
        <c:ser>
          <c:idx val="1"/>
          <c:order val="1"/>
          <c:tx>
            <c:strRef>
              <c:f>SR_demand_forecast!$B$216</c:f>
              <c:strCache>
                <c:ptCount val="1"/>
                <c:pt idx="0">
                  <c:v>Replacement</c:v>
                </c:pt>
              </c:strCache>
            </c:strRef>
          </c:tx>
          <c:spPr>
            <a:solidFill>
              <a:schemeClr val="accent2"/>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SR_demand_forecast!$D$216:$M$216</c:f>
              <c:numCache>
                <c:formatCode>_(* #,##0_);_(* \(#,##0\);_(* "-"??_);_(@_)</c:formatCode>
                <c:ptCount val="10"/>
                <c:pt idx="0">
                  <c:v>229157.0126984127</c:v>
                </c:pt>
                <c:pt idx="1">
                  <c:v>637963.21923809522</c:v>
                </c:pt>
                <c:pt idx="2">
                  <c:v>968371.73566285719</c:v>
                </c:pt>
                <c:pt idx="3">
                  <c:v>1372488.3980917714</c:v>
                </c:pt>
                <c:pt idx="4">
                  <c:v>1867562.5837261372</c:v>
                </c:pt>
                <c:pt idx="5">
                  <c:v>2416100.5011003255</c:v>
                </c:pt>
                <c:pt idx="6">
                  <c:v>2947836.9408849701</c:v>
                </c:pt>
                <c:pt idx="7">
                  <c:v>3423258.6173172593</c:v>
                </c:pt>
                <c:pt idx="8">
                  <c:v>3760217.7533141556</c:v>
                </c:pt>
                <c:pt idx="9">
                  <c:v>4109285.9513040003</c:v>
                </c:pt>
              </c:numCache>
            </c:numRef>
          </c:val>
          <c:extLst>
            <c:ext xmlns:c16="http://schemas.microsoft.com/office/drawing/2014/chart" uri="{C3380CC4-5D6E-409C-BE32-E72D297353CC}">
              <c16:uniqueId val="{00000001-2C27-4DC8-B24B-4ACAFECA47E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(20%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DTE_cost_per_minute_forecast!$B$3</c:f>
              <c:strCache>
                <c:ptCount val="1"/>
                <c:pt idx="0">
                  <c:v>Human Space Flight</c:v>
                </c:pt>
              </c:strCache>
            </c:strRef>
          </c:tx>
          <c:spPr>
            <a:solidFill>
              <a:schemeClr val="accent1"/>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DTE_cost_per_minute_forecast!$C$3:$L$3</c:f>
              <c:numCache>
                <c:formatCode>_(* #,##0_);_(* \(#,##0\);_(* "-"??_);_(@_)</c:formatCode>
                <c:ptCount val="10"/>
                <c:pt idx="0">
                  <c:v>5266253.7613726491</c:v>
                </c:pt>
                <c:pt idx="1">
                  <c:v>5396145.8366075391</c:v>
                </c:pt>
                <c:pt idx="2">
                  <c:v>5524051.5970337503</c:v>
                </c:pt>
                <c:pt idx="3">
                  <c:v>5675479.7374030109</c:v>
                </c:pt>
                <c:pt idx="4">
                  <c:v>5823536.7233079234</c:v>
                </c:pt>
                <c:pt idx="5">
                  <c:v>5977300.6330331704</c:v>
                </c:pt>
                <c:pt idx="6">
                  <c:v>6136940.5207372047</c:v>
                </c:pt>
                <c:pt idx="7">
                  <c:v>6302629.9199752854</c:v>
                </c:pt>
                <c:pt idx="8">
                  <c:v>6474546.9552536942</c:v>
                </c:pt>
                <c:pt idx="9">
                  <c:v>6652874.4562543491</c:v>
                </c:pt>
              </c:numCache>
            </c:numRef>
          </c:val>
          <c:extLst>
            <c:ext xmlns:c16="http://schemas.microsoft.com/office/drawing/2014/chart" uri="{C3380CC4-5D6E-409C-BE32-E72D297353CC}">
              <c16:uniqueId val="{00000000-1EE7-4A41-AE90-B9712615D825}"/>
            </c:ext>
          </c:extLst>
        </c:ser>
        <c:ser>
          <c:idx val="1"/>
          <c:order val="1"/>
          <c:tx>
            <c:strRef>
              <c:f>DTE_cost_per_minute_forecast!$B$4</c:f>
              <c:strCache>
                <c:ptCount val="1"/>
                <c:pt idx="0">
                  <c:v>Near Earth Robotic - LEO Science</c:v>
                </c:pt>
              </c:strCache>
            </c:strRef>
          </c:tx>
          <c:spPr>
            <a:solidFill>
              <a:schemeClr val="accent2"/>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DTE_cost_per_minute_forecast!$C$4:$L$4</c:f>
              <c:numCache>
                <c:formatCode>_(* #,##0_);_(* \(#,##0\);_(* "-"??_);_(@_)</c:formatCode>
                <c:ptCount val="10"/>
                <c:pt idx="0">
                  <c:v>7134558.5316221351</c:v>
                </c:pt>
                <c:pt idx="1">
                  <c:v>5643395.9707023008</c:v>
                </c:pt>
                <c:pt idx="2">
                  <c:v>4840121.7927344553</c:v>
                </c:pt>
                <c:pt idx="3">
                  <c:v>3625966.2094019167</c:v>
                </c:pt>
                <c:pt idx="4">
                  <c:v>4407686.9161707535</c:v>
                </c:pt>
                <c:pt idx="5">
                  <c:v>4225168.4273267239</c:v>
                </c:pt>
                <c:pt idx="6">
                  <c:v>4087841.2909984756</c:v>
                </c:pt>
                <c:pt idx="7">
                  <c:v>4728691.5447814511</c:v>
                </c:pt>
                <c:pt idx="8">
                  <c:v>4961251.5480399942</c:v>
                </c:pt>
                <c:pt idx="9">
                  <c:v>5201231.7537371367</c:v>
                </c:pt>
              </c:numCache>
            </c:numRef>
          </c:val>
          <c:extLst>
            <c:ext xmlns:c16="http://schemas.microsoft.com/office/drawing/2014/chart" uri="{C3380CC4-5D6E-409C-BE32-E72D297353CC}">
              <c16:uniqueId val="{00000001-1EE7-4A41-AE90-B9712615D825}"/>
            </c:ext>
          </c:extLst>
        </c:ser>
        <c:ser>
          <c:idx val="2"/>
          <c:order val="2"/>
          <c:tx>
            <c:strRef>
              <c:f>DTE_cost_per_minute_forecast!$B$5</c:f>
              <c:strCache>
                <c:ptCount val="1"/>
                <c:pt idx="0">
                  <c:v>Near Earth Robotic - GEO and Near Earth</c:v>
                </c:pt>
              </c:strCache>
            </c:strRef>
          </c:tx>
          <c:spPr>
            <a:solidFill>
              <a:schemeClr val="accent3"/>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DTE_cost_per_minute_forecast!$C$5:$L$5</c:f>
              <c:numCache>
                <c:formatCode>_(* #,##0_);_(* \(#,##0\);_(* "-"??_);_(@_)</c:formatCode>
                <c:ptCount val="10"/>
                <c:pt idx="0">
                  <c:v>115561.9020300845</c:v>
                </c:pt>
                <c:pt idx="1">
                  <c:v>119021.20360703395</c:v>
                </c:pt>
                <c:pt idx="2">
                  <c:v>139018.85043427174</c:v>
                </c:pt>
                <c:pt idx="3">
                  <c:v>143891.69386752089</c:v>
                </c:pt>
                <c:pt idx="4">
                  <c:v>148929.16038973114</c:v>
                </c:pt>
                <c:pt idx="5">
                  <c:v>154135.8857870877</c:v>
                </c:pt>
                <c:pt idx="6">
                  <c:v>159516.62542798746</c:v>
                </c:pt>
                <c:pt idx="7">
                  <c:v>165076.25719201317</c:v>
                </c:pt>
                <c:pt idx="8">
                  <c:v>170819.78446823367</c:v>
                </c:pt>
                <c:pt idx="9">
                  <c:v>176752.33922443102</c:v>
                </c:pt>
              </c:numCache>
            </c:numRef>
          </c:val>
          <c:extLst>
            <c:ext xmlns:c16="http://schemas.microsoft.com/office/drawing/2014/chart" uri="{C3380CC4-5D6E-409C-BE32-E72D297353CC}">
              <c16:uniqueId val="{00000002-1EE7-4A41-AE90-B9712615D825}"/>
            </c:ext>
          </c:extLst>
        </c:ser>
        <c:ser>
          <c:idx val="3"/>
          <c:order val="3"/>
          <c:tx>
            <c:strRef>
              <c:f>DTE_cost_per_minute_forecast!$B$6</c:f>
              <c:strCache>
                <c:ptCount val="1"/>
                <c:pt idx="0">
                  <c:v>Deep Space Robotic</c:v>
                </c:pt>
              </c:strCache>
            </c:strRef>
          </c:tx>
          <c:spPr>
            <a:solidFill>
              <a:schemeClr val="accent4"/>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DTE_cost_per_minute_forecast!$C$6:$L$6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EE7-4A41-AE90-B9712615D825}"/>
            </c:ext>
          </c:extLst>
        </c:ser>
        <c:ser>
          <c:idx val="4"/>
          <c:order val="4"/>
          <c:tx>
            <c:strRef>
              <c:f>DTE_cost_per_minute_forecast!$B$7</c:f>
              <c:strCache>
                <c:ptCount val="1"/>
                <c:pt idx="0">
                  <c:v>Near Earth Robotic - Low Latency &amp; Complex Needs</c:v>
                </c:pt>
              </c:strCache>
            </c:strRef>
          </c:tx>
          <c:spPr>
            <a:solidFill>
              <a:schemeClr val="accent5"/>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DTE_cost_per_minute_forecast!$C$7:$L$7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EE7-4A41-AE90-B9712615D825}"/>
            </c:ext>
          </c:extLst>
        </c:ser>
        <c:ser>
          <c:idx val="5"/>
          <c:order val="5"/>
          <c:tx>
            <c:strRef>
              <c:f>DTE_cost_per_minute_forecast!$B$8</c:f>
              <c:strCache>
                <c:ptCount val="1"/>
                <c:pt idx="0">
                  <c:v>Mission Operations</c:v>
                </c:pt>
              </c:strCache>
            </c:strRef>
          </c:tx>
          <c:spPr>
            <a:solidFill>
              <a:schemeClr val="accent6"/>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DTE_cost_per_minute_forecast!$C$8:$L$8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EE7-4A41-AE90-B9712615D825}"/>
            </c:ext>
          </c:extLst>
        </c:ser>
        <c:ser>
          <c:idx val="6"/>
          <c:order val="6"/>
          <c:tx>
            <c:strRef>
              <c:f>DTE_cost_per_minute_forecast!$B$9</c:f>
              <c:strCache>
                <c:ptCount val="1"/>
                <c:pt idx="0">
                  <c:v>Launch Events</c:v>
                </c:pt>
              </c:strCache>
            </c:strRef>
          </c:tx>
          <c:spPr>
            <a:solidFill>
              <a:schemeClr val="accent1">
                <a:lumMod val="60000"/>
              </a:schemeClr>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DTE_cost_per_minute_forecast!$C$9:$L$9</c:f>
              <c:numCache>
                <c:formatCode>_(* #,##0_);_(* \(#,##0\);_(* "-"??_);_(@_)</c:formatCode>
                <c:ptCount val="10"/>
                <c:pt idx="0">
                  <c:v>11953.661957921875</c:v>
                </c:pt>
                <c:pt idx="1">
                  <c:v>13352.362462041781</c:v>
                </c:pt>
                <c:pt idx="2">
                  <c:v>14124.494776633574</c:v>
                </c:pt>
                <c:pt idx="3">
                  <c:v>15449.256060921489</c:v>
                </c:pt>
                <c:pt idx="4">
                  <c:v>22202.048117829443</c:v>
                </c:pt>
                <c:pt idx="5">
                  <c:v>23609.98340916395</c:v>
                </c:pt>
                <c:pt idx="6">
                  <c:v>25069.619930868772</c:v>
                </c:pt>
                <c:pt idx="7">
                  <c:v>26582.462558042182</c:v>
                </c:pt>
                <c:pt idx="8">
                  <c:v>28150.055680294252</c:v>
                </c:pt>
                <c:pt idx="9">
                  <c:v>29773.984180377258</c:v>
                </c:pt>
              </c:numCache>
            </c:numRef>
          </c:val>
          <c:extLst>
            <c:ext xmlns:c16="http://schemas.microsoft.com/office/drawing/2014/chart" uri="{C3380CC4-5D6E-409C-BE32-E72D297353CC}">
              <c16:uniqueId val="{00000006-1EE7-4A41-AE90-B9712615D825}"/>
            </c:ext>
          </c:extLst>
        </c:ser>
        <c:ser>
          <c:idx val="7"/>
          <c:order val="7"/>
          <c:tx>
            <c:strRef>
              <c:f>DTE_cost_per_minute_forecast!$B$10</c:f>
              <c:strCache>
                <c:ptCount val="1"/>
                <c:pt idx="0">
                  <c:v>Terrestrial &amp; Aerial</c:v>
                </c:pt>
              </c:strCache>
            </c:strRef>
          </c:tx>
          <c:spPr>
            <a:solidFill>
              <a:schemeClr val="accent2">
                <a:lumMod val="60000"/>
              </a:schemeClr>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DTE_cost_per_minute_forecast!$C$10:$L$10</c:f>
              <c:numCache>
                <c:formatCode>_(* #,##0_);_(* \(#,##0\);_(* "-"??_);_(@_)</c:formatCode>
                <c:ptCount val="10"/>
                <c:pt idx="0">
                  <c:v>737662.31931266899</c:v>
                </c:pt>
                <c:pt idx="1">
                  <c:v>1481414.3388875264</c:v>
                </c:pt>
                <c:pt idx="2">
                  <c:v>1565929.8106459551</c:v>
                </c:pt>
                <c:pt idx="3">
                  <c:v>1654048.9914519696</c:v>
                </c:pt>
                <c:pt idx="4">
                  <c:v>1745277.6704628379</c:v>
                </c:pt>
                <c:pt idx="5">
                  <c:v>2559569.5973440292</c:v>
                </c:pt>
                <c:pt idx="6">
                  <c:v>2672006.5582440887</c:v>
                </c:pt>
                <c:pt idx="7">
                  <c:v>2788181.6830390068</c:v>
                </c:pt>
                <c:pt idx="8">
                  <c:v>2908199.5235002195</c:v>
                </c:pt>
                <c:pt idx="9">
                  <c:v>3032167.3182044588</c:v>
                </c:pt>
              </c:numCache>
            </c:numRef>
          </c:val>
          <c:extLst>
            <c:ext xmlns:c16="http://schemas.microsoft.com/office/drawing/2014/chart" uri="{C3380CC4-5D6E-409C-BE32-E72D297353CC}">
              <c16:uniqueId val="{00000007-1EE7-4A41-AE90-B9712615D82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lifespans_all!$B$139</c:f>
              <c:strCache>
                <c:ptCount val="1"/>
                <c:pt idx="0">
                  <c:v>Human Space Flight</c:v>
                </c:pt>
              </c:strCache>
            </c:strRef>
          </c:tx>
          <c:spPr>
            <a:solidFill>
              <a:schemeClr val="accent1"/>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lifespans_all!$D$139:$M$139</c:f>
              <c:numCache>
                <c:formatCode>0</c:formatCode>
                <c:ptCount val="10"/>
                <c:pt idx="0">
                  <c:v>6.4</c:v>
                </c:pt>
                <c:pt idx="1">
                  <c:v>6.8</c:v>
                </c:pt>
                <c:pt idx="2">
                  <c:v>7.2</c:v>
                </c:pt>
                <c:pt idx="3">
                  <c:v>7.6</c:v>
                </c:pt>
                <c:pt idx="4">
                  <c:v>8</c:v>
                </c:pt>
                <c:pt idx="5">
                  <c:v>8.4</c:v>
                </c:pt>
                <c:pt idx="6">
                  <c:v>8.8000000000000007</c:v>
                </c:pt>
                <c:pt idx="7">
                  <c:v>9.1999999999999993</c:v>
                </c:pt>
                <c:pt idx="8">
                  <c:v>9.6</c:v>
                </c:pt>
                <c:pt idx="9">
                  <c:v>10</c:v>
                </c:pt>
              </c:numCache>
            </c:numRef>
          </c:val>
          <c:extLst>
            <c:ext xmlns:c16="http://schemas.microsoft.com/office/drawing/2014/chart" uri="{C3380CC4-5D6E-409C-BE32-E72D297353CC}">
              <c16:uniqueId val="{00000000-A1F5-43C4-8638-9FF0FCC03818}"/>
            </c:ext>
          </c:extLst>
        </c:ser>
        <c:ser>
          <c:idx val="1"/>
          <c:order val="1"/>
          <c:tx>
            <c:strRef>
              <c:f>lifespans_all!$B$140</c:f>
              <c:strCache>
                <c:ptCount val="1"/>
                <c:pt idx="0">
                  <c:v>Near Earth Robotic - LEO Science</c:v>
                </c:pt>
              </c:strCache>
            </c:strRef>
          </c:tx>
          <c:spPr>
            <a:solidFill>
              <a:schemeClr val="accent2"/>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lifespans_all!$D$140:$M$140</c:f>
              <c:numCache>
                <c:formatCode>0</c:formatCode>
                <c:ptCount val="10"/>
                <c:pt idx="0">
                  <c:v>18.399999999999999</c:v>
                </c:pt>
                <c:pt idx="1">
                  <c:v>19.8</c:v>
                </c:pt>
                <c:pt idx="2">
                  <c:v>21.2</c:v>
                </c:pt>
                <c:pt idx="3">
                  <c:v>22.6</c:v>
                </c:pt>
                <c:pt idx="4">
                  <c:v>24</c:v>
                </c:pt>
                <c:pt idx="5">
                  <c:v>25.4</c:v>
                </c:pt>
                <c:pt idx="6">
                  <c:v>26.8</c:v>
                </c:pt>
                <c:pt idx="7">
                  <c:v>28.200000000000003</c:v>
                </c:pt>
                <c:pt idx="8">
                  <c:v>29.6</c:v>
                </c:pt>
                <c:pt idx="9">
                  <c:v>31</c:v>
                </c:pt>
              </c:numCache>
            </c:numRef>
          </c:val>
          <c:extLst>
            <c:ext xmlns:c16="http://schemas.microsoft.com/office/drawing/2014/chart" uri="{C3380CC4-5D6E-409C-BE32-E72D297353CC}">
              <c16:uniqueId val="{00000001-A1F5-43C4-8638-9FF0FCC03818}"/>
            </c:ext>
          </c:extLst>
        </c:ser>
        <c:ser>
          <c:idx val="2"/>
          <c:order val="2"/>
          <c:tx>
            <c:strRef>
              <c:f>lifespans_all!$B$141</c:f>
              <c:strCache>
                <c:ptCount val="1"/>
                <c:pt idx="0">
                  <c:v>Near Earth Robotic - GEO and Near Earth</c:v>
                </c:pt>
              </c:strCache>
            </c:strRef>
          </c:tx>
          <c:spPr>
            <a:solidFill>
              <a:schemeClr val="accent3"/>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lifespans_all!$D$141:$M$141</c:f>
              <c:numCache>
                <c:formatCode>0</c:formatCode>
                <c:ptCount val="10"/>
                <c:pt idx="0">
                  <c:v>8.5</c:v>
                </c:pt>
                <c:pt idx="1">
                  <c:v>9</c:v>
                </c:pt>
                <c:pt idx="2">
                  <c:v>9.5</c:v>
                </c:pt>
                <c:pt idx="3">
                  <c:v>10</c:v>
                </c:pt>
                <c:pt idx="4">
                  <c:v>10.5</c:v>
                </c:pt>
                <c:pt idx="5">
                  <c:v>11</c:v>
                </c:pt>
                <c:pt idx="6">
                  <c:v>11.5</c:v>
                </c:pt>
                <c:pt idx="7">
                  <c:v>12</c:v>
                </c:pt>
                <c:pt idx="8">
                  <c:v>12.5</c:v>
                </c:pt>
                <c:pt idx="9">
                  <c:v>13</c:v>
                </c:pt>
              </c:numCache>
            </c:numRef>
          </c:val>
          <c:extLst>
            <c:ext xmlns:c16="http://schemas.microsoft.com/office/drawing/2014/chart" uri="{C3380CC4-5D6E-409C-BE32-E72D297353CC}">
              <c16:uniqueId val="{00000002-A1F5-43C4-8638-9FF0FCC03818}"/>
            </c:ext>
          </c:extLst>
        </c:ser>
        <c:ser>
          <c:idx val="3"/>
          <c:order val="3"/>
          <c:tx>
            <c:strRef>
              <c:f>lifespans_all!$B$142</c:f>
              <c:strCache>
                <c:ptCount val="1"/>
                <c:pt idx="0">
                  <c:v>Deep Space Robotic</c:v>
                </c:pt>
              </c:strCache>
            </c:strRef>
          </c:tx>
          <c:spPr>
            <a:solidFill>
              <a:schemeClr val="accent4"/>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lifespans_all!$D$142:$M$142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1F5-43C4-8638-9FF0FCC03818}"/>
            </c:ext>
          </c:extLst>
        </c:ser>
        <c:ser>
          <c:idx val="4"/>
          <c:order val="4"/>
          <c:tx>
            <c:strRef>
              <c:f>lifespans_all!$B$143</c:f>
              <c:strCache>
                <c:ptCount val="1"/>
                <c:pt idx="0">
                  <c:v>Near Earth Robotic - Low Latency &amp; Complex Needs</c:v>
                </c:pt>
              </c:strCache>
            </c:strRef>
          </c:tx>
          <c:spPr>
            <a:solidFill>
              <a:schemeClr val="accent5"/>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lifespans_all!$D$143:$M$143</c:f>
              <c:numCache>
                <c:formatCode>0</c:formatCode>
                <c:ptCount val="10"/>
                <c:pt idx="0">
                  <c:v>1.1000000000000001</c:v>
                </c:pt>
                <c:pt idx="1">
                  <c:v>1.2</c:v>
                </c:pt>
                <c:pt idx="2">
                  <c:v>1.3</c:v>
                </c:pt>
                <c:pt idx="3">
                  <c:v>1.4</c:v>
                </c:pt>
                <c:pt idx="4">
                  <c:v>1.5</c:v>
                </c:pt>
                <c:pt idx="5">
                  <c:v>1.6</c:v>
                </c:pt>
                <c:pt idx="6">
                  <c:v>1.7</c:v>
                </c:pt>
                <c:pt idx="7">
                  <c:v>1.7999999999999998</c:v>
                </c:pt>
                <c:pt idx="8">
                  <c:v>1.9</c:v>
                </c:pt>
                <c:pt idx="9">
                  <c:v>2</c:v>
                </c:pt>
              </c:numCache>
            </c:numRef>
          </c:val>
          <c:extLst>
            <c:ext xmlns:c16="http://schemas.microsoft.com/office/drawing/2014/chart" uri="{C3380CC4-5D6E-409C-BE32-E72D297353CC}">
              <c16:uniqueId val="{00000004-A1F5-43C4-8638-9FF0FCC03818}"/>
            </c:ext>
          </c:extLst>
        </c:ser>
        <c:ser>
          <c:idx val="5"/>
          <c:order val="5"/>
          <c:tx>
            <c:strRef>
              <c:f>lifespans_all!$B$144</c:f>
              <c:strCache>
                <c:ptCount val="1"/>
                <c:pt idx="0">
                  <c:v>Mission Operations</c:v>
                </c:pt>
              </c:strCache>
            </c:strRef>
          </c:tx>
          <c:spPr>
            <a:solidFill>
              <a:schemeClr val="accent6"/>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1F5-43C4-8638-9FF0FCC03818}"/>
            </c:ext>
          </c:extLst>
        </c:ser>
        <c:ser>
          <c:idx val="6"/>
          <c:order val="6"/>
          <c:tx>
            <c:strRef>
              <c:f>lifespans_all!$B$145</c:f>
              <c:strCache>
                <c:ptCount val="1"/>
                <c:pt idx="0">
                  <c:v>Launch Events</c:v>
                </c:pt>
              </c:strCache>
            </c:strRef>
          </c:tx>
          <c:spPr>
            <a:solidFill>
              <a:schemeClr val="accent1">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lifespans_all!$D$145:$M$145</c:f>
              <c:numCache>
                <c:formatCode>0</c:formatCode>
                <c:ptCount val="10"/>
                <c:pt idx="0">
                  <c:v>3.4</c:v>
                </c:pt>
                <c:pt idx="1">
                  <c:v>3.8</c:v>
                </c:pt>
                <c:pt idx="2">
                  <c:v>4.2</c:v>
                </c:pt>
                <c:pt idx="3">
                  <c:v>4.5999999999999996</c:v>
                </c:pt>
                <c:pt idx="4">
                  <c:v>5</c:v>
                </c:pt>
                <c:pt idx="5">
                  <c:v>5.4</c:v>
                </c:pt>
                <c:pt idx="6">
                  <c:v>5.8</c:v>
                </c:pt>
                <c:pt idx="7">
                  <c:v>6.1999999999999993</c:v>
                </c:pt>
                <c:pt idx="8">
                  <c:v>6.6</c:v>
                </c:pt>
                <c:pt idx="9">
                  <c:v>7</c:v>
                </c:pt>
              </c:numCache>
            </c:numRef>
          </c:val>
          <c:extLst>
            <c:ext xmlns:c16="http://schemas.microsoft.com/office/drawing/2014/chart" uri="{C3380CC4-5D6E-409C-BE32-E72D297353CC}">
              <c16:uniqueId val="{00000006-A1F5-43C4-8638-9FF0FCC03818}"/>
            </c:ext>
          </c:extLst>
        </c:ser>
        <c:ser>
          <c:idx val="7"/>
          <c:order val="7"/>
          <c:tx>
            <c:strRef>
              <c:f>lifespans_all!$B$146</c:f>
              <c:strCache>
                <c:ptCount val="1"/>
                <c:pt idx="0">
                  <c:v>Terrestrial &amp; Aerial</c:v>
                </c:pt>
              </c:strCache>
            </c:strRef>
          </c:tx>
          <c:spPr>
            <a:solidFill>
              <a:schemeClr val="accent2">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lifespans_all!$D$146:$M$146</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A1F5-43C4-8638-9FF0FCC0381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4532445340563085"/>
        </c:manualLayout>
      </c:layout>
      <c:areaChart>
        <c:grouping val="stacked"/>
        <c:varyColors val="0"/>
        <c:ser>
          <c:idx val="0"/>
          <c:order val="0"/>
          <c:tx>
            <c:strRef>
              <c:f>DTE_cost_per_minute_forecast!$B$21</c:f>
              <c:strCache>
                <c:ptCount val="1"/>
                <c:pt idx="0">
                  <c:v>Human Space Flight</c:v>
                </c:pt>
              </c:strCache>
            </c:strRef>
          </c:tx>
          <c:spPr>
            <a:solidFill>
              <a:schemeClr val="accent1"/>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DTE_cost_per_minute_forecast!$C$21:$L$21</c:f>
              <c:numCache>
                <c:formatCode>_(* #,##0_);_(* \(#,##0\);_(* "-"??_);_(@_)</c:formatCode>
                <c:ptCount val="10"/>
                <c:pt idx="0">
                  <c:v>5646755.7739287838</c:v>
                </c:pt>
                <c:pt idx="1">
                  <c:v>6172369.9422220532</c:v>
                </c:pt>
                <c:pt idx="2">
                  <c:v>6711674.4786239574</c:v>
                </c:pt>
                <c:pt idx="3">
                  <c:v>7290646.8563656928</c:v>
                </c:pt>
                <c:pt idx="4">
                  <c:v>7882874.7999853427</c:v>
                </c:pt>
                <c:pt idx="5">
                  <c:v>8497930.4388863314</c:v>
                </c:pt>
                <c:pt idx="6">
                  <c:v>9136489.9897024669</c:v>
                </c:pt>
                <c:pt idx="7">
                  <c:v>9799247.5866547879</c:v>
                </c:pt>
                <c:pt idx="8">
                  <c:v>10486915.727768423</c:v>
                </c:pt>
                <c:pt idx="9">
                  <c:v>11200225.731771043</c:v>
                </c:pt>
              </c:numCache>
            </c:numRef>
          </c:val>
          <c:extLst>
            <c:ext xmlns:c16="http://schemas.microsoft.com/office/drawing/2014/chart" uri="{C3380CC4-5D6E-409C-BE32-E72D297353CC}">
              <c16:uniqueId val="{00000000-9894-4741-90D0-8FE377FCD32E}"/>
            </c:ext>
          </c:extLst>
        </c:ser>
        <c:ser>
          <c:idx val="1"/>
          <c:order val="1"/>
          <c:tx>
            <c:strRef>
              <c:f>DTE_cost_per_minute_forecast!$B$22</c:f>
              <c:strCache>
                <c:ptCount val="1"/>
                <c:pt idx="0">
                  <c:v>Near Earth Robotic - LEO Science</c:v>
                </c:pt>
              </c:strCache>
            </c:strRef>
          </c:tx>
          <c:spPr>
            <a:solidFill>
              <a:schemeClr val="accent2"/>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DTE_cost_per_minute_forecast!$C$22:$L$22</c:f>
              <c:numCache>
                <c:formatCode>_(* #,##0_);_(* \(#,##0\);_(* "-"??_);_(@_)</c:formatCode>
                <c:ptCount val="10"/>
                <c:pt idx="0">
                  <c:v>7291024.0886888187</c:v>
                </c:pt>
                <c:pt idx="1">
                  <c:v>5946586.8183782157</c:v>
                </c:pt>
                <c:pt idx="2">
                  <c:v>5241931.1554125836</c:v>
                </c:pt>
                <c:pt idx="3">
                  <c:v>4294758.4126302935</c:v>
                </c:pt>
                <c:pt idx="4">
                  <c:v>5260396.9752869336</c:v>
                </c:pt>
                <c:pt idx="5">
                  <c:v>5268885.539684929</c:v>
                </c:pt>
                <c:pt idx="6">
                  <c:v>5329864.6547047403</c:v>
                </c:pt>
                <c:pt idx="7">
                  <c:v>6176535.9230447533</c:v>
                </c:pt>
                <c:pt idx="8">
                  <c:v>6622652.9720971333</c:v>
                </c:pt>
                <c:pt idx="9">
                  <c:v>7084153.3676685607</c:v>
                </c:pt>
              </c:numCache>
            </c:numRef>
          </c:val>
          <c:extLst>
            <c:ext xmlns:c16="http://schemas.microsoft.com/office/drawing/2014/chart" uri="{C3380CC4-5D6E-409C-BE32-E72D297353CC}">
              <c16:uniqueId val="{00000001-9894-4741-90D0-8FE377FCD32E}"/>
            </c:ext>
          </c:extLst>
        </c:ser>
        <c:ser>
          <c:idx val="2"/>
          <c:order val="2"/>
          <c:tx>
            <c:strRef>
              <c:f>DTE_cost_per_minute_forecast!$B$23</c:f>
              <c:strCache>
                <c:ptCount val="1"/>
                <c:pt idx="0">
                  <c:v>Near Earth Robotic - GEO and Near Earth</c:v>
                </c:pt>
              </c:strCache>
            </c:strRef>
          </c:tx>
          <c:spPr>
            <a:solidFill>
              <a:schemeClr val="accent3"/>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DTE_cost_per_minute_forecast!$C$23:$L$23</c:f>
              <c:numCache>
                <c:formatCode>_(* #,##0_);_(* \(#,##0\);_(* "-"??_);_(@_)</c:formatCode>
                <c:ptCount val="10"/>
                <c:pt idx="0">
                  <c:v>120308.81924349625</c:v>
                </c:pt>
                <c:pt idx="1">
                  <c:v>128704.91472239394</c:v>
                </c:pt>
                <c:pt idx="2">
                  <c:v>153834.92844077252</c:v>
                </c:pt>
                <c:pt idx="3">
                  <c:v>164041.55995636192</c:v>
                </c:pt>
                <c:pt idx="4">
                  <c:v>174620.23965300346</c:v>
                </c:pt>
                <c:pt idx="5">
                  <c:v>185581.76680533303</c:v>
                </c:pt>
                <c:pt idx="6">
                  <c:v>196937.22383969938</c:v>
                </c:pt>
                <c:pt idx="7">
                  <c:v>208697.98334052312</c:v>
                </c:pt>
                <c:pt idx="8">
                  <c:v>220875.71522364879</c:v>
                </c:pt>
                <c:pt idx="9">
                  <c:v>233482.39408056816</c:v>
                </c:pt>
              </c:numCache>
            </c:numRef>
          </c:val>
          <c:extLst>
            <c:ext xmlns:c16="http://schemas.microsoft.com/office/drawing/2014/chart" uri="{C3380CC4-5D6E-409C-BE32-E72D297353CC}">
              <c16:uniqueId val="{00000002-9894-4741-90D0-8FE377FCD32E}"/>
            </c:ext>
          </c:extLst>
        </c:ser>
        <c:ser>
          <c:idx val="3"/>
          <c:order val="3"/>
          <c:tx>
            <c:strRef>
              <c:f>DTE_cost_per_minute_forecast!$B$24</c:f>
              <c:strCache>
                <c:ptCount val="1"/>
                <c:pt idx="0">
                  <c:v>Deep Space Robotic</c:v>
                </c:pt>
              </c:strCache>
            </c:strRef>
          </c:tx>
          <c:spPr>
            <a:solidFill>
              <a:schemeClr val="accent4"/>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DTE_cost_per_minute_forecast!$C$24:$L$24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894-4741-90D0-8FE377FCD32E}"/>
            </c:ext>
          </c:extLst>
        </c:ser>
        <c:ser>
          <c:idx val="4"/>
          <c:order val="4"/>
          <c:tx>
            <c:strRef>
              <c:f>DTE_cost_per_minute_forecast!$B$25</c:f>
              <c:strCache>
                <c:ptCount val="1"/>
                <c:pt idx="0">
                  <c:v>Near Earth Robotic - Low Latency &amp; Complex Needs</c:v>
                </c:pt>
              </c:strCache>
            </c:strRef>
          </c:tx>
          <c:spPr>
            <a:solidFill>
              <a:schemeClr val="accent5"/>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DTE_cost_per_minute_forecast!$C$25:$L$25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894-4741-90D0-8FE377FCD32E}"/>
            </c:ext>
          </c:extLst>
        </c:ser>
        <c:ser>
          <c:idx val="5"/>
          <c:order val="5"/>
          <c:tx>
            <c:strRef>
              <c:f>DTE_cost_per_minute_forecast!$B$26</c:f>
              <c:strCache>
                <c:ptCount val="1"/>
                <c:pt idx="0">
                  <c:v>Mission Operations</c:v>
                </c:pt>
              </c:strCache>
            </c:strRef>
          </c:tx>
          <c:spPr>
            <a:solidFill>
              <a:schemeClr val="accent6"/>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DTE_cost_per_minute_forecast!$C$26:$L$26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894-4741-90D0-8FE377FCD32E}"/>
            </c:ext>
          </c:extLst>
        </c:ser>
        <c:ser>
          <c:idx val="6"/>
          <c:order val="6"/>
          <c:tx>
            <c:strRef>
              <c:f>DTE_cost_per_minute_forecast!$B$27</c:f>
              <c:strCache>
                <c:ptCount val="1"/>
                <c:pt idx="0">
                  <c:v>Launch Events</c:v>
                </c:pt>
              </c:strCache>
            </c:strRef>
          </c:tx>
          <c:spPr>
            <a:solidFill>
              <a:schemeClr val="accent1">
                <a:lumMod val="60000"/>
              </a:schemeClr>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DTE_cost_per_minute_forecast!$C$27:$L$27</c:f>
              <c:numCache>
                <c:formatCode>_(* #,##0_);_(* \(#,##0\);_(* "-"??_);_(@_)</c:formatCode>
                <c:ptCount val="10"/>
                <c:pt idx="0">
                  <c:v>13019.821448938834</c:v>
                </c:pt>
                <c:pt idx="1">
                  <c:v>15527.327823716372</c:v>
                </c:pt>
                <c:pt idx="2">
                  <c:v>17452.191779995705</c:v>
                </c:pt>
                <c:pt idx="3">
                  <c:v>19974.923985493981</c:v>
                </c:pt>
                <c:pt idx="4">
                  <c:v>27972.274721659374</c:v>
                </c:pt>
                <c:pt idx="5">
                  <c:v>30672.740772251789</c:v>
                </c:pt>
                <c:pt idx="6">
                  <c:v>33474.301192943291</c:v>
                </c:pt>
                <c:pt idx="7">
                  <c:v>36379.919572117622</c:v>
                </c:pt>
                <c:pt idx="8">
                  <c:v>39392.637603945826</c:v>
                </c:pt>
                <c:pt idx="9">
                  <c:v>42515.577027182379</c:v>
                </c:pt>
              </c:numCache>
            </c:numRef>
          </c:val>
          <c:extLst>
            <c:ext xmlns:c16="http://schemas.microsoft.com/office/drawing/2014/chart" uri="{C3380CC4-5D6E-409C-BE32-E72D297353CC}">
              <c16:uniqueId val="{00000006-9894-4741-90D0-8FE377FCD32E}"/>
            </c:ext>
          </c:extLst>
        </c:ser>
        <c:ser>
          <c:idx val="7"/>
          <c:order val="7"/>
          <c:tx>
            <c:strRef>
              <c:f>DTE_cost_per_minute_forecast!$B$28</c:f>
              <c:strCache>
                <c:ptCount val="1"/>
                <c:pt idx="0">
                  <c:v>Terrestrial &amp; Aerial</c:v>
                </c:pt>
              </c:strCache>
            </c:strRef>
          </c:tx>
          <c:spPr>
            <a:solidFill>
              <a:schemeClr val="accent2">
                <a:lumMod val="60000"/>
              </a:schemeClr>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DTE_cost_per_minute_forecast!$C$28:$L$28</c:f>
              <c:numCache>
                <c:formatCode>_(* #,##0_);_(* \(#,##0\);_(* "-"??_);_(@_)</c:formatCode>
                <c:ptCount val="10"/>
                <c:pt idx="0">
                  <c:v>803790.64376125706</c:v>
                </c:pt>
                <c:pt idx="1">
                  <c:v>1616316.1207626457</c:v>
                </c:pt>
                <c:pt idx="2">
                  <c:v>1772329.5369148885</c:v>
                </c:pt>
                <c:pt idx="3">
                  <c:v>1934752.6191777184</c:v>
                </c:pt>
                <c:pt idx="4">
                  <c:v>2103174.7958131679</c:v>
                </c:pt>
                <c:pt idx="5">
                  <c:v>2997635.6787728332</c:v>
                </c:pt>
                <c:pt idx="6">
                  <c:v>3193305.1951443651</c:v>
                </c:pt>
                <c:pt idx="7">
                  <c:v>3395866.9511970426</c:v>
                </c:pt>
                <c:pt idx="8">
                  <c:v>3605518.3687115656</c:v>
                </c:pt>
                <c:pt idx="9">
                  <c:v>3822462.0094439848</c:v>
                </c:pt>
              </c:numCache>
            </c:numRef>
          </c:val>
          <c:extLst>
            <c:ext xmlns:c16="http://schemas.microsoft.com/office/drawing/2014/chart" uri="{C3380CC4-5D6E-409C-BE32-E72D297353CC}">
              <c16:uniqueId val="{00000007-9894-4741-90D0-8FE377FCD32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DTE_cost_per_minute_forecast!$B$39</c:f>
              <c:strCache>
                <c:ptCount val="1"/>
                <c:pt idx="0">
                  <c:v>Human Space Flight</c:v>
                </c:pt>
              </c:strCache>
            </c:strRef>
          </c:tx>
          <c:spPr>
            <a:solidFill>
              <a:schemeClr val="accent1"/>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DTE_cost_per_minute_forecast!$C$39:$L$39</c:f>
              <c:numCache>
                <c:formatCode>_(* #,##0_);_(* \(#,##0\);_(* "-"??_);_(@_)</c:formatCode>
                <c:ptCount val="10"/>
                <c:pt idx="0">
                  <c:v>5900423.78229954</c:v>
                </c:pt>
                <c:pt idx="1">
                  <c:v>6689852.6792983962</c:v>
                </c:pt>
                <c:pt idx="2">
                  <c:v>7503423.0663507609</c:v>
                </c:pt>
                <c:pt idx="3">
                  <c:v>8367424.9356741467</c:v>
                </c:pt>
                <c:pt idx="4">
                  <c:v>9255766.8511036206</c:v>
                </c:pt>
                <c:pt idx="5">
                  <c:v>10178350.309455106</c:v>
                </c:pt>
                <c:pt idx="6">
                  <c:v>11136189.635679306</c:v>
                </c:pt>
                <c:pt idx="7">
                  <c:v>12130326.031107791</c:v>
                </c:pt>
                <c:pt idx="8">
                  <c:v>13161828.242778245</c:v>
                </c:pt>
                <c:pt idx="9">
                  <c:v>14231793.248782173</c:v>
                </c:pt>
              </c:numCache>
            </c:numRef>
          </c:val>
          <c:extLst>
            <c:ext xmlns:c16="http://schemas.microsoft.com/office/drawing/2014/chart" uri="{C3380CC4-5D6E-409C-BE32-E72D297353CC}">
              <c16:uniqueId val="{00000000-D691-4B38-B423-AF7EF95B44F0}"/>
            </c:ext>
          </c:extLst>
        </c:ser>
        <c:ser>
          <c:idx val="1"/>
          <c:order val="1"/>
          <c:tx>
            <c:strRef>
              <c:f>DTE_cost_per_minute_forecast!$B$40</c:f>
              <c:strCache>
                <c:ptCount val="1"/>
                <c:pt idx="0">
                  <c:v>Near Earth Robotic - LEO Science</c:v>
                </c:pt>
              </c:strCache>
            </c:strRef>
          </c:tx>
          <c:spPr>
            <a:solidFill>
              <a:schemeClr val="accent2"/>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DTE_cost_per_minute_forecast!$C$40:$L$40</c:f>
              <c:numCache>
                <c:formatCode>_(* #,##0_);_(* \(#,##0\);_(* "-"??_);_(@_)</c:formatCode>
                <c:ptCount val="10"/>
                <c:pt idx="0">
                  <c:v>7447489.6457555033</c:v>
                </c:pt>
                <c:pt idx="1">
                  <c:v>6249777.6660541305</c:v>
                </c:pt>
                <c:pt idx="2">
                  <c:v>5643740.5180907119</c:v>
                </c:pt>
                <c:pt idx="3">
                  <c:v>4963550.6158586713</c:v>
                </c:pt>
                <c:pt idx="4">
                  <c:v>6113107.0344031146</c:v>
                </c:pt>
                <c:pt idx="5">
                  <c:v>6312602.652043134</c:v>
                </c:pt>
                <c:pt idx="6">
                  <c:v>6571888.0184110031</c:v>
                </c:pt>
                <c:pt idx="7">
                  <c:v>7624380.3013080535</c:v>
                </c:pt>
                <c:pt idx="8">
                  <c:v>8284054.3961542724</c:v>
                </c:pt>
                <c:pt idx="9">
                  <c:v>8967074.9815999847</c:v>
                </c:pt>
              </c:numCache>
            </c:numRef>
          </c:val>
          <c:extLst>
            <c:ext xmlns:c16="http://schemas.microsoft.com/office/drawing/2014/chart" uri="{C3380CC4-5D6E-409C-BE32-E72D297353CC}">
              <c16:uniqueId val="{00000001-D691-4B38-B423-AF7EF95B44F0}"/>
            </c:ext>
          </c:extLst>
        </c:ser>
        <c:ser>
          <c:idx val="2"/>
          <c:order val="2"/>
          <c:tx>
            <c:strRef>
              <c:f>DTE_cost_per_minute_forecast!$B$41</c:f>
              <c:strCache>
                <c:ptCount val="1"/>
                <c:pt idx="0">
                  <c:v>Near Earth Robotic - GEO and Near Earth</c:v>
                </c:pt>
              </c:strCache>
            </c:strRef>
          </c:tx>
          <c:spPr>
            <a:solidFill>
              <a:schemeClr val="accent3"/>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DTE_cost_per_minute_forecast!$C$41:$L$41</c:f>
              <c:numCache>
                <c:formatCode>_(* #,##0_);_(* \(#,##0\);_(* "-"??_);_(@_)</c:formatCode>
                <c:ptCount val="10"/>
                <c:pt idx="0">
                  <c:v>126638.04219471192</c:v>
                </c:pt>
                <c:pt idx="1">
                  <c:v>141616.5295428739</c:v>
                </c:pt>
                <c:pt idx="2">
                  <c:v>173589.69911610687</c:v>
                </c:pt>
                <c:pt idx="3">
                  <c:v>190908.04807481662</c:v>
                </c:pt>
                <c:pt idx="4">
                  <c:v>208875.01200403325</c:v>
                </c:pt>
                <c:pt idx="5">
                  <c:v>227509.60816299348</c:v>
                </c:pt>
                <c:pt idx="6">
                  <c:v>246831.3550553153</c:v>
                </c:pt>
                <c:pt idx="7">
                  <c:v>266860.28487186966</c:v>
                </c:pt>
                <c:pt idx="8">
                  <c:v>287616.95623086905</c:v>
                </c:pt>
                <c:pt idx="9">
                  <c:v>309122.46722208441</c:v>
                </c:pt>
              </c:numCache>
            </c:numRef>
          </c:val>
          <c:extLst>
            <c:ext xmlns:c16="http://schemas.microsoft.com/office/drawing/2014/chart" uri="{C3380CC4-5D6E-409C-BE32-E72D297353CC}">
              <c16:uniqueId val="{00000002-D691-4B38-B423-AF7EF95B44F0}"/>
            </c:ext>
          </c:extLst>
        </c:ser>
        <c:ser>
          <c:idx val="3"/>
          <c:order val="3"/>
          <c:tx>
            <c:strRef>
              <c:f>DTE_cost_per_minute_forecast!$B$42</c:f>
              <c:strCache>
                <c:ptCount val="1"/>
                <c:pt idx="0">
                  <c:v>Deep Space Robotic</c:v>
                </c:pt>
              </c:strCache>
            </c:strRef>
          </c:tx>
          <c:spPr>
            <a:solidFill>
              <a:schemeClr val="accent4"/>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DTE_cost_per_minute_forecast!$C$42:$L$42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D691-4B38-B423-AF7EF95B44F0}"/>
            </c:ext>
          </c:extLst>
        </c:ser>
        <c:ser>
          <c:idx val="4"/>
          <c:order val="4"/>
          <c:tx>
            <c:strRef>
              <c:f>DTE_cost_per_minute_forecast!$B$43</c:f>
              <c:strCache>
                <c:ptCount val="1"/>
                <c:pt idx="0">
                  <c:v>Near Earth Robotic - Low Latency &amp; Complex Needs</c:v>
                </c:pt>
              </c:strCache>
            </c:strRef>
          </c:tx>
          <c:spPr>
            <a:solidFill>
              <a:schemeClr val="accent5"/>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DTE_cost_per_minute_forecast!$C$43:$L$43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D691-4B38-B423-AF7EF95B44F0}"/>
            </c:ext>
          </c:extLst>
        </c:ser>
        <c:ser>
          <c:idx val="5"/>
          <c:order val="5"/>
          <c:tx>
            <c:strRef>
              <c:f>DTE_cost_per_minute_forecast!$B$44</c:f>
              <c:strCache>
                <c:ptCount val="1"/>
                <c:pt idx="0">
                  <c:v>Mission Operations</c:v>
                </c:pt>
              </c:strCache>
            </c:strRef>
          </c:tx>
          <c:spPr>
            <a:solidFill>
              <a:schemeClr val="accent6"/>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DTE_cost_per_minute_forecast!$C$44:$L$44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691-4B38-B423-AF7EF95B44F0}"/>
            </c:ext>
          </c:extLst>
        </c:ser>
        <c:ser>
          <c:idx val="6"/>
          <c:order val="6"/>
          <c:tx>
            <c:strRef>
              <c:f>DTE_cost_per_minute_forecast!$B$45</c:f>
              <c:strCache>
                <c:ptCount val="1"/>
                <c:pt idx="0">
                  <c:v>Launch Events</c:v>
                </c:pt>
              </c:strCache>
            </c:strRef>
          </c:tx>
          <c:spPr>
            <a:solidFill>
              <a:schemeClr val="accent1">
                <a:lumMod val="60000"/>
              </a:schemeClr>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DTE_cost_per_minute_forecast!$C$45:$L$45</c:f>
              <c:numCache>
                <c:formatCode>_(* #,##0_);_(* \(#,##0\);_(* "-"??_);_(@_)</c:formatCode>
                <c:ptCount val="10"/>
                <c:pt idx="0">
                  <c:v>13552.901194447313</c:v>
                </c:pt>
                <c:pt idx="1">
                  <c:v>16614.810504553672</c:v>
                </c:pt>
                <c:pt idx="2">
                  <c:v>19116.040281676767</c:v>
                </c:pt>
                <c:pt idx="3">
                  <c:v>22237.757947780232</c:v>
                </c:pt>
                <c:pt idx="4">
                  <c:v>30857.388023574342</c:v>
                </c:pt>
                <c:pt idx="5">
                  <c:v>34204.119453795705</c:v>
                </c:pt>
                <c:pt idx="6">
                  <c:v>37676.641823980564</c:v>
                </c:pt>
                <c:pt idx="7">
                  <c:v>41278.648079155355</c:v>
                </c:pt>
                <c:pt idx="8">
                  <c:v>45013.928565771617</c:v>
                </c:pt>
                <c:pt idx="9">
                  <c:v>48886.373450584935</c:v>
                </c:pt>
              </c:numCache>
            </c:numRef>
          </c:val>
          <c:extLst>
            <c:ext xmlns:c16="http://schemas.microsoft.com/office/drawing/2014/chart" uri="{C3380CC4-5D6E-409C-BE32-E72D297353CC}">
              <c16:uniqueId val="{00000006-D691-4B38-B423-AF7EF95B44F0}"/>
            </c:ext>
          </c:extLst>
        </c:ser>
        <c:ser>
          <c:idx val="7"/>
          <c:order val="7"/>
          <c:tx>
            <c:strRef>
              <c:f>DTE_cost_per_minute_forecast!$B$46</c:f>
              <c:strCache>
                <c:ptCount val="1"/>
                <c:pt idx="0">
                  <c:v>Terrestrial &amp; Aerial</c:v>
                </c:pt>
              </c:strCache>
            </c:strRef>
          </c:tx>
          <c:spPr>
            <a:solidFill>
              <a:schemeClr val="accent2">
                <a:lumMod val="60000"/>
              </a:schemeClr>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DTE_cost_per_minute_forecast!$C$46:$L$46</c:f>
              <c:numCache>
                <c:formatCode>_(* #,##0_);_(* \(#,##0\);_(* "-"??_);_(@_)</c:formatCode>
                <c:ptCount val="10"/>
                <c:pt idx="0">
                  <c:v>869918.96820984501</c:v>
                </c:pt>
                <c:pt idx="1">
                  <c:v>1751217.9026377657</c:v>
                </c:pt>
                <c:pt idx="2">
                  <c:v>1978729.263183821</c:v>
                </c:pt>
                <c:pt idx="3">
                  <c:v>2215456.246903467</c:v>
                </c:pt>
                <c:pt idx="4">
                  <c:v>2461071.921163497</c:v>
                </c:pt>
                <c:pt idx="5">
                  <c:v>3435701.7602016358</c:v>
                </c:pt>
                <c:pt idx="6">
                  <c:v>3714603.832044641</c:v>
                </c:pt>
                <c:pt idx="7">
                  <c:v>4003552.2193550798</c:v>
                </c:pt>
                <c:pt idx="8">
                  <c:v>4302837.2139229123</c:v>
                </c:pt>
                <c:pt idx="9">
                  <c:v>4612756.7006835109</c:v>
                </c:pt>
              </c:numCache>
            </c:numRef>
          </c:val>
          <c:extLst>
            <c:ext xmlns:c16="http://schemas.microsoft.com/office/drawing/2014/chart" uri="{C3380CC4-5D6E-409C-BE32-E72D297353CC}">
              <c16:uniqueId val="{00000007-D691-4B38-B423-AF7EF95B44F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(20%</a:t>
            </a:r>
            <a:r>
              <a:rPr lang="en-US" baseline="0"/>
              <a:t>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c:f>
              <c:strCache>
                <c:ptCount val="1"/>
                <c:pt idx="0">
                  <c:v>Low Demand</c:v>
                </c:pt>
              </c:strCache>
            </c:strRef>
          </c:tx>
          <c:spPr>
            <a:ln w="28575" cap="rnd">
              <a:solidFill>
                <a:schemeClr val="accent1"/>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DTE_cost_per_minute_forecast!$C$11:$L$11</c:f>
              <c:numCache>
                <c:formatCode>_(* #,##0_);_(* \(#,##0\);_(* "-"??_);_(@_)</c:formatCode>
                <c:ptCount val="10"/>
                <c:pt idx="0">
                  <c:v>13265990.176295459</c:v>
                </c:pt>
                <c:pt idx="1">
                  <c:v>12653329.712266441</c:v>
                </c:pt>
                <c:pt idx="2">
                  <c:v>12083246.545625066</c:v>
                </c:pt>
                <c:pt idx="3">
                  <c:v>11114835.888185339</c:v>
                </c:pt>
                <c:pt idx="4">
                  <c:v>12147632.518449074</c:v>
                </c:pt>
                <c:pt idx="5">
                  <c:v>12939784.526900178</c:v>
                </c:pt>
                <c:pt idx="6">
                  <c:v>13081374.615338625</c:v>
                </c:pt>
                <c:pt idx="7">
                  <c:v>14011161.867545798</c:v>
                </c:pt>
                <c:pt idx="8">
                  <c:v>14542967.866942436</c:v>
                </c:pt>
                <c:pt idx="9">
                  <c:v>15092799.851600753</c:v>
                </c:pt>
              </c:numCache>
            </c:numRef>
          </c:val>
          <c:smooth val="0"/>
          <c:extLst>
            <c:ext xmlns:c16="http://schemas.microsoft.com/office/drawing/2014/chart" uri="{C3380CC4-5D6E-409C-BE32-E72D297353CC}">
              <c16:uniqueId val="{00000000-10E4-4EF7-BEFD-FF0018F4AA4A}"/>
            </c:ext>
          </c:extLst>
        </c:ser>
        <c:ser>
          <c:idx val="1"/>
          <c:order val="1"/>
          <c:tx>
            <c:strRef>
              <c:f>DTE_cost_per_minute_forecast!$B$19</c:f>
              <c:strCache>
                <c:ptCount val="1"/>
                <c:pt idx="0">
                  <c:v>Baseline Demand</c:v>
                </c:pt>
              </c:strCache>
            </c:strRef>
          </c:tx>
          <c:spPr>
            <a:ln w="28575" cap="rnd">
              <a:solidFill>
                <a:schemeClr val="accent2"/>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DTE_cost_per_minute_forecast!$C$29:$L$29</c:f>
              <c:numCache>
                <c:formatCode>_(* #,##0_);_(* \(#,##0\);_(* "-"??_);_(@_)</c:formatCode>
                <c:ptCount val="10"/>
                <c:pt idx="0">
                  <c:v>13874899.147071294</c:v>
                </c:pt>
                <c:pt idx="1">
                  <c:v>13879505.123909026</c:v>
                </c:pt>
                <c:pt idx="2">
                  <c:v>13897222.291172197</c:v>
                </c:pt>
                <c:pt idx="3">
                  <c:v>13704174.37211556</c:v>
                </c:pt>
                <c:pt idx="4">
                  <c:v>15449039.085460108</c:v>
                </c:pt>
                <c:pt idx="5">
                  <c:v>16980706.164921679</c:v>
                </c:pt>
                <c:pt idx="6">
                  <c:v>17890071.364584215</c:v>
                </c:pt>
                <c:pt idx="7">
                  <c:v>19616728.363809224</c:v>
                </c:pt>
                <c:pt idx="8">
                  <c:v>20975355.421404716</c:v>
                </c:pt>
                <c:pt idx="9">
                  <c:v>22382839.079991337</c:v>
                </c:pt>
              </c:numCache>
            </c:numRef>
          </c:val>
          <c:smooth val="0"/>
          <c:extLst>
            <c:ext xmlns:c16="http://schemas.microsoft.com/office/drawing/2014/chart" uri="{C3380CC4-5D6E-409C-BE32-E72D297353CC}">
              <c16:uniqueId val="{00000001-10E4-4EF7-BEFD-FF0018F4AA4A}"/>
            </c:ext>
          </c:extLst>
        </c:ser>
        <c:ser>
          <c:idx val="2"/>
          <c:order val="2"/>
          <c:tx>
            <c:strRef>
              <c:f>DTE_cost_per_minute_forecast!$B$37</c:f>
              <c:strCache>
                <c:ptCount val="1"/>
                <c:pt idx="0">
                  <c:v>High Demand</c:v>
                </c:pt>
              </c:strCache>
            </c:strRef>
          </c:tx>
          <c:spPr>
            <a:ln w="28575" cap="rnd">
              <a:solidFill>
                <a:schemeClr val="accent3"/>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DTE_cost_per_minute_forecast!$C$47:$L$47</c:f>
              <c:numCache>
                <c:formatCode>_(* #,##0_);_(* \(#,##0\);_(* "-"??_);_(@_)</c:formatCode>
                <c:ptCount val="10"/>
                <c:pt idx="0">
                  <c:v>14358023.339654047</c:v>
                </c:pt>
                <c:pt idx="1">
                  <c:v>14849079.588037722</c:v>
                </c:pt>
                <c:pt idx="2">
                  <c:v>15318598.587023078</c:v>
                </c:pt>
                <c:pt idx="3">
                  <c:v>15759577.604458883</c:v>
                </c:pt>
                <c:pt idx="4">
                  <c:v>18069678.206697837</c:v>
                </c:pt>
                <c:pt idx="5">
                  <c:v>20188368.449316666</c:v>
                </c:pt>
                <c:pt idx="6">
                  <c:v>21707189.483014245</c:v>
                </c:pt>
                <c:pt idx="7">
                  <c:v>24066397.484721951</c:v>
                </c:pt>
                <c:pt idx="8">
                  <c:v>26081350.737652071</c:v>
                </c:pt>
                <c:pt idx="9">
                  <c:v>28169633.771738339</c:v>
                </c:pt>
              </c:numCache>
            </c:numRef>
          </c:val>
          <c:smooth val="0"/>
          <c:extLst>
            <c:ext xmlns:c16="http://schemas.microsoft.com/office/drawing/2014/chart" uri="{C3380CC4-5D6E-409C-BE32-E72D297353CC}">
              <c16:uniqueId val="{00000002-10E4-4EF7-BEFD-FF0018F4AA4A}"/>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(40%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DTE_cost_per_minute_forecast!$B$59</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DTE_cost_per_minute_forecast!$C$59:$L$59</c:f>
              <c:numCache>
                <c:formatCode>_(* #,##0_);_(* \(#,##0\);_(* "-"??_);_(@_)</c:formatCode>
                <c:ptCount val="10"/>
                <c:pt idx="0">
                  <c:v>6143962.7216014247</c:v>
                </c:pt>
                <c:pt idx="1">
                  <c:v>6295503.4760421291</c:v>
                </c:pt>
                <c:pt idx="2">
                  <c:v>6444726.863206042</c:v>
                </c:pt>
                <c:pt idx="3">
                  <c:v>6621393.0269701798</c:v>
                </c:pt>
                <c:pt idx="4">
                  <c:v>6794126.1771925781</c:v>
                </c:pt>
                <c:pt idx="5">
                  <c:v>6973517.4052053662</c:v>
                </c:pt>
                <c:pt idx="6">
                  <c:v>7159763.9408600722</c:v>
                </c:pt>
                <c:pt idx="7">
                  <c:v>7353068.2399711665</c:v>
                </c:pt>
                <c:pt idx="8">
                  <c:v>7553638.1144626439</c:v>
                </c:pt>
                <c:pt idx="9">
                  <c:v>7761686.8656300744</c:v>
                </c:pt>
              </c:numCache>
            </c:numRef>
          </c:val>
          <c:extLst>
            <c:ext xmlns:c16="http://schemas.microsoft.com/office/drawing/2014/chart" uri="{C3380CC4-5D6E-409C-BE32-E72D297353CC}">
              <c16:uniqueId val="{00000000-A410-4D3F-BC28-D8AC640B2EE3}"/>
            </c:ext>
          </c:extLst>
        </c:ser>
        <c:ser>
          <c:idx val="1"/>
          <c:order val="1"/>
          <c:tx>
            <c:strRef>
              <c:f>DTE_cost_per_minute_forecast!$B$60</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DTE_cost_per_minute_forecast!$C$60:$L$60</c:f>
              <c:numCache>
                <c:formatCode>_(* #,##0_);_(* \(#,##0\);_(* "-"??_);_(@_)</c:formatCode>
                <c:ptCount val="10"/>
                <c:pt idx="0">
                  <c:v>8323651.6202258244</c:v>
                </c:pt>
                <c:pt idx="1">
                  <c:v>6583961.9658193514</c:v>
                </c:pt>
                <c:pt idx="2">
                  <c:v>5646808.7581901979</c:v>
                </c:pt>
                <c:pt idx="3">
                  <c:v>4230293.9109689025</c:v>
                </c:pt>
                <c:pt idx="4">
                  <c:v>5142301.4021992125</c:v>
                </c:pt>
                <c:pt idx="5">
                  <c:v>4929363.1652145116</c:v>
                </c:pt>
                <c:pt idx="6">
                  <c:v>4769148.1728315549</c:v>
                </c:pt>
                <c:pt idx="7">
                  <c:v>5516806.8022450274</c:v>
                </c:pt>
                <c:pt idx="8">
                  <c:v>5788126.8060466601</c:v>
                </c:pt>
                <c:pt idx="9">
                  <c:v>6068103.7126933262</c:v>
                </c:pt>
              </c:numCache>
            </c:numRef>
          </c:val>
          <c:extLst>
            <c:ext xmlns:c16="http://schemas.microsoft.com/office/drawing/2014/chart" uri="{C3380CC4-5D6E-409C-BE32-E72D297353CC}">
              <c16:uniqueId val="{00000001-A410-4D3F-BC28-D8AC640B2EE3}"/>
            </c:ext>
          </c:extLst>
        </c:ser>
        <c:ser>
          <c:idx val="2"/>
          <c:order val="2"/>
          <c:tx>
            <c:strRef>
              <c:f>DTE_cost_per_minute_forecast!$B$61</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DTE_cost_per_minute_forecast!$C$61:$L$61</c:f>
              <c:numCache>
                <c:formatCode>_(* #,##0_);_(* \(#,##0\);_(* "-"??_);_(@_)</c:formatCode>
                <c:ptCount val="10"/>
                <c:pt idx="0">
                  <c:v>134822.21903509859</c:v>
                </c:pt>
                <c:pt idx="1">
                  <c:v>138858.07087487294</c:v>
                </c:pt>
                <c:pt idx="2">
                  <c:v>162188.65883998369</c:v>
                </c:pt>
                <c:pt idx="3">
                  <c:v>167873.64284544103</c:v>
                </c:pt>
                <c:pt idx="4">
                  <c:v>173750.687121353</c:v>
                </c:pt>
                <c:pt idx="5">
                  <c:v>179825.20008493564</c:v>
                </c:pt>
                <c:pt idx="6">
                  <c:v>186102.72966598536</c:v>
                </c:pt>
                <c:pt idx="7">
                  <c:v>192588.96672401536</c:v>
                </c:pt>
                <c:pt idx="8">
                  <c:v>199289.74854627263</c:v>
                </c:pt>
                <c:pt idx="9">
                  <c:v>206211.06242850286</c:v>
                </c:pt>
              </c:numCache>
            </c:numRef>
          </c:val>
          <c:extLst>
            <c:ext xmlns:c16="http://schemas.microsoft.com/office/drawing/2014/chart" uri="{C3380CC4-5D6E-409C-BE32-E72D297353CC}">
              <c16:uniqueId val="{00000002-A410-4D3F-BC28-D8AC640B2EE3}"/>
            </c:ext>
          </c:extLst>
        </c:ser>
        <c:ser>
          <c:idx val="3"/>
          <c:order val="3"/>
          <c:tx>
            <c:strRef>
              <c:f>DTE_cost_per_minute_forecast!$B$62</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DTE_cost_per_minute_forecast!$C$62:$L$62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410-4D3F-BC28-D8AC640B2EE3}"/>
            </c:ext>
          </c:extLst>
        </c:ser>
        <c:ser>
          <c:idx val="4"/>
          <c:order val="4"/>
          <c:tx>
            <c:strRef>
              <c:f>DTE_cost_per_minute_forecast!$B$63</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DTE_cost_per_minute_forecast!$C$63:$L$63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A410-4D3F-BC28-D8AC640B2EE3}"/>
            </c:ext>
          </c:extLst>
        </c:ser>
        <c:ser>
          <c:idx val="5"/>
          <c:order val="5"/>
          <c:tx>
            <c:strRef>
              <c:f>DTE_cost_per_minute_forecast!$B$64</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DTE_cost_per_minute_forecast!$C$64:$L$64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410-4D3F-BC28-D8AC640B2EE3}"/>
            </c:ext>
          </c:extLst>
        </c:ser>
        <c:ser>
          <c:idx val="6"/>
          <c:order val="6"/>
          <c:tx>
            <c:strRef>
              <c:f>DTE_cost_per_minute_forecast!$B$65</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DTE_cost_per_minute_forecast!$C$65:$L$65</c:f>
              <c:numCache>
                <c:formatCode>_(* #,##0_);_(* \(#,##0\);_(* "-"??_);_(@_)</c:formatCode>
                <c:ptCount val="10"/>
                <c:pt idx="0">
                  <c:v>13945.938950908856</c:v>
                </c:pt>
                <c:pt idx="1">
                  <c:v>15577.756205715412</c:v>
                </c:pt>
                <c:pt idx="2">
                  <c:v>16478.577239405837</c:v>
                </c:pt>
                <c:pt idx="3">
                  <c:v>18024.13207107507</c:v>
                </c:pt>
                <c:pt idx="4">
                  <c:v>25902.389470801019</c:v>
                </c:pt>
                <c:pt idx="5">
                  <c:v>27544.980644024607</c:v>
                </c:pt>
                <c:pt idx="6">
                  <c:v>29247.889919346901</c:v>
                </c:pt>
                <c:pt idx="7">
                  <c:v>31012.872984382546</c:v>
                </c:pt>
                <c:pt idx="8">
                  <c:v>32841.731627009962</c:v>
                </c:pt>
                <c:pt idx="9">
                  <c:v>34736.314877106801</c:v>
                </c:pt>
              </c:numCache>
            </c:numRef>
          </c:val>
          <c:extLst>
            <c:ext xmlns:c16="http://schemas.microsoft.com/office/drawing/2014/chart" uri="{C3380CC4-5D6E-409C-BE32-E72D297353CC}">
              <c16:uniqueId val="{00000006-A410-4D3F-BC28-D8AC640B2EE3}"/>
            </c:ext>
          </c:extLst>
        </c:ser>
        <c:ser>
          <c:idx val="7"/>
          <c:order val="7"/>
          <c:tx>
            <c:strRef>
              <c:f>DTE_cost_per_minute_forecast!$B$66</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DTE_cost_per_minute_forecast!$C$66:$L$66</c:f>
              <c:numCache>
                <c:formatCode>_(* #,##0_);_(* \(#,##0\);_(* "-"??_);_(@_)</c:formatCode>
                <c:ptCount val="10"/>
                <c:pt idx="0">
                  <c:v>860606.03919811384</c:v>
                </c:pt>
                <c:pt idx="1">
                  <c:v>1728316.7287021142</c:v>
                </c:pt>
                <c:pt idx="2">
                  <c:v>1826918.1124202812</c:v>
                </c:pt>
                <c:pt idx="3">
                  <c:v>1929723.8233606312</c:v>
                </c:pt>
                <c:pt idx="4">
                  <c:v>2036157.2822066443</c:v>
                </c:pt>
                <c:pt idx="5">
                  <c:v>2986164.5302347005</c:v>
                </c:pt>
                <c:pt idx="6">
                  <c:v>3117340.9846181036</c:v>
                </c:pt>
                <c:pt idx="7">
                  <c:v>3252878.6302121747</c:v>
                </c:pt>
                <c:pt idx="8">
                  <c:v>3392899.4440835896</c:v>
                </c:pt>
                <c:pt idx="9">
                  <c:v>3537528.5379052022</c:v>
                </c:pt>
              </c:numCache>
            </c:numRef>
          </c:val>
          <c:extLst>
            <c:ext xmlns:c16="http://schemas.microsoft.com/office/drawing/2014/chart" uri="{C3380CC4-5D6E-409C-BE32-E72D297353CC}">
              <c16:uniqueId val="{00000007-A410-4D3F-BC28-D8AC640B2EE3}"/>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 cost by use case (Baseline demand </a:t>
            </a:r>
            <a:r>
              <a:rPr lang="en-US" sz="1200" b="0" i="0" u="none" strike="noStrike" kern="1200" spc="0" baseline="0">
                <a:solidFill>
                  <a:sysClr val="windowText" lastClr="000000">
                    <a:lumMod val="65000"/>
                    <a:lumOff val="35000"/>
                  </a:sysClr>
                </a:solidFill>
                <a:effectLst/>
                <a:latin typeface="+mn-lt"/>
                <a:ea typeface="+mn-ea"/>
                <a:cs typeface="+mn-cs"/>
              </a:rPr>
              <a:t>scenario) (40% profit margin)</a:t>
            </a:r>
            <a:r>
              <a:rPr lang="en-US" sz="1200" b="0" i="0" baseline="0">
                <a:effectLst/>
              </a:rPr>
              <a:t> </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DTE_cost_per_minute_forecast!$B$77</c:f>
              <c:strCache>
                <c:ptCount val="1"/>
                <c:pt idx="0">
                  <c:v>Human Space Flight</c:v>
                </c:pt>
              </c:strCache>
            </c:strRef>
          </c:tx>
          <c:spPr>
            <a:solidFill>
              <a:schemeClr val="accent1"/>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DTE_cost_per_minute_forecast!$C$77:$L$77</c:f>
              <c:numCache>
                <c:formatCode>_(* #,##0_);_(* \(#,##0\);_(* "-"??_);_(@_)</c:formatCode>
                <c:ptCount val="10"/>
                <c:pt idx="0">
                  <c:v>6587881.7362502478</c:v>
                </c:pt>
                <c:pt idx="1">
                  <c:v>7201098.2659257287</c:v>
                </c:pt>
                <c:pt idx="2">
                  <c:v>7830286.8917279504</c:v>
                </c:pt>
                <c:pt idx="3">
                  <c:v>8505754.6657599751</c:v>
                </c:pt>
                <c:pt idx="4">
                  <c:v>9196687.2666495666</c:v>
                </c:pt>
                <c:pt idx="5">
                  <c:v>9914252.1787007209</c:v>
                </c:pt>
                <c:pt idx="6">
                  <c:v>10659238.321319545</c:v>
                </c:pt>
                <c:pt idx="7">
                  <c:v>11432455.51776392</c:v>
                </c:pt>
                <c:pt idx="8">
                  <c:v>12234735.015729828</c:v>
                </c:pt>
                <c:pt idx="9">
                  <c:v>13066930.02039955</c:v>
                </c:pt>
              </c:numCache>
            </c:numRef>
          </c:val>
          <c:extLst>
            <c:ext xmlns:c16="http://schemas.microsoft.com/office/drawing/2014/chart" uri="{C3380CC4-5D6E-409C-BE32-E72D297353CC}">
              <c16:uniqueId val="{00000000-3332-4512-971C-3617D4EA4A8F}"/>
            </c:ext>
          </c:extLst>
        </c:ser>
        <c:ser>
          <c:idx val="1"/>
          <c:order val="1"/>
          <c:tx>
            <c:strRef>
              <c:f>DTE_cost_per_minute_forecast!$B$78</c:f>
              <c:strCache>
                <c:ptCount val="1"/>
                <c:pt idx="0">
                  <c:v>Near Earth Robotic - LEO Science</c:v>
                </c:pt>
              </c:strCache>
            </c:strRef>
          </c:tx>
          <c:spPr>
            <a:solidFill>
              <a:schemeClr val="accent2"/>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DTE_cost_per_minute_forecast!$C$78:$L$78</c:f>
              <c:numCache>
                <c:formatCode>_(* #,##0_);_(* \(#,##0\);_(* "-"??_);_(@_)</c:formatCode>
                <c:ptCount val="10"/>
                <c:pt idx="0">
                  <c:v>8506194.7701369561</c:v>
                </c:pt>
                <c:pt idx="1">
                  <c:v>6937684.6214412516</c:v>
                </c:pt>
                <c:pt idx="2">
                  <c:v>6115586.3479813477</c:v>
                </c:pt>
                <c:pt idx="3">
                  <c:v>5010551.4814020097</c:v>
                </c:pt>
                <c:pt idx="4">
                  <c:v>6137129.8045014227</c:v>
                </c:pt>
                <c:pt idx="5">
                  <c:v>6147033.1296324171</c:v>
                </c:pt>
                <c:pt idx="6">
                  <c:v>6218175.430488864</c:v>
                </c:pt>
                <c:pt idx="7">
                  <c:v>7205958.5768855466</c:v>
                </c:pt>
                <c:pt idx="8">
                  <c:v>7726428.467446656</c:v>
                </c:pt>
                <c:pt idx="9">
                  <c:v>8264845.5956133213</c:v>
                </c:pt>
              </c:numCache>
            </c:numRef>
          </c:val>
          <c:extLst>
            <c:ext xmlns:c16="http://schemas.microsoft.com/office/drawing/2014/chart" uri="{C3380CC4-5D6E-409C-BE32-E72D297353CC}">
              <c16:uniqueId val="{00000001-3332-4512-971C-3617D4EA4A8F}"/>
            </c:ext>
          </c:extLst>
        </c:ser>
        <c:ser>
          <c:idx val="2"/>
          <c:order val="2"/>
          <c:tx>
            <c:strRef>
              <c:f>DTE_cost_per_minute_forecast!$B$79</c:f>
              <c:strCache>
                <c:ptCount val="1"/>
                <c:pt idx="0">
                  <c:v>Near Earth Robotic - GEO and Near Earth</c:v>
                </c:pt>
              </c:strCache>
            </c:strRef>
          </c:tx>
          <c:spPr>
            <a:solidFill>
              <a:schemeClr val="accent3"/>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DTE_cost_per_minute_forecast!$C$79:$L$79</c:f>
              <c:numCache>
                <c:formatCode>_(* #,##0_);_(* \(#,##0\);_(* "-"??_);_(@_)</c:formatCode>
                <c:ptCount val="10"/>
                <c:pt idx="0">
                  <c:v>140360.28911741229</c:v>
                </c:pt>
                <c:pt idx="1">
                  <c:v>150155.73384279292</c:v>
                </c:pt>
                <c:pt idx="2">
                  <c:v>179474.08318090127</c:v>
                </c:pt>
                <c:pt idx="3">
                  <c:v>191381.81994908891</c:v>
                </c:pt>
                <c:pt idx="4">
                  <c:v>203723.61292850404</c:v>
                </c:pt>
                <c:pt idx="5">
                  <c:v>216512.06127288853</c:v>
                </c:pt>
                <c:pt idx="6">
                  <c:v>229760.0944796493</c:v>
                </c:pt>
                <c:pt idx="7">
                  <c:v>243480.98056394362</c:v>
                </c:pt>
                <c:pt idx="8">
                  <c:v>257688.33442759025</c:v>
                </c:pt>
                <c:pt idx="9">
                  <c:v>272396.12642732955</c:v>
                </c:pt>
              </c:numCache>
            </c:numRef>
          </c:val>
          <c:extLst>
            <c:ext xmlns:c16="http://schemas.microsoft.com/office/drawing/2014/chart" uri="{C3380CC4-5D6E-409C-BE32-E72D297353CC}">
              <c16:uniqueId val="{00000002-3332-4512-971C-3617D4EA4A8F}"/>
            </c:ext>
          </c:extLst>
        </c:ser>
        <c:ser>
          <c:idx val="3"/>
          <c:order val="3"/>
          <c:tx>
            <c:strRef>
              <c:f>DTE_cost_per_minute_forecast!$B$80</c:f>
              <c:strCache>
                <c:ptCount val="1"/>
                <c:pt idx="0">
                  <c:v>Deep Space Robotic</c:v>
                </c:pt>
              </c:strCache>
            </c:strRef>
          </c:tx>
          <c:spPr>
            <a:solidFill>
              <a:schemeClr val="accent4"/>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DTE_cost_per_minute_forecast!$C$80:$L$80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332-4512-971C-3617D4EA4A8F}"/>
            </c:ext>
          </c:extLst>
        </c:ser>
        <c:ser>
          <c:idx val="4"/>
          <c:order val="4"/>
          <c:tx>
            <c:strRef>
              <c:f>DTE_cost_per_minute_forecast!$B$81</c:f>
              <c:strCache>
                <c:ptCount val="1"/>
                <c:pt idx="0">
                  <c:v>Near Earth Robotic - Low Latency &amp; Complex Needs</c:v>
                </c:pt>
              </c:strCache>
            </c:strRef>
          </c:tx>
          <c:spPr>
            <a:solidFill>
              <a:schemeClr val="accent5"/>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DTE_cost_per_minute_forecast!$C$81:$L$81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3332-4512-971C-3617D4EA4A8F}"/>
            </c:ext>
          </c:extLst>
        </c:ser>
        <c:ser>
          <c:idx val="5"/>
          <c:order val="5"/>
          <c:tx>
            <c:strRef>
              <c:f>DTE_cost_per_minute_forecast!$B$82</c:f>
              <c:strCache>
                <c:ptCount val="1"/>
                <c:pt idx="0">
                  <c:v>Mission Operations</c:v>
                </c:pt>
              </c:strCache>
            </c:strRef>
          </c:tx>
          <c:spPr>
            <a:solidFill>
              <a:schemeClr val="accent6"/>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DTE_cost_per_minute_forecast!$C$82:$L$82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3332-4512-971C-3617D4EA4A8F}"/>
            </c:ext>
          </c:extLst>
        </c:ser>
        <c:ser>
          <c:idx val="6"/>
          <c:order val="6"/>
          <c:tx>
            <c:strRef>
              <c:f>DTE_cost_per_minute_forecast!$B$83</c:f>
              <c:strCache>
                <c:ptCount val="1"/>
                <c:pt idx="0">
                  <c:v>Launch Events</c:v>
                </c:pt>
              </c:strCache>
            </c:strRef>
          </c:tx>
          <c:spPr>
            <a:solidFill>
              <a:schemeClr val="accent1">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DTE_cost_per_minute_forecast!$C$83:$L$83</c:f>
              <c:numCache>
                <c:formatCode>_(* #,##0_);_(* \(#,##0\);_(* "-"??_);_(@_)</c:formatCode>
                <c:ptCount val="10"/>
                <c:pt idx="0">
                  <c:v>15189.791690428639</c:v>
                </c:pt>
                <c:pt idx="1">
                  <c:v>18115.215794335771</c:v>
                </c:pt>
                <c:pt idx="2">
                  <c:v>20360.89040999499</c:v>
                </c:pt>
                <c:pt idx="3">
                  <c:v>23304.077983076313</c:v>
                </c:pt>
                <c:pt idx="4">
                  <c:v>32634.320508602606</c:v>
                </c:pt>
                <c:pt idx="5">
                  <c:v>35784.864234293753</c:v>
                </c:pt>
                <c:pt idx="6">
                  <c:v>39053.351391767173</c:v>
                </c:pt>
                <c:pt idx="7">
                  <c:v>42443.239500803895</c:v>
                </c:pt>
                <c:pt idx="8">
                  <c:v>45958.077204603469</c:v>
                </c:pt>
                <c:pt idx="9">
                  <c:v>49601.506531712781</c:v>
                </c:pt>
              </c:numCache>
            </c:numRef>
          </c:val>
          <c:extLst>
            <c:ext xmlns:c16="http://schemas.microsoft.com/office/drawing/2014/chart" uri="{C3380CC4-5D6E-409C-BE32-E72D297353CC}">
              <c16:uniqueId val="{00000006-3332-4512-971C-3617D4EA4A8F}"/>
            </c:ext>
          </c:extLst>
        </c:ser>
        <c:ser>
          <c:idx val="7"/>
          <c:order val="7"/>
          <c:tx>
            <c:strRef>
              <c:f>DTE_cost_per_minute_forecast!$B$84</c:f>
              <c:strCache>
                <c:ptCount val="1"/>
                <c:pt idx="0">
                  <c:v>Terrestrial &amp; Aerial</c:v>
                </c:pt>
              </c:strCache>
            </c:strRef>
          </c:tx>
          <c:spPr>
            <a:solidFill>
              <a:schemeClr val="accent2">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DTE_cost_per_minute_forecast!$C$84:$L$84</c:f>
              <c:numCache>
                <c:formatCode>_(* #,##0_);_(* \(#,##0\);_(* "-"??_);_(@_)</c:formatCode>
                <c:ptCount val="10"/>
                <c:pt idx="0">
                  <c:v>937755.7510548</c:v>
                </c:pt>
                <c:pt idx="1">
                  <c:v>1885702.1408897536</c:v>
                </c:pt>
                <c:pt idx="2">
                  <c:v>2067717.7930673701</c:v>
                </c:pt>
                <c:pt idx="3">
                  <c:v>2257211.3890406718</c:v>
                </c:pt>
                <c:pt idx="4">
                  <c:v>2453703.9284486962</c:v>
                </c:pt>
                <c:pt idx="5">
                  <c:v>3497241.6252349722</c:v>
                </c:pt>
                <c:pt idx="6">
                  <c:v>3725522.727668426</c:v>
                </c:pt>
                <c:pt idx="7">
                  <c:v>3961844.7763965502</c:v>
                </c:pt>
                <c:pt idx="8">
                  <c:v>4206438.0968301604</c:v>
                </c:pt>
                <c:pt idx="9">
                  <c:v>4459539.0110179828</c:v>
                </c:pt>
              </c:numCache>
            </c:numRef>
          </c:val>
          <c:extLst>
            <c:ext xmlns:c16="http://schemas.microsoft.com/office/drawing/2014/chart" uri="{C3380CC4-5D6E-409C-BE32-E72D297353CC}">
              <c16:uniqueId val="{00000007-3332-4512-971C-3617D4EA4A8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a:t>
            </a:r>
            <a:r>
              <a:rPr lang="en-US" sz="1200" b="0" i="0" u="none" strike="noStrike" baseline="0">
                <a:effectLst/>
              </a:rPr>
              <a:t> (40% profit margin) </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DTE_cost_per_minute_forecast!$B$95</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DTE_cost_per_minute_forecast!$C$95:$L$95</c:f>
              <c:numCache>
                <c:formatCode>_(* #,##0_);_(* \(#,##0\);_(* "-"??_);_(@_)</c:formatCode>
                <c:ptCount val="10"/>
                <c:pt idx="0">
                  <c:v>6883827.7460161308</c:v>
                </c:pt>
                <c:pt idx="1">
                  <c:v>7804828.1258481285</c:v>
                </c:pt>
                <c:pt idx="2">
                  <c:v>8753993.5774092209</c:v>
                </c:pt>
                <c:pt idx="3">
                  <c:v>9761995.7582865059</c:v>
                </c:pt>
                <c:pt idx="4">
                  <c:v>10798394.65962089</c:v>
                </c:pt>
                <c:pt idx="5">
                  <c:v>11874742.027697625</c:v>
                </c:pt>
                <c:pt idx="6">
                  <c:v>12992221.241625858</c:v>
                </c:pt>
                <c:pt idx="7">
                  <c:v>14152047.036292423</c:v>
                </c:pt>
                <c:pt idx="8">
                  <c:v>15355466.283241287</c:v>
                </c:pt>
                <c:pt idx="9">
                  <c:v>16603758.79024587</c:v>
                </c:pt>
              </c:numCache>
            </c:numRef>
          </c:val>
          <c:extLst>
            <c:ext xmlns:c16="http://schemas.microsoft.com/office/drawing/2014/chart" uri="{C3380CC4-5D6E-409C-BE32-E72D297353CC}">
              <c16:uniqueId val="{00000000-E1A1-40C2-BE3D-97C5E4D433B9}"/>
            </c:ext>
          </c:extLst>
        </c:ser>
        <c:ser>
          <c:idx val="1"/>
          <c:order val="1"/>
          <c:tx>
            <c:strRef>
              <c:f>DTE_cost_per_minute_forecast!$B$96</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DTE_cost_per_minute_forecast!$C$96:$L$96</c:f>
              <c:numCache>
                <c:formatCode>_(* #,##0_);_(* \(#,##0\);_(* "-"??_);_(@_)</c:formatCode>
                <c:ptCount val="10"/>
                <c:pt idx="0">
                  <c:v>8688737.9200480878</c:v>
                </c:pt>
                <c:pt idx="1">
                  <c:v>7291407.2770631528</c:v>
                </c:pt>
                <c:pt idx="2">
                  <c:v>6584363.9377724975</c:v>
                </c:pt>
                <c:pt idx="3">
                  <c:v>5790809.051835116</c:v>
                </c:pt>
                <c:pt idx="4">
                  <c:v>7131958.2068036338</c:v>
                </c:pt>
                <c:pt idx="5">
                  <c:v>7364703.0940503236</c:v>
                </c:pt>
                <c:pt idx="6">
                  <c:v>7667202.6881461702</c:v>
                </c:pt>
                <c:pt idx="7">
                  <c:v>8895110.3515260629</c:v>
                </c:pt>
                <c:pt idx="8">
                  <c:v>9664730.1288466509</c:v>
                </c:pt>
                <c:pt idx="9">
                  <c:v>10461587.478533316</c:v>
                </c:pt>
              </c:numCache>
            </c:numRef>
          </c:val>
          <c:extLst>
            <c:ext xmlns:c16="http://schemas.microsoft.com/office/drawing/2014/chart" uri="{C3380CC4-5D6E-409C-BE32-E72D297353CC}">
              <c16:uniqueId val="{00000001-E1A1-40C2-BE3D-97C5E4D433B9}"/>
            </c:ext>
          </c:extLst>
        </c:ser>
        <c:ser>
          <c:idx val="2"/>
          <c:order val="2"/>
          <c:tx>
            <c:strRef>
              <c:f>DTE_cost_per_minute_forecast!$B$97</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DTE_cost_per_minute_forecast!$C$97:$L$97</c:f>
              <c:numCache>
                <c:formatCode>_(* #,##0_);_(* \(#,##0\);_(* "-"??_);_(@_)</c:formatCode>
                <c:ptCount val="10"/>
                <c:pt idx="0">
                  <c:v>147744.38256049724</c:v>
                </c:pt>
                <c:pt idx="1">
                  <c:v>165219.28446668622</c:v>
                </c:pt>
                <c:pt idx="2">
                  <c:v>202521.31563545804</c:v>
                </c:pt>
                <c:pt idx="3">
                  <c:v>222726.05608728607</c:v>
                </c:pt>
                <c:pt idx="4">
                  <c:v>243687.51400470544</c:v>
                </c:pt>
                <c:pt idx="5">
                  <c:v>265427.87619015906</c:v>
                </c:pt>
                <c:pt idx="6">
                  <c:v>287969.91423120117</c:v>
                </c:pt>
                <c:pt idx="7">
                  <c:v>311336.99901718128</c:v>
                </c:pt>
                <c:pt idx="8">
                  <c:v>335553.1156026806</c:v>
                </c:pt>
                <c:pt idx="9">
                  <c:v>360642.87842576514</c:v>
                </c:pt>
              </c:numCache>
            </c:numRef>
          </c:val>
          <c:extLst>
            <c:ext xmlns:c16="http://schemas.microsoft.com/office/drawing/2014/chart" uri="{C3380CC4-5D6E-409C-BE32-E72D297353CC}">
              <c16:uniqueId val="{00000002-E1A1-40C2-BE3D-97C5E4D433B9}"/>
            </c:ext>
          </c:extLst>
        </c:ser>
        <c:ser>
          <c:idx val="3"/>
          <c:order val="3"/>
          <c:tx>
            <c:strRef>
              <c:f>DTE_cost_per_minute_forecast!$B$98</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DTE_cost_per_minute_forecast!$C$98:$L$98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1A1-40C2-BE3D-97C5E4D433B9}"/>
            </c:ext>
          </c:extLst>
        </c:ser>
        <c:ser>
          <c:idx val="4"/>
          <c:order val="4"/>
          <c:tx>
            <c:strRef>
              <c:f>DTE_cost_per_minute_forecast!$B$99</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DTE_cost_per_minute_forecast!$C$99:$L$99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1A1-40C2-BE3D-97C5E4D433B9}"/>
            </c:ext>
          </c:extLst>
        </c:ser>
        <c:ser>
          <c:idx val="5"/>
          <c:order val="5"/>
          <c:tx>
            <c:strRef>
              <c:f>DTE_cost_per_minute_forecast!$B$100</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DTE_cost_per_minute_forecast!$C$100:$L$100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1A1-40C2-BE3D-97C5E4D433B9}"/>
            </c:ext>
          </c:extLst>
        </c:ser>
        <c:ser>
          <c:idx val="6"/>
          <c:order val="6"/>
          <c:tx>
            <c:strRef>
              <c:f>DTE_cost_per_minute_forecast!$B$101</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DTE_cost_per_minute_forecast!$C$101:$L$101</c:f>
              <c:numCache>
                <c:formatCode>_(* #,##0_);_(* \(#,##0\);_(* "-"??_);_(@_)</c:formatCode>
                <c:ptCount val="10"/>
                <c:pt idx="0">
                  <c:v>15811.718060188532</c:v>
                </c:pt>
                <c:pt idx="1">
                  <c:v>19383.945588645951</c:v>
                </c:pt>
                <c:pt idx="2">
                  <c:v>22302.046995289562</c:v>
                </c:pt>
                <c:pt idx="3">
                  <c:v>25944.050939076937</c:v>
                </c:pt>
                <c:pt idx="4">
                  <c:v>36000.286027503396</c:v>
                </c:pt>
                <c:pt idx="5">
                  <c:v>39904.806029428328</c:v>
                </c:pt>
                <c:pt idx="6">
                  <c:v>43956.082127977323</c:v>
                </c:pt>
                <c:pt idx="7">
                  <c:v>48158.422759014582</c:v>
                </c:pt>
                <c:pt idx="8">
                  <c:v>52516.249993400219</c:v>
                </c:pt>
                <c:pt idx="9">
                  <c:v>57034.102359015764</c:v>
                </c:pt>
              </c:numCache>
            </c:numRef>
          </c:val>
          <c:extLst>
            <c:ext xmlns:c16="http://schemas.microsoft.com/office/drawing/2014/chart" uri="{C3380CC4-5D6E-409C-BE32-E72D297353CC}">
              <c16:uniqueId val="{00000006-E1A1-40C2-BE3D-97C5E4D433B9}"/>
            </c:ext>
          </c:extLst>
        </c:ser>
        <c:ser>
          <c:idx val="7"/>
          <c:order val="7"/>
          <c:tx>
            <c:strRef>
              <c:f>DTE_cost_per_minute_forecast!$B$102</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DTE_cost_per_minute_forecast!$C$102:$L$102</c:f>
              <c:numCache>
                <c:formatCode>_(* #,##0_);_(* \(#,##0\);_(* "-"??_);_(@_)</c:formatCode>
                <c:ptCount val="10"/>
                <c:pt idx="0">
                  <c:v>1014905.4629114859</c:v>
                </c:pt>
                <c:pt idx="1">
                  <c:v>2043087.5530773932</c:v>
                </c:pt>
                <c:pt idx="2">
                  <c:v>2308517.4737144578</c:v>
                </c:pt>
                <c:pt idx="3">
                  <c:v>2584698.9547207118</c:v>
                </c:pt>
                <c:pt idx="4">
                  <c:v>2871250.5746907471</c:v>
                </c:pt>
                <c:pt idx="5">
                  <c:v>4008318.720235242</c:v>
                </c:pt>
                <c:pt idx="6">
                  <c:v>4333704.4707187479</c:v>
                </c:pt>
                <c:pt idx="7">
                  <c:v>4670810.9225809267</c:v>
                </c:pt>
                <c:pt idx="8">
                  <c:v>5019976.7495767307</c:v>
                </c:pt>
                <c:pt idx="9">
                  <c:v>5381549.4841307634</c:v>
                </c:pt>
              </c:numCache>
            </c:numRef>
          </c:val>
          <c:extLst>
            <c:ext xmlns:c16="http://schemas.microsoft.com/office/drawing/2014/chart" uri="{C3380CC4-5D6E-409C-BE32-E72D297353CC}">
              <c16:uniqueId val="{00000007-E1A1-40C2-BE3D-97C5E4D433B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(40%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DTE_cost_per_minute_forecast!$B$57</c:f>
              <c:strCache>
                <c:ptCount val="1"/>
                <c:pt idx="0">
                  <c:v>Low Demand</c:v>
                </c:pt>
              </c:strCache>
            </c:strRef>
          </c:tx>
          <c:spPr>
            <a:ln w="28575" cap="rnd">
              <a:solidFill>
                <a:schemeClr val="accent1"/>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DTE_cost_per_minute_forecast!$C$67:$L$67</c:f>
              <c:numCache>
                <c:formatCode>_(* #,##0_);_(* \(#,##0\);_(* "-"??_);_(@_)</c:formatCode>
                <c:ptCount val="10"/>
                <c:pt idx="0">
                  <c:v>15476988.53901137</c:v>
                </c:pt>
                <c:pt idx="1">
                  <c:v>14762217.997644184</c:v>
                </c:pt>
                <c:pt idx="2">
                  <c:v>14097120.96989591</c:v>
                </c:pt>
                <c:pt idx="3">
                  <c:v>12967308.536216229</c:v>
                </c:pt>
                <c:pt idx="4">
                  <c:v>14172237.938190587</c:v>
                </c:pt>
                <c:pt idx="5">
                  <c:v>15096415.281383539</c:v>
                </c:pt>
                <c:pt idx="6">
                  <c:v>15261603.717895063</c:v>
                </c:pt>
                <c:pt idx="7">
                  <c:v>16346355.512136767</c:v>
                </c:pt>
                <c:pt idx="8">
                  <c:v>16966795.844766177</c:v>
                </c:pt>
                <c:pt idx="9">
                  <c:v>17608266.493534211</c:v>
                </c:pt>
              </c:numCache>
            </c:numRef>
          </c:val>
          <c:smooth val="0"/>
          <c:extLst>
            <c:ext xmlns:c16="http://schemas.microsoft.com/office/drawing/2014/chart" uri="{C3380CC4-5D6E-409C-BE32-E72D297353CC}">
              <c16:uniqueId val="{00000000-AEFA-43DD-933F-EB4822BEAAEA}"/>
            </c:ext>
          </c:extLst>
        </c:ser>
        <c:ser>
          <c:idx val="1"/>
          <c:order val="1"/>
          <c:tx>
            <c:strRef>
              <c:f>DTE_cost_per_minute_forecast!$B$75</c:f>
              <c:strCache>
                <c:ptCount val="1"/>
                <c:pt idx="0">
                  <c:v>Baseline Demand</c:v>
                </c:pt>
              </c:strCache>
            </c:strRef>
          </c:tx>
          <c:spPr>
            <a:ln w="28575" cap="rnd">
              <a:solidFill>
                <a:schemeClr val="accent2"/>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DTE_cost_per_minute_forecast!$C$85:$L$85</c:f>
              <c:numCache>
                <c:formatCode>_(* #,##0_);_(* \(#,##0\);_(* "-"??_);_(@_)</c:formatCode>
                <c:ptCount val="10"/>
                <c:pt idx="0">
                  <c:v>16187382.338249844</c:v>
                </c:pt>
                <c:pt idx="1">
                  <c:v>16192755.977893863</c:v>
                </c:pt>
                <c:pt idx="2">
                  <c:v>16213426.006367564</c:v>
                </c:pt>
                <c:pt idx="3">
                  <c:v>15988203.43413482</c:v>
                </c:pt>
                <c:pt idx="4">
                  <c:v>18023878.933036793</c:v>
                </c:pt>
                <c:pt idx="5">
                  <c:v>19810823.859075293</c:v>
                </c:pt>
                <c:pt idx="6">
                  <c:v>20871749.925348252</c:v>
                </c:pt>
                <c:pt idx="7">
                  <c:v>22886183.091110766</c:v>
                </c:pt>
                <c:pt idx="8">
                  <c:v>24471247.991638839</c:v>
                </c:pt>
                <c:pt idx="9">
                  <c:v>26113312.259989895</c:v>
                </c:pt>
              </c:numCache>
            </c:numRef>
          </c:val>
          <c:smooth val="0"/>
          <c:extLst>
            <c:ext xmlns:c16="http://schemas.microsoft.com/office/drawing/2014/chart" uri="{C3380CC4-5D6E-409C-BE32-E72D297353CC}">
              <c16:uniqueId val="{00000001-AEFA-43DD-933F-EB4822BEAAEA}"/>
            </c:ext>
          </c:extLst>
        </c:ser>
        <c:ser>
          <c:idx val="2"/>
          <c:order val="2"/>
          <c:tx>
            <c:strRef>
              <c:f>DTE_cost_per_minute_forecast!$B$93</c:f>
              <c:strCache>
                <c:ptCount val="1"/>
                <c:pt idx="0">
                  <c:v>High Demand</c:v>
                </c:pt>
              </c:strCache>
            </c:strRef>
          </c:tx>
          <c:spPr>
            <a:ln w="28575" cap="rnd">
              <a:solidFill>
                <a:schemeClr val="accent3"/>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DTE_cost_per_minute_forecast!$C$103:$L$103</c:f>
              <c:numCache>
                <c:formatCode>_(* #,##0_);_(* \(#,##0\);_(* "-"??_);_(@_)</c:formatCode>
                <c:ptCount val="10"/>
                <c:pt idx="0">
                  <c:v>16751027.229596389</c:v>
                </c:pt>
                <c:pt idx="1">
                  <c:v>17323926.186044008</c:v>
                </c:pt>
                <c:pt idx="2">
                  <c:v>17871698.351526923</c:v>
                </c:pt>
                <c:pt idx="3">
                  <c:v>18386173.871868696</c:v>
                </c:pt>
                <c:pt idx="4">
                  <c:v>21081291.241147477</c:v>
                </c:pt>
                <c:pt idx="5">
                  <c:v>23553096.524202779</c:v>
                </c:pt>
                <c:pt idx="6">
                  <c:v>25325054.396849953</c:v>
                </c:pt>
                <c:pt idx="7">
                  <c:v>28077463.732175611</c:v>
                </c:pt>
                <c:pt idx="8">
                  <c:v>30428242.527260751</c:v>
                </c:pt>
                <c:pt idx="9">
                  <c:v>32864572.733694732</c:v>
                </c:pt>
              </c:numCache>
            </c:numRef>
          </c:val>
          <c:smooth val="0"/>
          <c:extLst>
            <c:ext xmlns:c16="http://schemas.microsoft.com/office/drawing/2014/chart" uri="{C3380CC4-5D6E-409C-BE32-E72D297353CC}">
              <c16:uniqueId val="{00000002-AEFA-43DD-933F-EB4822BEAAEA}"/>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 (60% profit margin)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DTE_cost_per_minute_forecast!$B$115</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DTE_cost_per_minute_forecast!$C$115:$L$115</c:f>
              <c:numCache>
                <c:formatCode>_(* #,##0_);_(* \(#,##0\);_(* "-"??_);_(@_)</c:formatCode>
                <c:ptCount val="10"/>
                <c:pt idx="0">
                  <c:v>7021671.6818302013</c:v>
                </c:pt>
                <c:pt idx="1">
                  <c:v>7194861.115476721</c:v>
                </c:pt>
                <c:pt idx="2">
                  <c:v>7365402.1293783356</c:v>
                </c:pt>
                <c:pt idx="3">
                  <c:v>7567306.3165373495</c:v>
                </c:pt>
                <c:pt idx="4">
                  <c:v>7764715.6310772337</c:v>
                </c:pt>
                <c:pt idx="5">
                  <c:v>7969734.177377563</c:v>
                </c:pt>
                <c:pt idx="6">
                  <c:v>8182587.3609829415</c:v>
                </c:pt>
                <c:pt idx="7">
                  <c:v>8403506.5599670485</c:v>
                </c:pt>
                <c:pt idx="8">
                  <c:v>8632729.2736715954</c:v>
                </c:pt>
                <c:pt idx="9">
                  <c:v>8870499.2750058006</c:v>
                </c:pt>
              </c:numCache>
            </c:numRef>
          </c:val>
          <c:extLst>
            <c:ext xmlns:c16="http://schemas.microsoft.com/office/drawing/2014/chart" uri="{C3380CC4-5D6E-409C-BE32-E72D297353CC}">
              <c16:uniqueId val="{00000000-0B15-476B-8048-F73F64A147AD}"/>
            </c:ext>
          </c:extLst>
        </c:ser>
        <c:ser>
          <c:idx val="1"/>
          <c:order val="1"/>
          <c:tx>
            <c:strRef>
              <c:f>DTE_cost_per_minute_forecast!$B$116</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DTE_cost_per_minute_forecast!$C$116:$L$116</c:f>
              <c:numCache>
                <c:formatCode>_(* #,##0_);_(* \(#,##0\);_(* "-"??_);_(@_)</c:formatCode>
                <c:ptCount val="10"/>
                <c:pt idx="0">
                  <c:v>9512744.7088295165</c:v>
                </c:pt>
                <c:pt idx="1">
                  <c:v>7524527.9609364029</c:v>
                </c:pt>
                <c:pt idx="2">
                  <c:v>6453495.7236459423</c:v>
                </c:pt>
                <c:pt idx="3">
                  <c:v>4834621.6125358902</c:v>
                </c:pt>
                <c:pt idx="4">
                  <c:v>5876915.8882276732</c:v>
                </c:pt>
                <c:pt idx="5">
                  <c:v>5633557.9031023001</c:v>
                </c:pt>
                <c:pt idx="6">
                  <c:v>5450455.0546646351</c:v>
                </c:pt>
                <c:pt idx="7">
                  <c:v>6304922.0597086037</c:v>
                </c:pt>
                <c:pt idx="8">
                  <c:v>6615002.0640533268</c:v>
                </c:pt>
                <c:pt idx="9">
                  <c:v>6934975.6716495175</c:v>
                </c:pt>
              </c:numCache>
            </c:numRef>
          </c:val>
          <c:extLst>
            <c:ext xmlns:c16="http://schemas.microsoft.com/office/drawing/2014/chart" uri="{C3380CC4-5D6E-409C-BE32-E72D297353CC}">
              <c16:uniqueId val="{00000001-0B15-476B-8048-F73F64A147AD}"/>
            </c:ext>
          </c:extLst>
        </c:ser>
        <c:ser>
          <c:idx val="2"/>
          <c:order val="2"/>
          <c:tx>
            <c:strRef>
              <c:f>DTE_cost_per_minute_forecast!$B$117</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DTE_cost_per_minute_forecast!$C$117:$L$117</c:f>
              <c:numCache>
                <c:formatCode>_(* #,##0_);_(* \(#,##0\);_(* "-"??_);_(@_)</c:formatCode>
                <c:ptCount val="10"/>
                <c:pt idx="0">
                  <c:v>154082.5360401127</c:v>
                </c:pt>
                <c:pt idx="1">
                  <c:v>158694.93814271197</c:v>
                </c:pt>
                <c:pt idx="2">
                  <c:v>185358.46724569571</c:v>
                </c:pt>
                <c:pt idx="3">
                  <c:v>191855.59182336123</c:v>
                </c:pt>
                <c:pt idx="4">
                  <c:v>198572.21385297491</c:v>
                </c:pt>
                <c:pt idx="5">
                  <c:v>205514.51438278364</c:v>
                </c:pt>
                <c:pt idx="6">
                  <c:v>212688.83390398332</c:v>
                </c:pt>
                <c:pt idx="7">
                  <c:v>220101.67625601761</c:v>
                </c:pt>
                <c:pt idx="8">
                  <c:v>227759.71262431162</c:v>
                </c:pt>
                <c:pt idx="9">
                  <c:v>235669.78563257476</c:v>
                </c:pt>
              </c:numCache>
            </c:numRef>
          </c:val>
          <c:extLst>
            <c:ext xmlns:c16="http://schemas.microsoft.com/office/drawing/2014/chart" uri="{C3380CC4-5D6E-409C-BE32-E72D297353CC}">
              <c16:uniqueId val="{00000002-0B15-476B-8048-F73F64A147AD}"/>
            </c:ext>
          </c:extLst>
        </c:ser>
        <c:ser>
          <c:idx val="3"/>
          <c:order val="3"/>
          <c:tx>
            <c:strRef>
              <c:f>DTE_cost_per_minute_forecast!$B$118</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DTE_cost_per_minute_forecast!$C$118:$L$118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B15-476B-8048-F73F64A147AD}"/>
            </c:ext>
          </c:extLst>
        </c:ser>
        <c:ser>
          <c:idx val="4"/>
          <c:order val="4"/>
          <c:tx>
            <c:strRef>
              <c:f>DTE_cost_per_minute_forecast!$B$119</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DTE_cost_per_minute_forecast!$C$119:$L$119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B15-476B-8048-F73F64A147AD}"/>
            </c:ext>
          </c:extLst>
        </c:ser>
        <c:ser>
          <c:idx val="5"/>
          <c:order val="5"/>
          <c:tx>
            <c:strRef>
              <c:f>DTE_cost_per_minute_forecast!$B$120</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DTE_cost_per_minute_forecast!$C$120:$L$120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B15-476B-8048-F73F64A147AD}"/>
            </c:ext>
          </c:extLst>
        </c:ser>
        <c:ser>
          <c:idx val="6"/>
          <c:order val="6"/>
          <c:tx>
            <c:strRef>
              <c:f>DTE_cost_per_minute_forecast!$B$121</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DTE_cost_per_minute_forecast!$C$121:$L$121</c:f>
              <c:numCache>
                <c:formatCode>_(* #,##0_);_(* \(#,##0\);_(* "-"??_);_(@_)</c:formatCode>
                <c:ptCount val="10"/>
                <c:pt idx="0">
                  <c:v>15938.215943895839</c:v>
                </c:pt>
                <c:pt idx="1">
                  <c:v>17803.149949389044</c:v>
                </c:pt>
                <c:pt idx="2">
                  <c:v>18832.659702178105</c:v>
                </c:pt>
                <c:pt idx="3">
                  <c:v>20599.008081228658</c:v>
                </c:pt>
                <c:pt idx="4">
                  <c:v>29602.730823772599</c:v>
                </c:pt>
                <c:pt idx="5">
                  <c:v>31479.977878885271</c:v>
                </c:pt>
                <c:pt idx="6">
                  <c:v>33426.159907825036</c:v>
                </c:pt>
                <c:pt idx="7">
                  <c:v>35443.283410722914</c:v>
                </c:pt>
                <c:pt idx="8">
                  <c:v>37533.407573725679</c:v>
                </c:pt>
                <c:pt idx="9">
                  <c:v>39698.645573836358</c:v>
                </c:pt>
              </c:numCache>
            </c:numRef>
          </c:val>
          <c:extLst>
            <c:ext xmlns:c16="http://schemas.microsoft.com/office/drawing/2014/chart" uri="{C3380CC4-5D6E-409C-BE32-E72D297353CC}">
              <c16:uniqueId val="{00000006-0B15-476B-8048-F73F64A147AD}"/>
            </c:ext>
          </c:extLst>
        </c:ser>
        <c:ser>
          <c:idx val="7"/>
          <c:order val="7"/>
          <c:tx>
            <c:strRef>
              <c:f>DTE_cost_per_minute_forecast!$B$122</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DTE_cost_per_minute_forecast!$C$122:$L$122</c:f>
              <c:numCache>
                <c:formatCode>_(* #,##0_);_(* \(#,##0\);_(* "-"??_);_(@_)</c:formatCode>
                <c:ptCount val="10"/>
                <c:pt idx="0">
                  <c:v>983549.75908355881</c:v>
                </c:pt>
                <c:pt idx="1">
                  <c:v>1975219.1185167022</c:v>
                </c:pt>
                <c:pt idx="2">
                  <c:v>2087906.4141946074</c:v>
                </c:pt>
                <c:pt idx="3">
                  <c:v>2205398.6552692931</c:v>
                </c:pt>
                <c:pt idx="4">
                  <c:v>2327036.8939504512</c:v>
                </c:pt>
                <c:pt idx="5">
                  <c:v>3412759.4631253728</c:v>
                </c:pt>
                <c:pt idx="6">
                  <c:v>3562675.4109921195</c:v>
                </c:pt>
                <c:pt idx="7">
                  <c:v>3717575.5773853436</c:v>
                </c:pt>
                <c:pt idx="8">
                  <c:v>3877599.3646669602</c:v>
                </c:pt>
                <c:pt idx="9">
                  <c:v>4042889.7576059462</c:v>
                </c:pt>
              </c:numCache>
            </c:numRef>
          </c:val>
          <c:extLst>
            <c:ext xmlns:c16="http://schemas.microsoft.com/office/drawing/2014/chart" uri="{C3380CC4-5D6E-409C-BE32-E72D297353CC}">
              <c16:uniqueId val="{00000007-0B15-476B-8048-F73F64A147A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DTE_cost_per_minute_forecast!$B$133</c:f>
              <c:strCache>
                <c:ptCount val="1"/>
                <c:pt idx="0">
                  <c:v>Human Space Flight</c:v>
                </c:pt>
              </c:strCache>
            </c:strRef>
          </c:tx>
          <c:spPr>
            <a:solidFill>
              <a:schemeClr val="accent1"/>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DTE_cost_per_minute_forecast!$C$133:$L$133</c:f>
              <c:numCache>
                <c:formatCode>_(* #,##0_);_(* \(#,##0\);_(* "-"??_);_(@_)</c:formatCode>
                <c:ptCount val="10"/>
                <c:pt idx="0">
                  <c:v>7529007.6985717136</c:v>
                </c:pt>
                <c:pt idx="1">
                  <c:v>8229826.5896294061</c:v>
                </c:pt>
                <c:pt idx="2">
                  <c:v>8948899.3048319444</c:v>
                </c:pt>
                <c:pt idx="3">
                  <c:v>9720862.4751542602</c:v>
                </c:pt>
                <c:pt idx="4">
                  <c:v>10510499.733313793</c:v>
                </c:pt>
                <c:pt idx="5">
                  <c:v>11330573.91851511</c:v>
                </c:pt>
                <c:pt idx="6">
                  <c:v>12181986.652936624</c:v>
                </c:pt>
                <c:pt idx="7">
                  <c:v>13065663.448873054</c:v>
                </c:pt>
                <c:pt idx="8">
                  <c:v>13982554.303691234</c:v>
                </c:pt>
                <c:pt idx="9">
                  <c:v>14933634.309028061</c:v>
                </c:pt>
              </c:numCache>
            </c:numRef>
          </c:val>
          <c:extLst>
            <c:ext xmlns:c16="http://schemas.microsoft.com/office/drawing/2014/chart" uri="{C3380CC4-5D6E-409C-BE32-E72D297353CC}">
              <c16:uniqueId val="{00000000-F26D-4828-842B-671635C6429C}"/>
            </c:ext>
          </c:extLst>
        </c:ser>
        <c:ser>
          <c:idx val="1"/>
          <c:order val="1"/>
          <c:tx>
            <c:strRef>
              <c:f>DTE_cost_per_minute_forecast!$B$134</c:f>
              <c:strCache>
                <c:ptCount val="1"/>
                <c:pt idx="0">
                  <c:v>Near Earth Robotic - LEO Science</c:v>
                </c:pt>
              </c:strCache>
            </c:strRef>
          </c:tx>
          <c:spPr>
            <a:solidFill>
              <a:schemeClr val="accent2"/>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DTE_cost_per_minute_forecast!$C$134:$L$134</c:f>
              <c:numCache>
                <c:formatCode>_(* #,##0_);_(* \(#,##0\);_(* "-"??_);_(@_)</c:formatCode>
                <c:ptCount val="10"/>
                <c:pt idx="0">
                  <c:v>9721365.4515850954</c:v>
                </c:pt>
                <c:pt idx="1">
                  <c:v>7928782.4245042894</c:v>
                </c:pt>
                <c:pt idx="2">
                  <c:v>6989241.5405501137</c:v>
                </c:pt>
                <c:pt idx="3">
                  <c:v>5726344.5501737259</c:v>
                </c:pt>
                <c:pt idx="4">
                  <c:v>7013862.6337159127</c:v>
                </c:pt>
                <c:pt idx="5">
                  <c:v>7025180.7195799071</c:v>
                </c:pt>
                <c:pt idx="6">
                  <c:v>7106486.2062729886</c:v>
                </c:pt>
                <c:pt idx="7">
                  <c:v>8235381.2307263399</c:v>
                </c:pt>
                <c:pt idx="8">
                  <c:v>8830203.9627961796</c:v>
                </c:pt>
                <c:pt idx="9">
                  <c:v>9445537.8235580828</c:v>
                </c:pt>
              </c:numCache>
            </c:numRef>
          </c:val>
          <c:extLst>
            <c:ext xmlns:c16="http://schemas.microsoft.com/office/drawing/2014/chart" uri="{C3380CC4-5D6E-409C-BE32-E72D297353CC}">
              <c16:uniqueId val="{00000001-F26D-4828-842B-671635C6429C}"/>
            </c:ext>
          </c:extLst>
        </c:ser>
        <c:ser>
          <c:idx val="2"/>
          <c:order val="2"/>
          <c:tx>
            <c:strRef>
              <c:f>DTE_cost_per_minute_forecast!$B$135</c:f>
              <c:strCache>
                <c:ptCount val="1"/>
                <c:pt idx="0">
                  <c:v>Near Earth Robotic - GEO and Near Earth</c:v>
                </c:pt>
              </c:strCache>
            </c:strRef>
          </c:tx>
          <c:spPr>
            <a:solidFill>
              <a:schemeClr val="accent3"/>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DTE_cost_per_minute_forecast!$C$135:$L$135</c:f>
              <c:numCache>
                <c:formatCode>_(* #,##0_);_(* \(#,##0\);_(* "-"??_);_(@_)</c:formatCode>
                <c:ptCount val="10"/>
                <c:pt idx="0">
                  <c:v>160411.75899132839</c:v>
                </c:pt>
                <c:pt idx="1">
                  <c:v>171606.55296319196</c:v>
                </c:pt>
                <c:pt idx="2">
                  <c:v>205113.23792103006</c:v>
                </c:pt>
                <c:pt idx="3">
                  <c:v>218722.07994181593</c:v>
                </c:pt>
                <c:pt idx="4">
                  <c:v>232826.98620400467</c:v>
                </c:pt>
                <c:pt idx="5">
                  <c:v>247442.35574044409</c:v>
                </c:pt>
                <c:pt idx="6">
                  <c:v>262582.96511959925</c:v>
                </c:pt>
                <c:pt idx="7">
                  <c:v>278263.97778736422</c:v>
                </c:pt>
                <c:pt idx="8">
                  <c:v>294500.9536315318</c:v>
                </c:pt>
                <c:pt idx="9">
                  <c:v>311309.85877409094</c:v>
                </c:pt>
              </c:numCache>
            </c:numRef>
          </c:val>
          <c:extLst>
            <c:ext xmlns:c16="http://schemas.microsoft.com/office/drawing/2014/chart" uri="{C3380CC4-5D6E-409C-BE32-E72D297353CC}">
              <c16:uniqueId val="{00000002-F26D-4828-842B-671635C6429C}"/>
            </c:ext>
          </c:extLst>
        </c:ser>
        <c:ser>
          <c:idx val="3"/>
          <c:order val="3"/>
          <c:tx>
            <c:strRef>
              <c:f>DTE_cost_per_minute_forecast!$B$136</c:f>
              <c:strCache>
                <c:ptCount val="1"/>
                <c:pt idx="0">
                  <c:v>Deep Space Robotic</c:v>
                </c:pt>
              </c:strCache>
            </c:strRef>
          </c:tx>
          <c:spPr>
            <a:solidFill>
              <a:schemeClr val="accent4"/>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DTE_cost_per_minute_forecast!$C$136:$L$136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26D-4828-842B-671635C6429C}"/>
            </c:ext>
          </c:extLst>
        </c:ser>
        <c:ser>
          <c:idx val="4"/>
          <c:order val="4"/>
          <c:tx>
            <c:strRef>
              <c:f>DTE_cost_per_minute_forecast!$B$137</c:f>
              <c:strCache>
                <c:ptCount val="1"/>
                <c:pt idx="0">
                  <c:v>Near Earth Robotic - Low Latency &amp; Complex Needs</c:v>
                </c:pt>
              </c:strCache>
            </c:strRef>
          </c:tx>
          <c:spPr>
            <a:solidFill>
              <a:schemeClr val="accent5"/>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DTE_cost_per_minute_forecast!$C$137:$L$137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26D-4828-842B-671635C6429C}"/>
            </c:ext>
          </c:extLst>
        </c:ser>
        <c:ser>
          <c:idx val="5"/>
          <c:order val="5"/>
          <c:tx>
            <c:strRef>
              <c:f>DTE_cost_per_minute_forecast!$B$138</c:f>
              <c:strCache>
                <c:ptCount val="1"/>
                <c:pt idx="0">
                  <c:v>Mission Operations</c:v>
                </c:pt>
              </c:strCache>
            </c:strRef>
          </c:tx>
          <c:spPr>
            <a:solidFill>
              <a:schemeClr val="accent6"/>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DTE_cost_per_minute_forecast!$C$138:$L$138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26D-4828-842B-671635C6429C}"/>
            </c:ext>
          </c:extLst>
        </c:ser>
        <c:ser>
          <c:idx val="6"/>
          <c:order val="6"/>
          <c:tx>
            <c:strRef>
              <c:f>DTE_cost_per_minute_forecast!$B$139</c:f>
              <c:strCache>
                <c:ptCount val="1"/>
                <c:pt idx="0">
                  <c:v>Launch Events</c:v>
                </c:pt>
              </c:strCache>
            </c:strRef>
          </c:tx>
          <c:spPr>
            <a:solidFill>
              <a:schemeClr val="accent1">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DTE_cost_per_minute_forecast!$C$139:$L$139</c:f>
              <c:numCache>
                <c:formatCode>_(* #,##0_);_(* \(#,##0\);_(* "-"??_);_(@_)</c:formatCode>
                <c:ptCount val="10"/>
                <c:pt idx="0">
                  <c:v>17359.761931918449</c:v>
                </c:pt>
                <c:pt idx="1">
                  <c:v>20703.103764955169</c:v>
                </c:pt>
                <c:pt idx="2">
                  <c:v>23269.58903999428</c:v>
                </c:pt>
                <c:pt idx="3">
                  <c:v>26633.231980658649</c:v>
                </c:pt>
                <c:pt idx="4">
                  <c:v>37296.366295545842</c:v>
                </c:pt>
                <c:pt idx="5">
                  <c:v>40896.987696335724</c:v>
                </c:pt>
                <c:pt idx="6">
                  <c:v>44632.401590591071</c:v>
                </c:pt>
                <c:pt idx="7">
                  <c:v>48506.559429490175</c:v>
                </c:pt>
                <c:pt idx="8">
                  <c:v>52523.516805261119</c:v>
                </c:pt>
                <c:pt idx="9">
                  <c:v>56687.436036243191</c:v>
                </c:pt>
              </c:numCache>
            </c:numRef>
          </c:val>
          <c:extLst>
            <c:ext xmlns:c16="http://schemas.microsoft.com/office/drawing/2014/chart" uri="{C3380CC4-5D6E-409C-BE32-E72D297353CC}">
              <c16:uniqueId val="{00000006-F26D-4828-842B-671635C6429C}"/>
            </c:ext>
          </c:extLst>
        </c:ser>
        <c:ser>
          <c:idx val="7"/>
          <c:order val="7"/>
          <c:tx>
            <c:strRef>
              <c:f>DTE_cost_per_minute_forecast!$B$140</c:f>
              <c:strCache>
                <c:ptCount val="1"/>
                <c:pt idx="0">
                  <c:v>Terrestrial &amp; Aerial</c:v>
                </c:pt>
              </c:strCache>
            </c:strRef>
          </c:tx>
          <c:spPr>
            <a:solidFill>
              <a:schemeClr val="accent2">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DTE_cost_per_minute_forecast!$C$140:$L$140</c:f>
              <c:numCache>
                <c:formatCode>_(* #,##0_);_(* \(#,##0\);_(* "-"??_);_(@_)</c:formatCode>
                <c:ptCount val="10"/>
                <c:pt idx="0">
                  <c:v>1071720.8583483431</c:v>
                </c:pt>
                <c:pt idx="1">
                  <c:v>2155088.1610168614</c:v>
                </c:pt>
                <c:pt idx="2">
                  <c:v>2363106.0492198518</c:v>
                </c:pt>
                <c:pt idx="3">
                  <c:v>2579670.1589036253</c:v>
                </c:pt>
                <c:pt idx="4">
                  <c:v>2804233.0610842244</c:v>
                </c:pt>
                <c:pt idx="5">
                  <c:v>3996847.5716971117</c:v>
                </c:pt>
                <c:pt idx="6">
                  <c:v>4257740.2601924874</c:v>
                </c:pt>
                <c:pt idx="7">
                  <c:v>4527822.6015960583</c:v>
                </c:pt>
                <c:pt idx="8">
                  <c:v>4807357.8249487551</c:v>
                </c:pt>
                <c:pt idx="9">
                  <c:v>5096616.0125919813</c:v>
                </c:pt>
              </c:numCache>
            </c:numRef>
          </c:val>
          <c:extLst>
            <c:ext xmlns:c16="http://schemas.microsoft.com/office/drawing/2014/chart" uri="{C3380CC4-5D6E-409C-BE32-E72D297353CC}">
              <c16:uniqueId val="{00000007-F26D-4828-842B-671635C6429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DTE_cost_per_minute_forecast!$B$151</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DTE_cost_per_minute_forecast!$C$151:$L$151</c:f>
              <c:numCache>
                <c:formatCode>_(* #,##0_);_(* \(#,##0\);_(* "-"??_);_(@_)</c:formatCode>
                <c:ptCount val="10"/>
                <c:pt idx="0">
                  <c:v>7867231.7097327225</c:v>
                </c:pt>
                <c:pt idx="1">
                  <c:v>8919803.5723978635</c:v>
                </c:pt>
                <c:pt idx="2">
                  <c:v>10004564.088467684</c:v>
                </c:pt>
                <c:pt idx="3">
                  <c:v>11156566.580898866</c:v>
                </c:pt>
                <c:pt idx="4">
                  <c:v>12341022.468138164</c:v>
                </c:pt>
                <c:pt idx="5">
                  <c:v>13571133.745940145</c:v>
                </c:pt>
                <c:pt idx="6">
                  <c:v>14848252.847572412</c:v>
                </c:pt>
                <c:pt idx="7">
                  <c:v>16173768.041477058</c:v>
                </c:pt>
                <c:pt idx="8">
                  <c:v>17549104.323704332</c:v>
                </c:pt>
                <c:pt idx="9">
                  <c:v>18975724.331709567</c:v>
                </c:pt>
              </c:numCache>
            </c:numRef>
          </c:val>
          <c:extLst>
            <c:ext xmlns:c16="http://schemas.microsoft.com/office/drawing/2014/chart" uri="{C3380CC4-5D6E-409C-BE32-E72D297353CC}">
              <c16:uniqueId val="{00000000-4ED4-4BD7-B885-4399B7DE745E}"/>
            </c:ext>
          </c:extLst>
        </c:ser>
        <c:ser>
          <c:idx val="1"/>
          <c:order val="1"/>
          <c:tx>
            <c:strRef>
              <c:f>DTE_cost_per_minute_forecast!$B$152</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DTE_cost_per_minute_forecast!$C$152:$L$152</c:f>
              <c:numCache>
                <c:formatCode>_(* #,##0_);_(* \(#,##0\);_(* "-"??_);_(@_)</c:formatCode>
                <c:ptCount val="10"/>
                <c:pt idx="0">
                  <c:v>9929986.1943406742</c:v>
                </c:pt>
                <c:pt idx="1">
                  <c:v>8333036.8880721759</c:v>
                </c:pt>
                <c:pt idx="2">
                  <c:v>7524987.357454285</c:v>
                </c:pt>
                <c:pt idx="3">
                  <c:v>6618067.4878115626</c:v>
                </c:pt>
                <c:pt idx="4">
                  <c:v>8150809.379204154</c:v>
                </c:pt>
                <c:pt idx="5">
                  <c:v>8416803.5360575151</c:v>
                </c:pt>
                <c:pt idx="6">
                  <c:v>8762517.3578813393</c:v>
                </c:pt>
                <c:pt idx="7">
                  <c:v>10165840.401744073</c:v>
                </c:pt>
                <c:pt idx="8">
                  <c:v>11045405.861539032</c:v>
                </c:pt>
                <c:pt idx="9">
                  <c:v>11956099.975466648</c:v>
                </c:pt>
              </c:numCache>
            </c:numRef>
          </c:val>
          <c:extLst>
            <c:ext xmlns:c16="http://schemas.microsoft.com/office/drawing/2014/chart" uri="{C3380CC4-5D6E-409C-BE32-E72D297353CC}">
              <c16:uniqueId val="{00000001-4ED4-4BD7-B885-4399B7DE745E}"/>
            </c:ext>
          </c:extLst>
        </c:ser>
        <c:ser>
          <c:idx val="2"/>
          <c:order val="2"/>
          <c:tx>
            <c:strRef>
              <c:f>DTE_cost_per_minute_forecast!$B$153</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DTE_cost_per_minute_forecast!$C$153:$L$153</c:f>
              <c:numCache>
                <c:formatCode>_(* #,##0_);_(* \(#,##0\);_(* "-"??_);_(@_)</c:formatCode>
                <c:ptCount val="10"/>
                <c:pt idx="0">
                  <c:v>168850.72292628259</c:v>
                </c:pt>
                <c:pt idx="1">
                  <c:v>188822.0393904986</c:v>
                </c:pt>
                <c:pt idx="2">
                  <c:v>231452.93215480921</c:v>
                </c:pt>
                <c:pt idx="3">
                  <c:v>254544.06409975557</c:v>
                </c:pt>
                <c:pt idx="4">
                  <c:v>278500.01600537769</c:v>
                </c:pt>
                <c:pt idx="5">
                  <c:v>303346.14421732468</c:v>
                </c:pt>
                <c:pt idx="6">
                  <c:v>329108.47340708715</c:v>
                </c:pt>
                <c:pt idx="7">
                  <c:v>355813.71316249296</c:v>
                </c:pt>
                <c:pt idx="8">
                  <c:v>383489.27497449215</c:v>
                </c:pt>
                <c:pt idx="9">
                  <c:v>412163.28962944599</c:v>
                </c:pt>
              </c:numCache>
            </c:numRef>
          </c:val>
          <c:extLst>
            <c:ext xmlns:c16="http://schemas.microsoft.com/office/drawing/2014/chart" uri="{C3380CC4-5D6E-409C-BE32-E72D297353CC}">
              <c16:uniqueId val="{00000002-4ED4-4BD7-B885-4399B7DE745E}"/>
            </c:ext>
          </c:extLst>
        </c:ser>
        <c:ser>
          <c:idx val="3"/>
          <c:order val="3"/>
          <c:tx>
            <c:strRef>
              <c:f>DTE_cost_per_minute_forecast!$B$154</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DTE_cost_per_minute_forecast!$C$154:$L$154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ED4-4BD7-B885-4399B7DE745E}"/>
            </c:ext>
          </c:extLst>
        </c:ser>
        <c:ser>
          <c:idx val="4"/>
          <c:order val="4"/>
          <c:tx>
            <c:strRef>
              <c:f>DTE_cost_per_minute_forecast!$B$155</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DTE_cost_per_minute_forecast!$C$155:$L$155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4ED4-4BD7-B885-4399B7DE745E}"/>
            </c:ext>
          </c:extLst>
        </c:ser>
        <c:ser>
          <c:idx val="5"/>
          <c:order val="5"/>
          <c:tx>
            <c:strRef>
              <c:f>DTE_cost_per_minute_forecast!$B$156</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DTE_cost_per_minute_forecast!$C$156:$L$156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ED4-4BD7-B885-4399B7DE745E}"/>
            </c:ext>
          </c:extLst>
        </c:ser>
        <c:ser>
          <c:idx val="6"/>
          <c:order val="6"/>
          <c:tx>
            <c:strRef>
              <c:f>DTE_cost_per_minute_forecast!$B$157</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DTE_cost_per_minute_forecast!$C$157:$L$157</c:f>
              <c:numCache>
                <c:formatCode>_(* #,##0_);_(* \(#,##0\);_(* "-"??_);_(@_)</c:formatCode>
                <c:ptCount val="10"/>
                <c:pt idx="0">
                  <c:v>18070.534925929755</c:v>
                </c:pt>
                <c:pt idx="1">
                  <c:v>22153.080672738233</c:v>
                </c:pt>
                <c:pt idx="2">
                  <c:v>25488.053708902364</c:v>
                </c:pt>
                <c:pt idx="3">
                  <c:v>29650.343930373649</c:v>
                </c:pt>
                <c:pt idx="4">
                  <c:v>41143.184031432465</c:v>
                </c:pt>
                <c:pt idx="5">
                  <c:v>45605.492605060957</c:v>
                </c:pt>
                <c:pt idx="6">
                  <c:v>50235.522431974096</c:v>
                </c:pt>
                <c:pt idx="7">
                  <c:v>55038.197438873816</c:v>
                </c:pt>
                <c:pt idx="8">
                  <c:v>60018.571421028835</c:v>
                </c:pt>
                <c:pt idx="9">
                  <c:v>65181.8312674466</c:v>
                </c:pt>
              </c:numCache>
            </c:numRef>
          </c:val>
          <c:extLst>
            <c:ext xmlns:c16="http://schemas.microsoft.com/office/drawing/2014/chart" uri="{C3380CC4-5D6E-409C-BE32-E72D297353CC}">
              <c16:uniqueId val="{00000006-4ED4-4BD7-B885-4399B7DE745E}"/>
            </c:ext>
          </c:extLst>
        </c:ser>
        <c:ser>
          <c:idx val="7"/>
          <c:order val="7"/>
          <c:tx>
            <c:strRef>
              <c:f>DTE_cost_per_minute_forecast!$B$158</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DTE_cost_per_minute_forecast!$C$158:$L$158</c:f>
              <c:numCache>
                <c:formatCode>_(* #,##0_);_(* \(#,##0\);_(* "-"??_);_(@_)</c:formatCode>
                <c:ptCount val="10"/>
                <c:pt idx="0">
                  <c:v>1159891.9576131271</c:v>
                </c:pt>
                <c:pt idx="1">
                  <c:v>2334957.2035170216</c:v>
                </c:pt>
                <c:pt idx="2">
                  <c:v>2638305.6842450956</c:v>
                </c:pt>
                <c:pt idx="3">
                  <c:v>2953941.6625379571</c:v>
                </c:pt>
                <c:pt idx="4">
                  <c:v>3281429.2282179971</c:v>
                </c:pt>
                <c:pt idx="5">
                  <c:v>4580935.6802688492</c:v>
                </c:pt>
                <c:pt idx="6">
                  <c:v>4952805.1093928562</c:v>
                </c:pt>
                <c:pt idx="7">
                  <c:v>5338069.6258067749</c:v>
                </c:pt>
                <c:pt idx="8">
                  <c:v>5737116.2852305509</c:v>
                </c:pt>
                <c:pt idx="9">
                  <c:v>6150342.267578016</c:v>
                </c:pt>
              </c:numCache>
            </c:numRef>
          </c:val>
          <c:extLst>
            <c:ext xmlns:c16="http://schemas.microsoft.com/office/drawing/2014/chart" uri="{C3380CC4-5D6E-409C-BE32-E72D297353CC}">
              <c16:uniqueId val="{00000007-4ED4-4BD7-B885-4399B7DE745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59403679267169E-2"/>
          <c:y val="0.10605799289048519"/>
          <c:w val="0.90681643970940506"/>
          <c:h val="0.63030185267075134"/>
        </c:manualLayout>
      </c:layout>
      <c:areaChart>
        <c:grouping val="stacked"/>
        <c:varyColors val="0"/>
        <c:ser>
          <c:idx val="0"/>
          <c:order val="0"/>
          <c:tx>
            <c:strRef>
              <c:f>lifespans_all!$B$217</c:f>
              <c:strCache>
                <c:ptCount val="1"/>
                <c:pt idx="0">
                  <c:v>Human Space Flight</c:v>
                </c:pt>
              </c:strCache>
            </c:strRef>
          </c:tx>
          <c:spPr>
            <a:solidFill>
              <a:schemeClr val="accent1"/>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lifespans_all!$D$217:$M$217</c:f>
              <c:numCache>
                <c:formatCode>0</c:formatCode>
                <c:ptCount val="10"/>
                <c:pt idx="0">
                  <c:v>6.6</c:v>
                </c:pt>
                <c:pt idx="1">
                  <c:v>7.2</c:v>
                </c:pt>
                <c:pt idx="2">
                  <c:v>7.8</c:v>
                </c:pt>
                <c:pt idx="3">
                  <c:v>8.4</c:v>
                </c:pt>
                <c:pt idx="4">
                  <c:v>9</c:v>
                </c:pt>
                <c:pt idx="5">
                  <c:v>9.6</c:v>
                </c:pt>
                <c:pt idx="6">
                  <c:v>10.199999999999999</c:v>
                </c:pt>
                <c:pt idx="7">
                  <c:v>10.8</c:v>
                </c:pt>
                <c:pt idx="8">
                  <c:v>11.399999999999999</c:v>
                </c:pt>
                <c:pt idx="9">
                  <c:v>12</c:v>
                </c:pt>
              </c:numCache>
            </c:numRef>
          </c:val>
          <c:extLst>
            <c:ext xmlns:c16="http://schemas.microsoft.com/office/drawing/2014/chart" uri="{C3380CC4-5D6E-409C-BE32-E72D297353CC}">
              <c16:uniqueId val="{00000000-DCC0-4EAE-91DE-A7E18EE4DEB3}"/>
            </c:ext>
          </c:extLst>
        </c:ser>
        <c:ser>
          <c:idx val="1"/>
          <c:order val="1"/>
          <c:tx>
            <c:strRef>
              <c:f>lifespans_all!$B$218</c:f>
              <c:strCache>
                <c:ptCount val="1"/>
                <c:pt idx="0">
                  <c:v>Near Earth Robotic - LEO Science</c:v>
                </c:pt>
              </c:strCache>
            </c:strRef>
          </c:tx>
          <c:spPr>
            <a:solidFill>
              <a:schemeClr val="accent2"/>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lifespans_all!$D$218:$M$218</c:f>
              <c:numCache>
                <c:formatCode>0</c:formatCode>
                <c:ptCount val="10"/>
                <c:pt idx="0">
                  <c:v>19.2</c:v>
                </c:pt>
                <c:pt idx="1">
                  <c:v>21.4</c:v>
                </c:pt>
                <c:pt idx="2">
                  <c:v>23.6</c:v>
                </c:pt>
                <c:pt idx="3">
                  <c:v>25.8</c:v>
                </c:pt>
                <c:pt idx="4">
                  <c:v>28</c:v>
                </c:pt>
                <c:pt idx="5">
                  <c:v>30.2</c:v>
                </c:pt>
                <c:pt idx="6">
                  <c:v>32.4</c:v>
                </c:pt>
                <c:pt idx="7">
                  <c:v>34.599999999999994</c:v>
                </c:pt>
                <c:pt idx="8">
                  <c:v>36.799999999999997</c:v>
                </c:pt>
                <c:pt idx="9">
                  <c:v>39</c:v>
                </c:pt>
              </c:numCache>
            </c:numRef>
          </c:val>
          <c:extLst>
            <c:ext xmlns:c16="http://schemas.microsoft.com/office/drawing/2014/chart" uri="{C3380CC4-5D6E-409C-BE32-E72D297353CC}">
              <c16:uniqueId val="{00000001-DCC0-4EAE-91DE-A7E18EE4DEB3}"/>
            </c:ext>
          </c:extLst>
        </c:ser>
        <c:ser>
          <c:idx val="2"/>
          <c:order val="2"/>
          <c:tx>
            <c:strRef>
              <c:f>lifespans_all!$B$219</c:f>
              <c:strCache>
                <c:ptCount val="1"/>
                <c:pt idx="0">
                  <c:v>Near Earth Robotic - GEO and Near Earth</c:v>
                </c:pt>
              </c:strCache>
            </c:strRef>
          </c:tx>
          <c:spPr>
            <a:solidFill>
              <a:schemeClr val="accent3"/>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lifespans_all!$D$219:$M$219</c:f>
              <c:numCache>
                <c:formatCode>0</c:formatCode>
                <c:ptCount val="10"/>
                <c:pt idx="0">
                  <c:v>8.9</c:v>
                </c:pt>
                <c:pt idx="1">
                  <c:v>9.8000000000000007</c:v>
                </c:pt>
                <c:pt idx="2">
                  <c:v>10.7</c:v>
                </c:pt>
                <c:pt idx="3">
                  <c:v>11.6</c:v>
                </c:pt>
                <c:pt idx="4">
                  <c:v>12.5</c:v>
                </c:pt>
                <c:pt idx="5">
                  <c:v>13.4</c:v>
                </c:pt>
                <c:pt idx="6">
                  <c:v>14.3</c:v>
                </c:pt>
                <c:pt idx="7">
                  <c:v>15.200000000000001</c:v>
                </c:pt>
                <c:pt idx="8">
                  <c:v>16.100000000000001</c:v>
                </c:pt>
                <c:pt idx="9">
                  <c:v>17</c:v>
                </c:pt>
              </c:numCache>
            </c:numRef>
          </c:val>
          <c:extLst>
            <c:ext xmlns:c16="http://schemas.microsoft.com/office/drawing/2014/chart" uri="{C3380CC4-5D6E-409C-BE32-E72D297353CC}">
              <c16:uniqueId val="{00000002-DCC0-4EAE-91DE-A7E18EE4DEB3}"/>
            </c:ext>
          </c:extLst>
        </c:ser>
        <c:ser>
          <c:idx val="3"/>
          <c:order val="3"/>
          <c:tx>
            <c:strRef>
              <c:f>lifespans_all!$B$220</c:f>
              <c:strCache>
                <c:ptCount val="1"/>
                <c:pt idx="0">
                  <c:v>Deep Space Robotic</c:v>
                </c:pt>
              </c:strCache>
            </c:strRef>
          </c:tx>
          <c:spPr>
            <a:solidFill>
              <a:schemeClr val="accent4"/>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lifespans_all!$D$220:$M$220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DCC0-4EAE-91DE-A7E18EE4DEB3}"/>
            </c:ext>
          </c:extLst>
        </c:ser>
        <c:ser>
          <c:idx val="4"/>
          <c:order val="4"/>
          <c:tx>
            <c:strRef>
              <c:f>lifespans_all!$B$221</c:f>
              <c:strCache>
                <c:ptCount val="1"/>
                <c:pt idx="0">
                  <c:v>Near Earth Robotic - Low Latency &amp; Complex Needs</c:v>
                </c:pt>
              </c:strCache>
            </c:strRef>
          </c:tx>
          <c:spPr>
            <a:solidFill>
              <a:schemeClr val="accent5"/>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lifespans_all!$D$221:$M$221</c:f>
              <c:numCache>
                <c:formatCode>0</c:formatCode>
                <c:ptCount val="10"/>
                <c:pt idx="0">
                  <c:v>1.2</c:v>
                </c:pt>
                <c:pt idx="1">
                  <c:v>1.4</c:v>
                </c:pt>
                <c:pt idx="2">
                  <c:v>1.6</c:v>
                </c:pt>
                <c:pt idx="3">
                  <c:v>1.8</c:v>
                </c:pt>
                <c:pt idx="4">
                  <c:v>2</c:v>
                </c:pt>
                <c:pt idx="5">
                  <c:v>2.2000000000000002</c:v>
                </c:pt>
                <c:pt idx="6">
                  <c:v>2.4</c:v>
                </c:pt>
                <c:pt idx="7">
                  <c:v>2.5999999999999996</c:v>
                </c:pt>
                <c:pt idx="8">
                  <c:v>2.8</c:v>
                </c:pt>
                <c:pt idx="9">
                  <c:v>3</c:v>
                </c:pt>
              </c:numCache>
            </c:numRef>
          </c:val>
          <c:extLst>
            <c:ext xmlns:c16="http://schemas.microsoft.com/office/drawing/2014/chart" uri="{C3380CC4-5D6E-409C-BE32-E72D297353CC}">
              <c16:uniqueId val="{00000004-DCC0-4EAE-91DE-A7E18EE4DEB3}"/>
            </c:ext>
          </c:extLst>
        </c:ser>
        <c:ser>
          <c:idx val="5"/>
          <c:order val="5"/>
          <c:tx>
            <c:strRef>
              <c:f>lifespans_all!$B$222</c:f>
              <c:strCache>
                <c:ptCount val="1"/>
                <c:pt idx="0">
                  <c:v>Mission Operations</c:v>
                </c:pt>
              </c:strCache>
            </c:strRef>
          </c:tx>
          <c:spPr>
            <a:solidFill>
              <a:schemeClr val="accent6"/>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lifespans_all!$D$222:$M$222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CC0-4EAE-91DE-A7E18EE4DEB3}"/>
            </c:ext>
          </c:extLst>
        </c:ser>
        <c:ser>
          <c:idx val="6"/>
          <c:order val="6"/>
          <c:tx>
            <c:strRef>
              <c:f>lifespans_all!$B$223</c:f>
              <c:strCache>
                <c:ptCount val="1"/>
                <c:pt idx="0">
                  <c:v>Launch Events</c:v>
                </c:pt>
              </c:strCache>
            </c:strRef>
          </c:tx>
          <c:spPr>
            <a:solidFill>
              <a:schemeClr val="accent1">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lifespans_all!$D$223:$M$223</c:f>
              <c:numCache>
                <c:formatCode>0</c:formatCode>
                <c:ptCount val="10"/>
                <c:pt idx="0">
                  <c:v>3.5</c:v>
                </c:pt>
                <c:pt idx="1">
                  <c:v>4</c:v>
                </c:pt>
                <c:pt idx="2">
                  <c:v>4.5</c:v>
                </c:pt>
                <c:pt idx="3">
                  <c:v>5</c:v>
                </c:pt>
                <c:pt idx="4">
                  <c:v>5.5</c:v>
                </c:pt>
                <c:pt idx="5">
                  <c:v>6</c:v>
                </c:pt>
                <c:pt idx="6">
                  <c:v>6.5</c:v>
                </c:pt>
                <c:pt idx="7">
                  <c:v>7</c:v>
                </c:pt>
                <c:pt idx="8">
                  <c:v>7.5</c:v>
                </c:pt>
                <c:pt idx="9">
                  <c:v>8</c:v>
                </c:pt>
              </c:numCache>
            </c:numRef>
          </c:val>
          <c:extLst>
            <c:ext xmlns:c16="http://schemas.microsoft.com/office/drawing/2014/chart" uri="{C3380CC4-5D6E-409C-BE32-E72D297353CC}">
              <c16:uniqueId val="{00000006-DCC0-4EAE-91DE-A7E18EE4DEB3}"/>
            </c:ext>
          </c:extLst>
        </c:ser>
        <c:ser>
          <c:idx val="7"/>
          <c:order val="7"/>
          <c:tx>
            <c:strRef>
              <c:f>lifespans_all!$B$224</c:f>
              <c:strCache>
                <c:ptCount val="1"/>
                <c:pt idx="0">
                  <c:v>Terrestrial &amp; Aerial</c:v>
                </c:pt>
              </c:strCache>
            </c:strRef>
          </c:tx>
          <c:spPr>
            <a:solidFill>
              <a:schemeClr val="accent2">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lifespans_all!$D$224:$M$224</c:f>
              <c:numCache>
                <c:formatCode>0</c:formatCode>
                <c:ptCount val="10"/>
                <c:pt idx="0">
                  <c:v>3.3</c:v>
                </c:pt>
                <c:pt idx="1">
                  <c:v>3.6</c:v>
                </c:pt>
                <c:pt idx="2">
                  <c:v>3.9</c:v>
                </c:pt>
                <c:pt idx="3">
                  <c:v>4.2</c:v>
                </c:pt>
                <c:pt idx="4">
                  <c:v>4.5</c:v>
                </c:pt>
                <c:pt idx="5">
                  <c:v>4.8</c:v>
                </c:pt>
                <c:pt idx="6">
                  <c:v>5.0999999999999996</c:v>
                </c:pt>
                <c:pt idx="7">
                  <c:v>5.4</c:v>
                </c:pt>
                <c:pt idx="8">
                  <c:v>5.6999999999999993</c:v>
                </c:pt>
                <c:pt idx="9">
                  <c:v>6</c:v>
                </c:pt>
              </c:numCache>
            </c:numRef>
          </c:val>
          <c:extLst>
            <c:ext xmlns:c16="http://schemas.microsoft.com/office/drawing/2014/chart" uri="{C3380CC4-5D6E-409C-BE32-E72D297353CC}">
              <c16:uniqueId val="{00000007-DCC0-4EAE-91DE-A7E18EE4DEB3}"/>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(80%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DTE_cost_per_minute_forecast!$B$171</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DTE_cost_per_minute_forecast!$C$171:$L$171</c:f>
              <c:numCache>
                <c:formatCode>_(* #,##0_);_(* \(#,##0\);_(* "-"??_);_(@_)</c:formatCode>
                <c:ptCount val="10"/>
                <c:pt idx="0">
                  <c:v>7899380.6420589751</c:v>
                </c:pt>
                <c:pt idx="1">
                  <c:v>8094218.7549113091</c:v>
                </c:pt>
                <c:pt idx="2">
                  <c:v>8286077.3955506254</c:v>
                </c:pt>
                <c:pt idx="3">
                  <c:v>8513219.6061045174</c:v>
                </c:pt>
                <c:pt idx="4">
                  <c:v>8735305.0849618856</c:v>
                </c:pt>
                <c:pt idx="5">
                  <c:v>8965950.9495497569</c:v>
                </c:pt>
                <c:pt idx="6">
                  <c:v>9205410.7811058071</c:v>
                </c:pt>
                <c:pt idx="7">
                  <c:v>9453944.8799629286</c:v>
                </c:pt>
                <c:pt idx="8">
                  <c:v>9711820.4328805432</c:v>
                </c:pt>
                <c:pt idx="9">
                  <c:v>9979311.6843815241</c:v>
                </c:pt>
              </c:numCache>
            </c:numRef>
          </c:val>
          <c:extLst>
            <c:ext xmlns:c16="http://schemas.microsoft.com/office/drawing/2014/chart" uri="{C3380CC4-5D6E-409C-BE32-E72D297353CC}">
              <c16:uniqueId val="{00000000-4D27-4EAF-94B0-6B9725C1B277}"/>
            </c:ext>
          </c:extLst>
        </c:ser>
        <c:ser>
          <c:idx val="1"/>
          <c:order val="1"/>
          <c:tx>
            <c:strRef>
              <c:f>DTE_cost_per_minute_forecast!$B$172</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DTE_cost_per_minute_forecast!$C$172:$L$172</c:f>
              <c:numCache>
                <c:formatCode>_(* #,##0_);_(* \(#,##0\);_(* "-"??_);_(@_)</c:formatCode>
                <c:ptCount val="10"/>
                <c:pt idx="0">
                  <c:v>10701837.797433203</c:v>
                </c:pt>
                <c:pt idx="1">
                  <c:v>8465093.9560534526</c:v>
                </c:pt>
                <c:pt idx="2">
                  <c:v>7260182.689101683</c:v>
                </c:pt>
                <c:pt idx="3">
                  <c:v>5438949.3141028751</c:v>
                </c:pt>
                <c:pt idx="4">
                  <c:v>6611530.3742561312</c:v>
                </c:pt>
                <c:pt idx="5">
                  <c:v>6337752.6409900868</c:v>
                </c:pt>
                <c:pt idx="6">
                  <c:v>6131761.9364977134</c:v>
                </c:pt>
                <c:pt idx="7">
                  <c:v>7093037.3171721781</c:v>
                </c:pt>
                <c:pt idx="8">
                  <c:v>7441877.3220599918</c:v>
                </c:pt>
                <c:pt idx="9">
                  <c:v>7801847.630605706</c:v>
                </c:pt>
              </c:numCache>
            </c:numRef>
          </c:val>
          <c:extLst>
            <c:ext xmlns:c16="http://schemas.microsoft.com/office/drawing/2014/chart" uri="{C3380CC4-5D6E-409C-BE32-E72D297353CC}">
              <c16:uniqueId val="{00000001-4D27-4EAF-94B0-6B9725C1B277}"/>
            </c:ext>
          </c:extLst>
        </c:ser>
        <c:ser>
          <c:idx val="2"/>
          <c:order val="2"/>
          <c:tx>
            <c:strRef>
              <c:f>DTE_cost_per_minute_forecast!$B$173</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DTE_cost_per_minute_forecast!$C$173:$L$173</c:f>
              <c:numCache>
                <c:formatCode>_(* #,##0_);_(* \(#,##0\);_(* "-"??_);_(@_)</c:formatCode>
                <c:ptCount val="10"/>
                <c:pt idx="0">
                  <c:v>173342.85304512677</c:v>
                </c:pt>
                <c:pt idx="1">
                  <c:v>178531.80541055094</c:v>
                </c:pt>
                <c:pt idx="2">
                  <c:v>208528.27565140763</c:v>
                </c:pt>
                <c:pt idx="3">
                  <c:v>215837.54080128134</c:v>
                </c:pt>
                <c:pt idx="4">
                  <c:v>223393.74058459673</c:v>
                </c:pt>
                <c:pt idx="5">
                  <c:v>231203.82868063156</c:v>
                </c:pt>
                <c:pt idx="6">
                  <c:v>239274.9381419812</c:v>
                </c:pt>
                <c:pt idx="7">
                  <c:v>247614.38578801978</c:v>
                </c:pt>
                <c:pt idx="8">
                  <c:v>256229.67670235052</c:v>
                </c:pt>
                <c:pt idx="9">
                  <c:v>265128.50883664656</c:v>
                </c:pt>
              </c:numCache>
            </c:numRef>
          </c:val>
          <c:extLst>
            <c:ext xmlns:c16="http://schemas.microsoft.com/office/drawing/2014/chart" uri="{C3380CC4-5D6E-409C-BE32-E72D297353CC}">
              <c16:uniqueId val="{00000002-4D27-4EAF-94B0-6B9725C1B277}"/>
            </c:ext>
          </c:extLst>
        </c:ser>
        <c:ser>
          <c:idx val="3"/>
          <c:order val="3"/>
          <c:tx>
            <c:strRef>
              <c:f>DTE_cost_per_minute_forecast!$B$174</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DTE_cost_per_minute_forecast!$C$174:$L$174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D27-4EAF-94B0-6B9725C1B277}"/>
            </c:ext>
          </c:extLst>
        </c:ser>
        <c:ser>
          <c:idx val="4"/>
          <c:order val="4"/>
          <c:tx>
            <c:strRef>
              <c:f>DTE_cost_per_minute_forecast!$B$175</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DTE_cost_per_minute_forecast!$C$175:$L$175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4D27-4EAF-94B0-6B9725C1B277}"/>
            </c:ext>
          </c:extLst>
        </c:ser>
        <c:ser>
          <c:idx val="5"/>
          <c:order val="5"/>
          <c:tx>
            <c:strRef>
              <c:f>DTE_cost_per_minute_forecast!$B$176</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DTE_cost_per_minute_forecast!$C$176:$L$176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D27-4EAF-94B0-6B9725C1B277}"/>
            </c:ext>
          </c:extLst>
        </c:ser>
        <c:ser>
          <c:idx val="6"/>
          <c:order val="6"/>
          <c:tx>
            <c:strRef>
              <c:f>DTE_cost_per_minute_forecast!$B$177</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DTE_cost_per_minute_forecast!$C$177:$L$177</c:f>
              <c:numCache>
                <c:formatCode>_(* #,##0_);_(* \(#,##0\);_(* "-"??_);_(@_)</c:formatCode>
                <c:ptCount val="10"/>
                <c:pt idx="0">
                  <c:v>17930.492936882816</c:v>
                </c:pt>
                <c:pt idx="1">
                  <c:v>20028.543693062671</c:v>
                </c:pt>
                <c:pt idx="2">
                  <c:v>21186.742164950363</c:v>
                </c:pt>
                <c:pt idx="3">
                  <c:v>23173.884091382235</c:v>
                </c:pt>
                <c:pt idx="4">
                  <c:v>33303.072176744172</c:v>
                </c:pt>
                <c:pt idx="5">
                  <c:v>35414.975113745924</c:v>
                </c:pt>
                <c:pt idx="6">
                  <c:v>37604.429896303162</c:v>
                </c:pt>
                <c:pt idx="7">
                  <c:v>39873.693837063271</c:v>
                </c:pt>
                <c:pt idx="8">
                  <c:v>42225.083520441382</c:v>
                </c:pt>
                <c:pt idx="9">
                  <c:v>44660.976270565894</c:v>
                </c:pt>
              </c:numCache>
            </c:numRef>
          </c:val>
          <c:extLst>
            <c:ext xmlns:c16="http://schemas.microsoft.com/office/drawing/2014/chart" uri="{C3380CC4-5D6E-409C-BE32-E72D297353CC}">
              <c16:uniqueId val="{00000006-4D27-4EAF-94B0-6B9725C1B277}"/>
            </c:ext>
          </c:extLst>
        </c:ser>
        <c:ser>
          <c:idx val="7"/>
          <c:order val="7"/>
          <c:tx>
            <c:strRef>
              <c:f>DTE_cost_per_minute_forecast!$B$178</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DTE_cost_per_minute_forecast!$C$178:$L$178</c:f>
              <c:numCache>
                <c:formatCode>_(* #,##0_);_(* \(#,##0\);_(* "-"??_);_(@_)</c:formatCode>
                <c:ptCount val="10"/>
                <c:pt idx="0">
                  <c:v>1106493.4789690035</c:v>
                </c:pt>
                <c:pt idx="1">
                  <c:v>2222121.50833129</c:v>
                </c:pt>
                <c:pt idx="2">
                  <c:v>2348894.715968933</c:v>
                </c:pt>
                <c:pt idx="3">
                  <c:v>2481073.4871779545</c:v>
                </c:pt>
                <c:pt idx="4">
                  <c:v>2617916.5056942571</c:v>
                </c:pt>
                <c:pt idx="5">
                  <c:v>3839354.3960160441</c:v>
                </c:pt>
                <c:pt idx="6">
                  <c:v>4008009.8373661335</c:v>
                </c:pt>
                <c:pt idx="7">
                  <c:v>4182272.5245585106</c:v>
                </c:pt>
                <c:pt idx="8">
                  <c:v>4362299.2852503294</c:v>
                </c:pt>
                <c:pt idx="9">
                  <c:v>4548250.9773066891</c:v>
                </c:pt>
              </c:numCache>
            </c:numRef>
          </c:val>
          <c:extLst>
            <c:ext xmlns:c16="http://schemas.microsoft.com/office/drawing/2014/chart" uri="{C3380CC4-5D6E-409C-BE32-E72D297353CC}">
              <c16:uniqueId val="{00000007-4D27-4EAF-94B0-6B9725C1B27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DTE_cost_per_minute_forecast!$B$189</c:f>
              <c:strCache>
                <c:ptCount val="1"/>
                <c:pt idx="0">
                  <c:v>Human Space Flight</c:v>
                </c:pt>
              </c:strCache>
            </c:strRef>
          </c:tx>
          <c:spPr>
            <a:solidFill>
              <a:schemeClr val="accent1"/>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DTE_cost_per_minute_forecast!$D$189:$M$189</c:f>
              <c:numCache>
                <c:formatCode>_(* #,##0_);_(* \(#,##0\);_(* "-"??_);_(@_)</c:formatCode>
                <c:ptCount val="10"/>
                <c:pt idx="0">
                  <c:v>9258554.9133330807</c:v>
                </c:pt>
                <c:pt idx="1">
                  <c:v>10067511.717935937</c:v>
                </c:pt>
                <c:pt idx="2">
                  <c:v>10935970.28454854</c:v>
                </c:pt>
                <c:pt idx="3">
                  <c:v>11824312.199978014</c:v>
                </c:pt>
                <c:pt idx="4">
                  <c:v>12746895.658329498</c:v>
                </c:pt>
                <c:pt idx="5">
                  <c:v>13704734.9845537</c:v>
                </c:pt>
                <c:pt idx="6">
                  <c:v>14698871.379982183</c:v>
                </c:pt>
                <c:pt idx="7">
                  <c:v>15730373.591652637</c:v>
                </c:pt>
                <c:pt idx="8">
                  <c:v>16800338.597656567</c:v>
                </c:pt>
                <c:pt idx="9">
                  <c:v>21524935.15420378</c:v>
                </c:pt>
              </c:numCache>
            </c:numRef>
          </c:val>
          <c:extLst>
            <c:ext xmlns:c16="http://schemas.microsoft.com/office/drawing/2014/chart" uri="{C3380CC4-5D6E-409C-BE32-E72D297353CC}">
              <c16:uniqueId val="{00000000-7979-45A9-B241-6CA184891EB5}"/>
            </c:ext>
          </c:extLst>
        </c:ser>
        <c:ser>
          <c:idx val="1"/>
          <c:order val="1"/>
          <c:tx>
            <c:strRef>
              <c:f>DTE_cost_per_minute_forecast!$B$190</c:f>
              <c:strCache>
                <c:ptCount val="1"/>
                <c:pt idx="0">
                  <c:v>Near Earth Robotic - LEO Science</c:v>
                </c:pt>
              </c:strCache>
            </c:strRef>
          </c:tx>
          <c:spPr>
            <a:solidFill>
              <a:schemeClr val="accent2"/>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DTE_cost_per_minute_forecast!$D$190:$M$190</c:f>
              <c:numCache>
                <c:formatCode>_(* #,##0_);_(* \(#,##0\);_(* "-"??_);_(@_)</c:formatCode>
                <c:ptCount val="10"/>
                <c:pt idx="0">
                  <c:v>8919880.2275673244</c:v>
                </c:pt>
                <c:pt idx="1">
                  <c:v>7862896.7331188759</c:v>
                </c:pt>
                <c:pt idx="2">
                  <c:v>6442137.6189454412</c:v>
                </c:pt>
                <c:pt idx="3">
                  <c:v>7890595.4629304009</c:v>
                </c:pt>
                <c:pt idx="4">
                  <c:v>7903328.3095273934</c:v>
                </c:pt>
                <c:pt idx="5">
                  <c:v>7994796.9820571104</c:v>
                </c:pt>
                <c:pt idx="6">
                  <c:v>9264803.8845671304</c:v>
                </c:pt>
                <c:pt idx="7">
                  <c:v>9933979.4581457004</c:v>
                </c:pt>
                <c:pt idx="8">
                  <c:v>10626230.051502842</c:v>
                </c:pt>
                <c:pt idx="9">
                  <c:v>10838058.733070126</c:v>
                </c:pt>
              </c:numCache>
            </c:numRef>
          </c:val>
          <c:extLst>
            <c:ext xmlns:c16="http://schemas.microsoft.com/office/drawing/2014/chart" uri="{C3380CC4-5D6E-409C-BE32-E72D297353CC}">
              <c16:uniqueId val="{00000001-7979-45A9-B241-6CA184891EB5}"/>
            </c:ext>
          </c:extLst>
        </c:ser>
        <c:ser>
          <c:idx val="2"/>
          <c:order val="2"/>
          <c:tx>
            <c:strRef>
              <c:f>DTE_cost_per_minute_forecast!$B$191</c:f>
              <c:strCache>
                <c:ptCount val="1"/>
                <c:pt idx="0">
                  <c:v>Near Earth Robotic - GEO and Near Earth</c:v>
                </c:pt>
              </c:strCache>
            </c:strRef>
          </c:tx>
          <c:spPr>
            <a:solidFill>
              <a:schemeClr val="accent3"/>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DTE_cost_per_minute_forecast!$D$191:$M$191</c:f>
              <c:numCache>
                <c:formatCode>_(* #,##0_);_(* \(#,##0\);_(* "-"??_);_(@_)</c:formatCode>
                <c:ptCount val="10"/>
                <c:pt idx="0">
                  <c:v>193057.37208359092</c:v>
                </c:pt>
                <c:pt idx="1">
                  <c:v>230752.39266115878</c:v>
                </c:pt>
                <c:pt idx="2">
                  <c:v>246062.33993454286</c:v>
                </c:pt>
                <c:pt idx="3">
                  <c:v>261930.35947950522</c:v>
                </c:pt>
                <c:pt idx="4">
                  <c:v>278372.65020799957</c:v>
                </c:pt>
                <c:pt idx="5">
                  <c:v>295405.83575954911</c:v>
                </c:pt>
                <c:pt idx="6">
                  <c:v>313046.97501078469</c:v>
                </c:pt>
                <c:pt idx="7">
                  <c:v>331313.57283547323</c:v>
                </c:pt>
                <c:pt idx="8">
                  <c:v>350223.59112085227</c:v>
                </c:pt>
                <c:pt idx="9">
                  <c:v>355329.29605790466</c:v>
                </c:pt>
              </c:numCache>
            </c:numRef>
          </c:val>
          <c:extLst>
            <c:ext xmlns:c16="http://schemas.microsoft.com/office/drawing/2014/chart" uri="{C3380CC4-5D6E-409C-BE32-E72D297353CC}">
              <c16:uniqueId val="{00000002-7979-45A9-B241-6CA184891EB5}"/>
            </c:ext>
          </c:extLst>
        </c:ser>
        <c:ser>
          <c:idx val="3"/>
          <c:order val="3"/>
          <c:tx>
            <c:strRef>
              <c:f>DTE_cost_per_minute_forecast!$B$192</c:f>
              <c:strCache>
                <c:ptCount val="1"/>
                <c:pt idx="0">
                  <c:v>Deep Space Robotic</c:v>
                </c:pt>
              </c:strCache>
            </c:strRef>
          </c:tx>
          <c:spPr>
            <a:solidFill>
              <a:schemeClr val="accent4"/>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DTE_cost_per_minute_forecast!$D$192:$M$192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979-45A9-B241-6CA184891EB5}"/>
            </c:ext>
          </c:extLst>
        </c:ser>
        <c:ser>
          <c:idx val="4"/>
          <c:order val="4"/>
          <c:tx>
            <c:strRef>
              <c:f>DTE_cost_per_minute_forecast!$B$193</c:f>
              <c:strCache>
                <c:ptCount val="1"/>
                <c:pt idx="0">
                  <c:v>Near Earth Robotic - Low Latency &amp; Complex Needs</c:v>
                </c:pt>
              </c:strCache>
            </c:strRef>
          </c:tx>
          <c:spPr>
            <a:solidFill>
              <a:schemeClr val="accent5"/>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DTE_cost_per_minute_forecast!$D$193:$M$193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979-45A9-B241-6CA184891EB5}"/>
            </c:ext>
          </c:extLst>
        </c:ser>
        <c:ser>
          <c:idx val="5"/>
          <c:order val="5"/>
          <c:tx>
            <c:strRef>
              <c:f>DTE_cost_per_minute_forecast!$B$194</c:f>
              <c:strCache>
                <c:ptCount val="1"/>
                <c:pt idx="0">
                  <c:v>Mission Operations</c:v>
                </c:pt>
              </c:strCache>
            </c:strRef>
          </c:tx>
          <c:spPr>
            <a:solidFill>
              <a:schemeClr val="accent6"/>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DTE_cost_per_minute_forecast!$D$194:$M$194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979-45A9-B241-6CA184891EB5}"/>
            </c:ext>
          </c:extLst>
        </c:ser>
        <c:ser>
          <c:idx val="6"/>
          <c:order val="6"/>
          <c:tx>
            <c:strRef>
              <c:f>DTE_cost_per_minute_forecast!$B$195</c:f>
              <c:strCache>
                <c:ptCount val="1"/>
                <c:pt idx="0">
                  <c:v>Launch Events</c:v>
                </c:pt>
              </c:strCache>
            </c:strRef>
          </c:tx>
          <c:spPr>
            <a:solidFill>
              <a:schemeClr val="accent1">
                <a:lumMod val="60000"/>
              </a:schemeClr>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DTE_cost_per_minute_forecast!$D$195:$M$195</c:f>
              <c:numCache>
                <c:formatCode>_(* #,##0_);_(* \(#,##0\);_(* "-"??_);_(@_)</c:formatCode>
                <c:ptCount val="10"/>
                <c:pt idx="0">
                  <c:v>23290.99173557456</c:v>
                </c:pt>
                <c:pt idx="1">
                  <c:v>26178.287669993559</c:v>
                </c:pt>
                <c:pt idx="2">
                  <c:v>29962.385978240975</c:v>
                </c:pt>
                <c:pt idx="3">
                  <c:v>41958.412082489071</c:v>
                </c:pt>
                <c:pt idx="4">
                  <c:v>46009.111158377687</c:v>
                </c:pt>
                <c:pt idx="5">
                  <c:v>50211.451789414947</c:v>
                </c:pt>
                <c:pt idx="6">
                  <c:v>54569.87935817644</c:v>
                </c:pt>
                <c:pt idx="7">
                  <c:v>59088.956405918747</c:v>
                </c:pt>
                <c:pt idx="8">
                  <c:v>63773.365540773579</c:v>
                </c:pt>
                <c:pt idx="9">
                  <c:v>64728.985004283961</c:v>
                </c:pt>
              </c:numCache>
            </c:numRef>
          </c:val>
          <c:extLst>
            <c:ext xmlns:c16="http://schemas.microsoft.com/office/drawing/2014/chart" uri="{C3380CC4-5D6E-409C-BE32-E72D297353CC}">
              <c16:uniqueId val="{00000006-7979-45A9-B241-6CA184891EB5}"/>
            </c:ext>
          </c:extLst>
        </c:ser>
        <c:ser>
          <c:idx val="7"/>
          <c:order val="7"/>
          <c:tx>
            <c:strRef>
              <c:f>DTE_cost_per_minute_forecast!$B$196</c:f>
              <c:strCache>
                <c:ptCount val="1"/>
                <c:pt idx="0">
                  <c:v>Terrestrial &amp; Aerial</c:v>
                </c:pt>
              </c:strCache>
            </c:strRef>
          </c:tx>
          <c:spPr>
            <a:solidFill>
              <a:schemeClr val="accent2">
                <a:lumMod val="60000"/>
              </a:schemeClr>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DTE_cost_per_minute_forecast!$D$196:$M$196</c:f>
              <c:numCache>
                <c:formatCode>_(* #,##0_);_(* \(#,##0\);_(* "-"??_);_(@_)</c:formatCode>
                <c:ptCount val="10"/>
                <c:pt idx="0">
                  <c:v>2424474.1811439688</c:v>
                </c:pt>
                <c:pt idx="1">
                  <c:v>2658494.3053723332</c:v>
                </c:pt>
                <c:pt idx="2">
                  <c:v>2902128.928766578</c:v>
                </c:pt>
                <c:pt idx="3">
                  <c:v>3154762.1937197521</c:v>
                </c:pt>
                <c:pt idx="4">
                  <c:v>4496453.5181592498</c:v>
                </c:pt>
                <c:pt idx="5">
                  <c:v>4789957.7927165478</c:v>
                </c:pt>
                <c:pt idx="6">
                  <c:v>5093800.4267955646</c:v>
                </c:pt>
                <c:pt idx="7">
                  <c:v>5408277.5530673489</c:v>
                </c:pt>
                <c:pt idx="8">
                  <c:v>5733693.0141659779</c:v>
                </c:pt>
                <c:pt idx="9">
                  <c:v>5828528.3771147216</c:v>
                </c:pt>
              </c:numCache>
            </c:numRef>
          </c:val>
          <c:extLst>
            <c:ext xmlns:c16="http://schemas.microsoft.com/office/drawing/2014/chart" uri="{C3380CC4-5D6E-409C-BE32-E72D297353CC}">
              <c16:uniqueId val="{00000007-7979-45A9-B241-6CA184891EB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DTE_cost_per_minute_forecast!$B$207</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DTE_cost_per_minute_forecast!$C$207:$L$207</c:f>
              <c:numCache>
                <c:formatCode>_(* #,##0_);_(* \(#,##0\);_(* "-"??_);_(@_)</c:formatCode>
                <c:ptCount val="10"/>
                <c:pt idx="0">
                  <c:v>8850635.6734493114</c:v>
                </c:pt>
                <c:pt idx="1">
                  <c:v>10034779.018947594</c:v>
                </c:pt>
                <c:pt idx="2">
                  <c:v>11255134.599526143</c:v>
                </c:pt>
                <c:pt idx="3">
                  <c:v>12551137.403511222</c:v>
                </c:pt>
                <c:pt idx="4">
                  <c:v>13883650.276655432</c:v>
                </c:pt>
                <c:pt idx="5">
                  <c:v>15267525.464182662</c:v>
                </c:pt>
                <c:pt idx="6">
                  <c:v>16704284.453518962</c:v>
                </c:pt>
                <c:pt idx="7">
                  <c:v>18195489.046661686</c:v>
                </c:pt>
                <c:pt idx="8">
                  <c:v>19742742.36416737</c:v>
                </c:pt>
                <c:pt idx="9">
                  <c:v>21347689.873173263</c:v>
                </c:pt>
              </c:numCache>
            </c:numRef>
          </c:val>
          <c:extLst>
            <c:ext xmlns:c16="http://schemas.microsoft.com/office/drawing/2014/chart" uri="{C3380CC4-5D6E-409C-BE32-E72D297353CC}">
              <c16:uniqueId val="{00000000-9F6A-4411-A2B3-E88275D2E832}"/>
            </c:ext>
          </c:extLst>
        </c:ser>
        <c:ser>
          <c:idx val="1"/>
          <c:order val="1"/>
          <c:tx>
            <c:strRef>
              <c:f>DTE_cost_per_minute_forecast!$B$208</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DTE_cost_per_minute_forecast!$C$208:$L$208</c:f>
              <c:numCache>
                <c:formatCode>_(* #,##0_);_(* \(#,##0\);_(* "-"??_);_(@_)</c:formatCode>
                <c:ptCount val="10"/>
                <c:pt idx="0">
                  <c:v>11171234.468633255</c:v>
                </c:pt>
                <c:pt idx="1">
                  <c:v>9374666.4990811963</c:v>
                </c:pt>
                <c:pt idx="2">
                  <c:v>8465610.7771360688</c:v>
                </c:pt>
                <c:pt idx="3">
                  <c:v>7445325.9237880064</c:v>
                </c:pt>
                <c:pt idx="4">
                  <c:v>9169660.5516046714</c:v>
                </c:pt>
                <c:pt idx="5">
                  <c:v>9468903.9780647028</c:v>
                </c:pt>
                <c:pt idx="6">
                  <c:v>9857832.0276165046</c:v>
                </c:pt>
                <c:pt idx="7">
                  <c:v>11436570.45196208</c:v>
                </c:pt>
                <c:pt idx="8">
                  <c:v>12426081.59423141</c:v>
                </c:pt>
                <c:pt idx="9">
                  <c:v>13450612.472399978</c:v>
                </c:pt>
              </c:numCache>
            </c:numRef>
          </c:val>
          <c:extLst>
            <c:ext xmlns:c16="http://schemas.microsoft.com/office/drawing/2014/chart" uri="{C3380CC4-5D6E-409C-BE32-E72D297353CC}">
              <c16:uniqueId val="{00000001-9F6A-4411-A2B3-E88275D2E832}"/>
            </c:ext>
          </c:extLst>
        </c:ser>
        <c:ser>
          <c:idx val="2"/>
          <c:order val="2"/>
          <c:tx>
            <c:strRef>
              <c:f>DTE_cost_per_minute_forecast!$B$209</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DTE_cost_per_minute_forecast!$C$209:$L$209</c:f>
              <c:numCache>
                <c:formatCode>_(* #,##0_);_(* \(#,##0\);_(* "-"??_);_(@_)</c:formatCode>
                <c:ptCount val="10"/>
                <c:pt idx="0">
                  <c:v>189957.06329206791</c:v>
                </c:pt>
                <c:pt idx="1">
                  <c:v>212424.79431431089</c:v>
                </c:pt>
                <c:pt idx="2">
                  <c:v>260384.54867416032</c:v>
                </c:pt>
                <c:pt idx="3">
                  <c:v>286362.07211222494</c:v>
                </c:pt>
                <c:pt idx="4">
                  <c:v>313312.51800604991</c:v>
                </c:pt>
                <c:pt idx="5">
                  <c:v>341264.41224449023</c:v>
                </c:pt>
                <c:pt idx="6">
                  <c:v>370247.03258297296</c:v>
                </c:pt>
                <c:pt idx="7">
                  <c:v>400290.42730780452</c:v>
                </c:pt>
                <c:pt idx="8">
                  <c:v>431425.43434630363</c:v>
                </c:pt>
                <c:pt idx="9">
                  <c:v>463683.70083312667</c:v>
                </c:pt>
              </c:numCache>
            </c:numRef>
          </c:val>
          <c:extLst>
            <c:ext xmlns:c16="http://schemas.microsoft.com/office/drawing/2014/chart" uri="{C3380CC4-5D6E-409C-BE32-E72D297353CC}">
              <c16:uniqueId val="{00000002-9F6A-4411-A2B3-E88275D2E832}"/>
            </c:ext>
          </c:extLst>
        </c:ser>
        <c:ser>
          <c:idx val="3"/>
          <c:order val="3"/>
          <c:tx>
            <c:strRef>
              <c:f>DTE_cost_per_minute_forecast!$B$210</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DTE_cost_per_minute_forecast!$C$210:$L$210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F6A-4411-A2B3-E88275D2E832}"/>
            </c:ext>
          </c:extLst>
        </c:ser>
        <c:ser>
          <c:idx val="4"/>
          <c:order val="4"/>
          <c:tx>
            <c:strRef>
              <c:f>DTE_cost_per_minute_forecast!$B$211</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DTE_cost_per_minute_forecast!$C$211:$L$211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F6A-4411-A2B3-E88275D2E832}"/>
            </c:ext>
          </c:extLst>
        </c:ser>
        <c:ser>
          <c:idx val="5"/>
          <c:order val="5"/>
          <c:tx>
            <c:strRef>
              <c:f>DTE_cost_per_minute_forecast!$B$212</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DTE_cost_per_minute_forecast!$C$212:$L$212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F6A-4411-A2B3-E88275D2E832}"/>
            </c:ext>
          </c:extLst>
        </c:ser>
        <c:ser>
          <c:idx val="6"/>
          <c:order val="6"/>
          <c:tx>
            <c:strRef>
              <c:f>DTE_cost_per_minute_forecast!$B$213</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DTE_cost_per_minute_forecast!$C$213:$L$213</c:f>
              <c:numCache>
                <c:formatCode>_(* #,##0_);_(* \(#,##0\);_(* "-"??_);_(@_)</c:formatCode>
                <c:ptCount val="10"/>
                <c:pt idx="0">
                  <c:v>20329.351791670972</c:v>
                </c:pt>
                <c:pt idx="1">
                  <c:v>24922.215756830512</c:v>
                </c:pt>
                <c:pt idx="2">
                  <c:v>28674.060422515151</c:v>
                </c:pt>
                <c:pt idx="3">
                  <c:v>33356.636921670346</c:v>
                </c:pt>
                <c:pt idx="4">
                  <c:v>46286.082035361513</c:v>
                </c:pt>
                <c:pt idx="5">
                  <c:v>51306.179180693565</c:v>
                </c:pt>
                <c:pt idx="6">
                  <c:v>56514.962735970847</c:v>
                </c:pt>
                <c:pt idx="7">
                  <c:v>61917.972118733036</c:v>
                </c:pt>
                <c:pt idx="8">
                  <c:v>67520.89284865743</c:v>
                </c:pt>
                <c:pt idx="9">
                  <c:v>73329.560175877414</c:v>
                </c:pt>
              </c:numCache>
            </c:numRef>
          </c:val>
          <c:extLst>
            <c:ext xmlns:c16="http://schemas.microsoft.com/office/drawing/2014/chart" uri="{C3380CC4-5D6E-409C-BE32-E72D297353CC}">
              <c16:uniqueId val="{00000006-9F6A-4411-A2B3-E88275D2E832}"/>
            </c:ext>
          </c:extLst>
        </c:ser>
        <c:ser>
          <c:idx val="7"/>
          <c:order val="7"/>
          <c:tx>
            <c:strRef>
              <c:f>DTE_cost_per_minute_forecast!$B$214</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DTE_cost_per_minute_forecast!$C$214:$L$214</c:f>
              <c:numCache>
                <c:formatCode>_(* #,##0_);_(* \(#,##0\);_(* "-"??_);_(@_)</c:formatCode>
                <c:ptCount val="10"/>
                <c:pt idx="0">
                  <c:v>1304878.4523147678</c:v>
                </c:pt>
                <c:pt idx="1">
                  <c:v>2626826.8539566486</c:v>
                </c:pt>
                <c:pt idx="2">
                  <c:v>2968093.894775732</c:v>
                </c:pt>
                <c:pt idx="3">
                  <c:v>3323184.370355201</c:v>
                </c:pt>
                <c:pt idx="4">
                  <c:v>3691607.8817452462</c:v>
                </c:pt>
                <c:pt idx="5">
                  <c:v>5153552.6403024541</c:v>
                </c:pt>
                <c:pt idx="6">
                  <c:v>5571905.7480669627</c:v>
                </c:pt>
                <c:pt idx="7">
                  <c:v>6005328.3290326204</c:v>
                </c:pt>
                <c:pt idx="8">
                  <c:v>6454255.8208843684</c:v>
                </c:pt>
                <c:pt idx="9">
                  <c:v>6919135.0510252677</c:v>
                </c:pt>
              </c:numCache>
            </c:numRef>
          </c:val>
          <c:extLst>
            <c:ext xmlns:c16="http://schemas.microsoft.com/office/drawing/2014/chart" uri="{C3380CC4-5D6E-409C-BE32-E72D297353CC}">
              <c16:uniqueId val="{00000007-9F6A-4411-A2B3-E88275D2E832}"/>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(60%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DTE_cost_per_minute_forecast!$B$113</c:f>
              <c:strCache>
                <c:ptCount val="1"/>
                <c:pt idx="0">
                  <c:v>Low Demand</c:v>
                </c:pt>
              </c:strCache>
            </c:strRef>
          </c:tx>
          <c:spPr>
            <a:ln w="28575" cap="rnd">
              <a:solidFill>
                <a:schemeClr val="accent1"/>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DTE_cost_per_minute_forecast!$C$123:$L$123</c:f>
              <c:numCache>
                <c:formatCode>_(* #,##0_);_(* \(#,##0\);_(* "-"??_);_(@_)</c:formatCode>
                <c:ptCount val="10"/>
                <c:pt idx="0">
                  <c:v>17687986.901727285</c:v>
                </c:pt>
                <c:pt idx="1">
                  <c:v>16871106.283021927</c:v>
                </c:pt>
                <c:pt idx="2">
                  <c:v>16110995.39416676</c:v>
                </c:pt>
                <c:pt idx="3">
                  <c:v>14819781.184247125</c:v>
                </c:pt>
                <c:pt idx="4">
                  <c:v>16196843.357932106</c:v>
                </c:pt>
                <c:pt idx="5">
                  <c:v>17253046.035866905</c:v>
                </c:pt>
                <c:pt idx="6">
                  <c:v>17441832.820451505</c:v>
                </c:pt>
                <c:pt idx="7">
                  <c:v>18681549.156727735</c:v>
                </c:pt>
                <c:pt idx="8">
                  <c:v>19390623.822589919</c:v>
                </c:pt>
                <c:pt idx="9">
                  <c:v>20123733.135467675</c:v>
                </c:pt>
              </c:numCache>
            </c:numRef>
          </c:val>
          <c:smooth val="0"/>
          <c:extLst>
            <c:ext xmlns:c16="http://schemas.microsoft.com/office/drawing/2014/chart" uri="{C3380CC4-5D6E-409C-BE32-E72D297353CC}">
              <c16:uniqueId val="{00000000-C08A-421E-B9E7-A8AFCFBF60EC}"/>
            </c:ext>
          </c:extLst>
        </c:ser>
        <c:ser>
          <c:idx val="1"/>
          <c:order val="1"/>
          <c:tx>
            <c:strRef>
              <c:f>DTE_cost_per_minute_forecast!$B$131</c:f>
              <c:strCache>
                <c:ptCount val="1"/>
                <c:pt idx="0">
                  <c:v>Baseline Demand</c:v>
                </c:pt>
              </c:strCache>
            </c:strRef>
          </c:tx>
          <c:spPr>
            <a:ln w="28575" cap="rnd">
              <a:solidFill>
                <a:schemeClr val="accent2"/>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DTE_cost_per_minute_forecast!$C$141:$L$141</c:f>
              <c:numCache>
                <c:formatCode>_(* #,##0_);_(* \(#,##0\);_(* "-"??_);_(@_)</c:formatCode>
                <c:ptCount val="10"/>
                <c:pt idx="0">
                  <c:v>18499865.5294284</c:v>
                </c:pt>
                <c:pt idx="1">
                  <c:v>18506006.831878703</c:v>
                </c:pt>
                <c:pt idx="2">
                  <c:v>18529629.721562933</c:v>
                </c:pt>
                <c:pt idx="3">
                  <c:v>18272232.496154089</c:v>
                </c:pt>
                <c:pt idx="4">
                  <c:v>20598718.780613482</c:v>
                </c:pt>
                <c:pt idx="5">
                  <c:v>22640941.553228907</c:v>
                </c:pt>
                <c:pt idx="6">
                  <c:v>23853428.486112289</c:v>
                </c:pt>
                <c:pt idx="7">
                  <c:v>26155637.818412304</c:v>
                </c:pt>
                <c:pt idx="8">
                  <c:v>27967140.561872959</c:v>
                </c:pt>
                <c:pt idx="9">
                  <c:v>29843785.43998846</c:v>
                </c:pt>
              </c:numCache>
            </c:numRef>
          </c:val>
          <c:smooth val="0"/>
          <c:extLst>
            <c:ext xmlns:c16="http://schemas.microsoft.com/office/drawing/2014/chart" uri="{C3380CC4-5D6E-409C-BE32-E72D297353CC}">
              <c16:uniqueId val="{00000001-C08A-421E-B9E7-A8AFCFBF60EC}"/>
            </c:ext>
          </c:extLst>
        </c:ser>
        <c:ser>
          <c:idx val="2"/>
          <c:order val="2"/>
          <c:tx>
            <c:strRef>
              <c:f>DTE_cost_per_minute_forecast!$B$149</c:f>
              <c:strCache>
                <c:ptCount val="1"/>
                <c:pt idx="0">
                  <c:v>High Demand</c:v>
                </c:pt>
              </c:strCache>
            </c:strRef>
          </c:tx>
          <c:spPr>
            <a:ln w="28575" cap="rnd">
              <a:solidFill>
                <a:schemeClr val="accent3"/>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DTE_cost_per_minute_forecast!$C$159:$L$159</c:f>
              <c:numCache>
                <c:formatCode>_(* #,##0_);_(* \(#,##0\);_(* "-"??_);_(@_)</c:formatCode>
                <c:ptCount val="10"/>
                <c:pt idx="0">
                  <c:v>19144031.119538732</c:v>
                </c:pt>
                <c:pt idx="1">
                  <c:v>19798772.784050293</c:v>
                </c:pt>
                <c:pt idx="2">
                  <c:v>20424798.116030775</c:v>
                </c:pt>
                <c:pt idx="3">
                  <c:v>21012770.139278516</c:v>
                </c:pt>
                <c:pt idx="4">
                  <c:v>24092904.275597125</c:v>
                </c:pt>
                <c:pt idx="5">
                  <c:v>26917824.599088892</c:v>
                </c:pt>
                <c:pt idx="6">
                  <c:v>28942919.310685668</c:v>
                </c:pt>
                <c:pt idx="7">
                  <c:v>32088529.979629271</c:v>
                </c:pt>
                <c:pt idx="8">
                  <c:v>34775134.316869438</c:v>
                </c:pt>
                <c:pt idx="9">
                  <c:v>37559511.695651121</c:v>
                </c:pt>
              </c:numCache>
            </c:numRef>
          </c:val>
          <c:smooth val="0"/>
          <c:extLst>
            <c:ext xmlns:c16="http://schemas.microsoft.com/office/drawing/2014/chart" uri="{C3380CC4-5D6E-409C-BE32-E72D297353CC}">
              <c16:uniqueId val="{00000002-C08A-421E-B9E7-A8AFCFBF60EC}"/>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(80%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DTE_cost_per_minute_forecast!$B$169</c:f>
              <c:strCache>
                <c:ptCount val="1"/>
                <c:pt idx="0">
                  <c:v>Low Demand</c:v>
                </c:pt>
              </c:strCache>
            </c:strRef>
          </c:tx>
          <c:spPr>
            <a:ln w="28575" cap="rnd">
              <a:solidFill>
                <a:schemeClr val="accent1"/>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DTE_cost_per_minute_forecast!$C$179:$L$179</c:f>
              <c:numCache>
                <c:formatCode>_(* #,##0_);_(* \(#,##0\);_(* "-"??_);_(@_)</c:formatCode>
                <c:ptCount val="10"/>
                <c:pt idx="0">
                  <c:v>19898985.264443193</c:v>
                </c:pt>
                <c:pt idx="1">
                  <c:v>18979994.568399664</c:v>
                </c:pt>
                <c:pt idx="2">
                  <c:v>18124869.818437599</c:v>
                </c:pt>
                <c:pt idx="3">
                  <c:v>16672253.832278011</c:v>
                </c:pt>
                <c:pt idx="4">
                  <c:v>18221448.777673617</c:v>
                </c:pt>
                <c:pt idx="5">
                  <c:v>19409676.790350262</c:v>
                </c:pt>
                <c:pt idx="6">
                  <c:v>19622061.923007935</c:v>
                </c:pt>
                <c:pt idx="7">
                  <c:v>21016742.801318698</c:v>
                </c:pt>
                <c:pt idx="8">
                  <c:v>21814451.800413657</c:v>
                </c:pt>
                <c:pt idx="9">
                  <c:v>22639199.777401134</c:v>
                </c:pt>
              </c:numCache>
            </c:numRef>
          </c:val>
          <c:smooth val="0"/>
          <c:extLst>
            <c:ext xmlns:c16="http://schemas.microsoft.com/office/drawing/2014/chart" uri="{C3380CC4-5D6E-409C-BE32-E72D297353CC}">
              <c16:uniqueId val="{00000000-3003-48D8-B15A-AAE03D5BBAB1}"/>
            </c:ext>
          </c:extLst>
        </c:ser>
        <c:ser>
          <c:idx val="1"/>
          <c:order val="1"/>
          <c:tx>
            <c:strRef>
              <c:f>DTE_cost_per_minute_forecast!$B$187</c:f>
              <c:strCache>
                <c:ptCount val="1"/>
                <c:pt idx="0">
                  <c:v>Baseline Demand</c:v>
                </c:pt>
              </c:strCache>
            </c:strRef>
          </c:tx>
          <c:spPr>
            <a:ln w="28575" cap="rnd">
              <a:solidFill>
                <a:schemeClr val="accent2"/>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DTE_cost_per_minute_forecast!$C$197:$L$197</c:f>
              <c:numCache>
                <c:formatCode>_(* #,##0_);_(* \(#,##0\);_(* "-"??_);_(@_)</c:formatCode>
                <c:ptCount val="10"/>
                <c:pt idx="0">
                  <c:v>20812348.720606942</c:v>
                </c:pt>
                <c:pt idx="1">
                  <c:v>20819257.685863536</c:v>
                </c:pt>
                <c:pt idx="2">
                  <c:v>20845833.436758295</c:v>
                </c:pt>
                <c:pt idx="3">
                  <c:v>20556261.558173344</c:v>
                </c:pt>
                <c:pt idx="4">
                  <c:v>23173558.628190164</c:v>
                </c:pt>
                <c:pt idx="5">
                  <c:v>25471059.247382522</c:v>
                </c:pt>
                <c:pt idx="6">
                  <c:v>26835107.046876326</c:v>
                </c:pt>
                <c:pt idx="7">
                  <c:v>29425092.545713842</c:v>
                </c:pt>
                <c:pt idx="8">
                  <c:v>31463033.132107079</c:v>
                </c:pt>
                <c:pt idx="9">
                  <c:v>33574258.619987011</c:v>
                </c:pt>
              </c:numCache>
            </c:numRef>
          </c:val>
          <c:smooth val="0"/>
          <c:extLst>
            <c:ext xmlns:c16="http://schemas.microsoft.com/office/drawing/2014/chart" uri="{C3380CC4-5D6E-409C-BE32-E72D297353CC}">
              <c16:uniqueId val="{00000001-3003-48D8-B15A-AAE03D5BBAB1}"/>
            </c:ext>
          </c:extLst>
        </c:ser>
        <c:ser>
          <c:idx val="2"/>
          <c:order val="2"/>
          <c:tx>
            <c:strRef>
              <c:f>DTE_cost_per_minute_forecast!$B$205</c:f>
              <c:strCache>
                <c:ptCount val="1"/>
                <c:pt idx="0">
                  <c:v>High Demand</c:v>
                </c:pt>
              </c:strCache>
            </c:strRef>
          </c:tx>
          <c:spPr>
            <a:ln w="28575" cap="rnd">
              <a:solidFill>
                <a:schemeClr val="accent3"/>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DTE_cost_per_minute_forecast!$C$215:$L$215</c:f>
              <c:numCache>
                <c:formatCode>_(* #,##0_);_(* \(#,##0\);_(* "-"??_);_(@_)</c:formatCode>
                <c:ptCount val="10"/>
                <c:pt idx="0">
                  <c:v>21537035.009481072</c:v>
                </c:pt>
                <c:pt idx="1">
                  <c:v>22273619.382056575</c:v>
                </c:pt>
                <c:pt idx="2">
                  <c:v>22977897.880534615</c:v>
                </c:pt>
                <c:pt idx="3">
                  <c:v>23639366.406688325</c:v>
                </c:pt>
                <c:pt idx="4">
                  <c:v>27104517.310046759</c:v>
                </c:pt>
                <c:pt idx="5">
                  <c:v>30282552.673975002</c:v>
                </c:pt>
                <c:pt idx="6">
                  <c:v>32560784.224521369</c:v>
                </c:pt>
                <c:pt idx="7">
                  <c:v>36099596.227082923</c:v>
                </c:pt>
                <c:pt idx="8">
                  <c:v>39122026.10647811</c:v>
                </c:pt>
                <c:pt idx="9">
                  <c:v>42254450.657607511</c:v>
                </c:pt>
              </c:numCache>
            </c:numRef>
          </c:val>
          <c:smooth val="0"/>
          <c:extLst>
            <c:ext xmlns:c16="http://schemas.microsoft.com/office/drawing/2014/chart" uri="{C3380CC4-5D6E-409C-BE32-E72D297353CC}">
              <c16:uniqueId val="{00000002-3003-48D8-B15A-AAE03D5BBAB1}"/>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(20%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SR_cost_per_minute_forecast!$B$3</c:f>
              <c:strCache>
                <c:ptCount val="1"/>
                <c:pt idx="0">
                  <c:v>Human Space Flight</c:v>
                </c:pt>
              </c:strCache>
            </c:strRef>
          </c:tx>
          <c:spPr>
            <a:solidFill>
              <a:schemeClr val="accent1"/>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SR_cost_per_minute_forecast!$C$3:$L$3</c:f>
              <c:numCache>
                <c:formatCode>_(* #,##0_);_(* \(#,##0\);_(* "-"??_);_(@_)</c:formatCode>
                <c:ptCount val="10"/>
                <c:pt idx="0">
                  <c:v>5157318.6296776216</c:v>
                </c:pt>
                <c:pt idx="1">
                  <c:v>5288138.4193084687</c:v>
                </c:pt>
                <c:pt idx="2">
                  <c:v>5424140.685220845</c:v>
                </c:pt>
                <c:pt idx="3">
                  <c:v>5565480.3985501602</c:v>
                </c:pt>
                <c:pt idx="4">
                  <c:v>5712316.6562867267</c:v>
                </c:pt>
                <c:pt idx="5">
                  <c:v>5864812.7843215028</c:v>
                </c:pt>
                <c:pt idx="6">
                  <c:v>6023136.4429633217</c:v>
                </c:pt>
                <c:pt idx="7">
                  <c:v>6187459.7349852519</c:v>
                </c:pt>
                <c:pt idx="8">
                  <c:v>6357959.3162590405</c:v>
                </c:pt>
                <c:pt idx="9">
                  <c:v>6534816.5090379538</c:v>
                </c:pt>
              </c:numCache>
            </c:numRef>
          </c:val>
          <c:extLst>
            <c:ext xmlns:c16="http://schemas.microsoft.com/office/drawing/2014/chart" uri="{C3380CC4-5D6E-409C-BE32-E72D297353CC}">
              <c16:uniqueId val="{00000000-78C3-4F50-B8CC-92997E12B376}"/>
            </c:ext>
          </c:extLst>
        </c:ser>
        <c:ser>
          <c:idx val="1"/>
          <c:order val="1"/>
          <c:tx>
            <c:strRef>
              <c:f>SR_cost_per_minute_forecast!$B$4</c:f>
              <c:strCache>
                <c:ptCount val="1"/>
                <c:pt idx="0">
                  <c:v>Near Earth Robotic - LEO Science</c:v>
                </c:pt>
              </c:strCache>
            </c:strRef>
          </c:tx>
          <c:spPr>
            <a:solidFill>
              <a:schemeClr val="accent2"/>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SR_cost_per_minute_forecast!$C$4:$L$4</c:f>
              <c:numCache>
                <c:formatCode>_(* #,##0_);_(* \(#,##0\);_(* "-"??_);_(@_)</c:formatCode>
                <c:ptCount val="10"/>
                <c:pt idx="0">
                  <c:v>12493153.706076512</c:v>
                </c:pt>
                <c:pt idx="1">
                  <c:v>12247757.918137038</c:v>
                </c:pt>
                <c:pt idx="2">
                  <c:v>13511195.660613988</c:v>
                </c:pt>
                <c:pt idx="3">
                  <c:v>14138575.70061142</c:v>
                </c:pt>
                <c:pt idx="4">
                  <c:v>15269134.857713597</c:v>
                </c:pt>
                <c:pt idx="5">
                  <c:v>16154915.761691894</c:v>
                </c:pt>
                <c:pt idx="6">
                  <c:v>17160290.841306839</c:v>
                </c:pt>
                <c:pt idx="7">
                  <c:v>18180221.362193629</c:v>
                </c:pt>
                <c:pt idx="8">
                  <c:v>19042647.963365618</c:v>
                </c:pt>
                <c:pt idx="9">
                  <c:v>19932591.677882396</c:v>
                </c:pt>
              </c:numCache>
            </c:numRef>
          </c:val>
          <c:extLst>
            <c:ext xmlns:c16="http://schemas.microsoft.com/office/drawing/2014/chart" uri="{C3380CC4-5D6E-409C-BE32-E72D297353CC}">
              <c16:uniqueId val="{00000001-78C3-4F50-B8CC-92997E12B376}"/>
            </c:ext>
          </c:extLst>
        </c:ser>
        <c:ser>
          <c:idx val="2"/>
          <c:order val="2"/>
          <c:tx>
            <c:strRef>
              <c:f>SR_cost_per_minute_forecast!$B$5</c:f>
              <c:strCache>
                <c:ptCount val="1"/>
                <c:pt idx="0">
                  <c:v>Near Earth Robotic - GEO and Near Earth</c:v>
                </c:pt>
              </c:strCache>
            </c:strRef>
          </c:tx>
          <c:spPr>
            <a:solidFill>
              <a:schemeClr val="accent3"/>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SR_cost_per_minute_forecast!$C$5:$L$5</c:f>
              <c:numCache>
                <c:formatCode>_(* #,##0_);_(* \(#,##0\);_(* "-"??_);_(@_)</c:formatCode>
                <c:ptCount val="10"/>
                <c:pt idx="0">
                  <c:v>82841.77526456237</c:v>
                </c:pt>
                <c:pt idx="1">
                  <c:v>88226.490656758921</c:v>
                </c:pt>
                <c:pt idx="2">
                  <c:v>123896.08804129784</c:v>
                </c:pt>
                <c:pt idx="3">
                  <c:v>131868.53196743352</c:v>
                </c:pt>
                <c:pt idx="4">
                  <c:v>140110.31521539815</c:v>
                </c:pt>
                <c:pt idx="5">
                  <c:v>148629.02238049434</c:v>
                </c:pt>
                <c:pt idx="6">
                  <c:v>157432.43370610825</c:v>
                </c:pt>
                <c:pt idx="7">
                  <c:v>166528.52987579445</c:v>
                </c:pt>
                <c:pt idx="8">
                  <c:v>175925.49691878574</c:v>
                </c:pt>
                <c:pt idx="9">
                  <c:v>185631.73123154635</c:v>
                </c:pt>
              </c:numCache>
            </c:numRef>
          </c:val>
          <c:extLst>
            <c:ext xmlns:c16="http://schemas.microsoft.com/office/drawing/2014/chart" uri="{C3380CC4-5D6E-409C-BE32-E72D297353CC}">
              <c16:uniqueId val="{00000002-78C3-4F50-B8CC-92997E12B376}"/>
            </c:ext>
          </c:extLst>
        </c:ser>
        <c:ser>
          <c:idx val="3"/>
          <c:order val="3"/>
          <c:tx>
            <c:strRef>
              <c:f>SR_cost_per_minute_forecast!$B$6</c:f>
              <c:strCache>
                <c:ptCount val="1"/>
                <c:pt idx="0">
                  <c:v>Deep Space Robotic</c:v>
                </c:pt>
              </c:strCache>
            </c:strRef>
          </c:tx>
          <c:spPr>
            <a:solidFill>
              <a:schemeClr val="accent4"/>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SR_cost_per_minute_forecast!$C$6:$L$6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8C3-4F50-B8CC-92997E12B376}"/>
            </c:ext>
          </c:extLst>
        </c:ser>
        <c:ser>
          <c:idx val="4"/>
          <c:order val="4"/>
          <c:tx>
            <c:strRef>
              <c:f>SR_cost_per_minute_forecast!$B$7</c:f>
              <c:strCache>
                <c:ptCount val="1"/>
                <c:pt idx="0">
                  <c:v>Near Earth Robotic - Low Latency &amp; Complex Needs</c:v>
                </c:pt>
              </c:strCache>
            </c:strRef>
          </c:tx>
          <c:spPr>
            <a:solidFill>
              <a:schemeClr val="accent5"/>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SR_cost_per_minute_forecast!$C$7:$L$7</c:f>
              <c:numCache>
                <c:formatCode>_(* #,##0_);_(* \(#,##0\);_(* "-"??_);_(@_)</c:formatCode>
                <c:ptCount val="10"/>
                <c:pt idx="0">
                  <c:v>5042.3048067469181</c:v>
                </c:pt>
                <c:pt idx="1">
                  <c:v>5042.3048067469181</c:v>
                </c:pt>
                <c:pt idx="2">
                  <c:v>5042.3048067469181</c:v>
                </c:pt>
                <c:pt idx="3">
                  <c:v>5042.3048067469181</c:v>
                </c:pt>
                <c:pt idx="4">
                  <c:v>5457.9528833454488</c:v>
                </c:pt>
                <c:pt idx="5">
                  <c:v>5567.1119410123583</c:v>
                </c:pt>
                <c:pt idx="6">
                  <c:v>5678.4541798326054</c:v>
                </c:pt>
                <c:pt idx="7">
                  <c:v>5792.0232634292561</c:v>
                </c:pt>
                <c:pt idx="8">
                  <c:v>5907.8637286978428</c:v>
                </c:pt>
                <c:pt idx="9">
                  <c:v>6026.0210032717987</c:v>
                </c:pt>
              </c:numCache>
            </c:numRef>
          </c:val>
          <c:extLst>
            <c:ext xmlns:c16="http://schemas.microsoft.com/office/drawing/2014/chart" uri="{C3380CC4-5D6E-409C-BE32-E72D297353CC}">
              <c16:uniqueId val="{00000004-78C3-4F50-B8CC-92997E12B376}"/>
            </c:ext>
          </c:extLst>
        </c:ser>
        <c:ser>
          <c:idx val="5"/>
          <c:order val="5"/>
          <c:tx>
            <c:strRef>
              <c:f>SR_cost_per_minute_forecast!$B$8</c:f>
              <c:strCache>
                <c:ptCount val="1"/>
                <c:pt idx="0">
                  <c:v>Mission Operations</c:v>
                </c:pt>
              </c:strCache>
            </c:strRef>
          </c:tx>
          <c:spPr>
            <a:solidFill>
              <a:schemeClr val="accent6"/>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SR_cost_per_minute_forecast!$C$8:$L$8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8C3-4F50-B8CC-92997E12B376}"/>
            </c:ext>
          </c:extLst>
        </c:ser>
        <c:ser>
          <c:idx val="6"/>
          <c:order val="6"/>
          <c:tx>
            <c:strRef>
              <c:f>SR_cost_per_minute_forecast!$B$9</c:f>
              <c:strCache>
                <c:ptCount val="1"/>
                <c:pt idx="0">
                  <c:v>Launch Events</c:v>
                </c:pt>
              </c:strCache>
            </c:strRef>
          </c:tx>
          <c:spPr>
            <a:solidFill>
              <a:schemeClr val="accent1">
                <a:lumMod val="60000"/>
              </a:schemeClr>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SR_cost_per_minute_forecast!$C$9:$L$9</c:f>
              <c:numCache>
                <c:formatCode>_(* #,##0_);_(* \(#,##0\);_(* "-"??_);_(@_)</c:formatCode>
                <c:ptCount val="10"/>
                <c:pt idx="0">
                  <c:v>80379.046960624924</c:v>
                </c:pt>
                <c:pt idx="1">
                  <c:v>85603.685013065537</c:v>
                </c:pt>
                <c:pt idx="2">
                  <c:v>91035.299111429762</c:v>
                </c:pt>
                <c:pt idx="3">
                  <c:v>96680.078442333572</c:v>
                </c:pt>
                <c:pt idx="4">
                  <c:v>104614.94523809722</c:v>
                </c:pt>
                <c:pt idx="5">
                  <c:v>111249.06622639745</c:v>
                </c:pt>
                <c:pt idx="6">
                  <c:v>118126.80083787459</c:v>
                </c:pt>
                <c:pt idx="7">
                  <c:v>125255.23996906039</c:v>
                </c:pt>
                <c:pt idx="8">
                  <c:v>132641.66070689866</c:v>
                </c:pt>
                <c:pt idx="9">
                  <c:v>140293.53094000299</c:v>
                </c:pt>
              </c:numCache>
            </c:numRef>
          </c:val>
          <c:extLst>
            <c:ext xmlns:c16="http://schemas.microsoft.com/office/drawing/2014/chart" uri="{C3380CC4-5D6E-409C-BE32-E72D297353CC}">
              <c16:uniqueId val="{00000006-78C3-4F50-B8CC-92997E12B376}"/>
            </c:ext>
          </c:extLst>
        </c:ser>
        <c:ser>
          <c:idx val="7"/>
          <c:order val="7"/>
          <c:tx>
            <c:strRef>
              <c:f>SR_cost_per_minute_forecast!$B$10</c:f>
              <c:strCache>
                <c:ptCount val="1"/>
                <c:pt idx="0">
                  <c:v>Terrestrial &amp; Aerial</c:v>
                </c:pt>
              </c:strCache>
            </c:strRef>
          </c:tx>
          <c:spPr>
            <a:solidFill>
              <a:schemeClr val="accent2">
                <a:lumMod val="60000"/>
              </a:schemeClr>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SR_cost_per_minute_forecast!$C$10:$L$10</c:f>
              <c:numCache>
                <c:formatCode>_(* #,##0_);_(* \(#,##0\);_(* "-"??_);_(@_)</c:formatCode>
                <c:ptCount val="10"/>
                <c:pt idx="0">
                  <c:v>1145243.0145355479</c:v>
                </c:pt>
                <c:pt idx="1">
                  <c:v>1191052.73511697</c:v>
                </c:pt>
                <c:pt idx="2">
                  <c:v>1238532.2939002309</c:v>
                </c:pt>
                <c:pt idx="3">
                  <c:v>1287730.1605251716</c:v>
                </c:pt>
                <c:pt idx="4">
                  <c:v>1338696.0754819461</c:v>
                </c:pt>
                <c:pt idx="5">
                  <c:v>1429931.9889159037</c:v>
                </c:pt>
                <c:pt idx="6">
                  <c:v>1492746.1461454295</c:v>
                </c:pt>
                <c:pt idx="7">
                  <c:v>1557648.6701607676</c:v>
                </c:pt>
                <c:pt idx="8">
                  <c:v>1624697.96997046</c:v>
                </c:pt>
                <c:pt idx="9">
                  <c:v>1693953.9555966735</c:v>
                </c:pt>
              </c:numCache>
            </c:numRef>
          </c:val>
          <c:extLst>
            <c:ext xmlns:c16="http://schemas.microsoft.com/office/drawing/2014/chart" uri="{C3380CC4-5D6E-409C-BE32-E72D297353CC}">
              <c16:uniqueId val="{00000007-78C3-4F50-B8CC-92997E12B376}"/>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4532445340563085"/>
        </c:manualLayout>
      </c:layout>
      <c:areaChart>
        <c:grouping val="stacked"/>
        <c:varyColors val="0"/>
        <c:ser>
          <c:idx val="0"/>
          <c:order val="0"/>
          <c:tx>
            <c:strRef>
              <c:f>SR_cost_per_minute_forecast!$B$21</c:f>
              <c:strCache>
                <c:ptCount val="1"/>
                <c:pt idx="0">
                  <c:v>Human Space Flight</c:v>
                </c:pt>
              </c:strCache>
            </c:strRef>
          </c:tx>
          <c:spPr>
            <a:solidFill>
              <a:schemeClr val="accent1"/>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SR_cost_per_minute_forecast!$C$21:$L$21</c:f>
              <c:numCache>
                <c:formatCode>_(* #,##0_);_(* \(#,##0\);_(* "-"??_);_(@_)</c:formatCode>
                <c:ptCount val="10"/>
                <c:pt idx="0">
                  <c:v>5534683.4074589107</c:v>
                </c:pt>
                <c:pt idx="1">
                  <c:v>6057962.565982298</c:v>
                </c:pt>
                <c:pt idx="2">
                  <c:v>6601971.6296318062</c:v>
                </c:pt>
                <c:pt idx="3">
                  <c:v>7167330.4829490669</c:v>
                </c:pt>
                <c:pt idx="4">
                  <c:v>7754675.5138953319</c:v>
                </c:pt>
                <c:pt idx="5">
                  <c:v>8364660.0260344353</c:v>
                </c:pt>
                <c:pt idx="6">
                  <c:v>8997954.6606017128</c:v>
                </c:pt>
                <c:pt idx="7">
                  <c:v>9655247.8286894318</c:v>
                </c:pt>
                <c:pt idx="8">
                  <c:v>10337246.153784586</c:v>
                </c:pt>
                <c:pt idx="9">
                  <c:v>11044674.924900239</c:v>
                </c:pt>
              </c:numCache>
            </c:numRef>
          </c:val>
          <c:extLst>
            <c:ext xmlns:c16="http://schemas.microsoft.com/office/drawing/2014/chart" uri="{C3380CC4-5D6E-409C-BE32-E72D297353CC}">
              <c16:uniqueId val="{00000000-EBAE-4B04-917F-DD73A18CD201}"/>
            </c:ext>
          </c:extLst>
        </c:ser>
        <c:ser>
          <c:idx val="1"/>
          <c:order val="1"/>
          <c:tx>
            <c:strRef>
              <c:f>SR_cost_per_minute_forecast!$B$22</c:f>
              <c:strCache>
                <c:ptCount val="1"/>
                <c:pt idx="0">
                  <c:v>Near Earth Robotic - LEO Science</c:v>
                </c:pt>
              </c:strCache>
            </c:strRef>
          </c:tx>
          <c:spPr>
            <a:solidFill>
              <a:schemeClr val="accent2"/>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SR_cost_per_minute_forecast!$C$22:$L$22</c:f>
              <c:numCache>
                <c:formatCode>_(* #,##0_);_(* \(#,##0\);_(* "-"??_);_(@_)</c:formatCode>
                <c:ptCount val="10"/>
                <c:pt idx="0">
                  <c:v>13077429.391646687</c:v>
                </c:pt>
                <c:pt idx="1">
                  <c:v>13439680.316700198</c:v>
                </c:pt>
                <c:pt idx="2">
                  <c:v>15334836.930415625</c:v>
                </c:pt>
                <c:pt idx="3">
                  <c:v>16618727.827541647</c:v>
                </c:pt>
                <c:pt idx="4">
                  <c:v>18431328.819549635</c:v>
                </c:pt>
                <c:pt idx="5">
                  <c:v>20025441.170979206</c:v>
                </c:pt>
                <c:pt idx="6">
                  <c:v>21766216.07835874</c:v>
                </c:pt>
                <c:pt idx="7">
                  <c:v>23549414.209956989</c:v>
                </c:pt>
                <c:pt idx="8">
                  <c:v>25203796.756174073</c:v>
                </c:pt>
                <c:pt idx="9">
                  <c:v>26915226.976398643</c:v>
                </c:pt>
              </c:numCache>
            </c:numRef>
          </c:val>
          <c:extLst>
            <c:ext xmlns:c16="http://schemas.microsoft.com/office/drawing/2014/chart" uri="{C3380CC4-5D6E-409C-BE32-E72D297353CC}">
              <c16:uniqueId val="{00000001-EBAE-4B04-917F-DD73A18CD201}"/>
            </c:ext>
          </c:extLst>
        </c:ser>
        <c:ser>
          <c:idx val="2"/>
          <c:order val="2"/>
          <c:tx>
            <c:strRef>
              <c:f>SR_cost_per_minute_forecast!$B$23</c:f>
              <c:strCache>
                <c:ptCount val="1"/>
                <c:pt idx="0">
                  <c:v>Near Earth Robotic - GEO and Near Earth</c:v>
                </c:pt>
              </c:strCache>
            </c:strRef>
          </c:tx>
          <c:spPr>
            <a:solidFill>
              <a:schemeClr val="accent3"/>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SR_cost_per_minute_forecast!$C$23:$L$23</c:f>
              <c:numCache>
                <c:formatCode>_(* #,##0_);_(* \(#,##0\);_(* "-"??_);_(@_)</c:formatCode>
                <c:ptCount val="10"/>
                <c:pt idx="0">
                  <c:v>90608.191695615082</c:v>
                </c:pt>
                <c:pt idx="1">
                  <c:v>104069.98017610647</c:v>
                </c:pt>
                <c:pt idx="2">
                  <c:v>148136.62700589959</c:v>
                </c:pt>
                <c:pt idx="3">
                  <c:v>164835.66495929193</c:v>
                </c:pt>
                <c:pt idx="4">
                  <c:v>182143.4097800176</c:v>
                </c:pt>
                <c:pt idx="5">
                  <c:v>200077.53012758857</c:v>
                </c:pt>
                <c:pt idx="6">
                  <c:v>218656.15792515033</c:v>
                </c:pt>
                <c:pt idx="7">
                  <c:v>237897.89982256354</c:v>
                </c:pt>
                <c:pt idx="8">
                  <c:v>257821.84893270329</c:v>
                </c:pt>
                <c:pt idx="9">
                  <c:v>278447.59684731951</c:v>
                </c:pt>
              </c:numCache>
            </c:numRef>
          </c:val>
          <c:extLst>
            <c:ext xmlns:c16="http://schemas.microsoft.com/office/drawing/2014/chart" uri="{C3380CC4-5D6E-409C-BE32-E72D297353CC}">
              <c16:uniqueId val="{00000002-EBAE-4B04-917F-DD73A18CD201}"/>
            </c:ext>
          </c:extLst>
        </c:ser>
        <c:ser>
          <c:idx val="3"/>
          <c:order val="3"/>
          <c:tx>
            <c:strRef>
              <c:f>SR_cost_per_minute_forecast!$B$24</c:f>
              <c:strCache>
                <c:ptCount val="1"/>
                <c:pt idx="0">
                  <c:v>Deep Space Robotic</c:v>
                </c:pt>
              </c:strCache>
            </c:strRef>
          </c:tx>
          <c:spPr>
            <a:solidFill>
              <a:schemeClr val="accent4"/>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SR_cost_per_minute_forecast!$C$24:$L$24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BAE-4B04-917F-DD73A18CD201}"/>
            </c:ext>
          </c:extLst>
        </c:ser>
        <c:ser>
          <c:idx val="4"/>
          <c:order val="4"/>
          <c:tx>
            <c:strRef>
              <c:f>SR_cost_per_minute_forecast!$B$25</c:f>
              <c:strCache>
                <c:ptCount val="1"/>
                <c:pt idx="0">
                  <c:v>Near Earth Robotic - Low Latency &amp; Complex Needs</c:v>
                </c:pt>
              </c:strCache>
            </c:strRef>
          </c:tx>
          <c:spPr>
            <a:solidFill>
              <a:schemeClr val="accent5"/>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SR_cost_per_minute_forecast!$C$25:$L$25</c:f>
              <c:numCache>
                <c:formatCode>_(* #,##0_);_(* \(#,##0\);_(* "-"??_);_(@_)</c:formatCode>
                <c:ptCount val="10"/>
                <c:pt idx="0">
                  <c:v>5546.5352874216096</c:v>
                </c:pt>
                <c:pt idx="1">
                  <c:v>6070.9349873232895</c:v>
                </c:pt>
                <c:pt idx="2">
                  <c:v>6616.1089830287665</c:v>
                </c:pt>
                <c:pt idx="3">
                  <c:v>7182.678486490232</c:v>
                </c:pt>
                <c:pt idx="4">
                  <c:v>8186.9293250181736</c:v>
                </c:pt>
                <c:pt idx="5">
                  <c:v>8907.3791056197733</c:v>
                </c:pt>
                <c:pt idx="6">
                  <c:v>9653.3721057154307</c:v>
                </c:pt>
                <c:pt idx="7">
                  <c:v>10425.641874172659</c:v>
                </c:pt>
                <c:pt idx="8">
                  <c:v>11224.941084525899</c:v>
                </c:pt>
                <c:pt idx="9">
                  <c:v>12052.042006543597</c:v>
                </c:pt>
              </c:numCache>
            </c:numRef>
          </c:val>
          <c:extLst>
            <c:ext xmlns:c16="http://schemas.microsoft.com/office/drawing/2014/chart" uri="{C3380CC4-5D6E-409C-BE32-E72D297353CC}">
              <c16:uniqueId val="{00000004-EBAE-4B04-917F-DD73A18CD201}"/>
            </c:ext>
          </c:extLst>
        </c:ser>
        <c:ser>
          <c:idx val="5"/>
          <c:order val="5"/>
          <c:tx>
            <c:strRef>
              <c:f>SR_cost_per_minute_forecast!$B$26</c:f>
              <c:strCache>
                <c:ptCount val="1"/>
                <c:pt idx="0">
                  <c:v>Mission Operations</c:v>
                </c:pt>
              </c:strCache>
            </c:strRef>
          </c:tx>
          <c:spPr>
            <a:solidFill>
              <a:schemeClr val="accent6"/>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SR_cost_per_minute_forecast!$C$26:$L$26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BAE-4B04-917F-DD73A18CD201}"/>
            </c:ext>
          </c:extLst>
        </c:ser>
        <c:ser>
          <c:idx val="6"/>
          <c:order val="6"/>
          <c:tx>
            <c:strRef>
              <c:f>SR_cost_per_minute_forecast!$B$27</c:f>
              <c:strCache>
                <c:ptCount val="1"/>
                <c:pt idx="0">
                  <c:v>Launch Events</c:v>
                </c:pt>
              </c:strCache>
            </c:strRef>
          </c:tx>
          <c:spPr>
            <a:solidFill>
              <a:schemeClr val="accent1">
                <a:lumMod val="60000"/>
              </a:schemeClr>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SR_cost_per_minute_forecast!$C$27:$L$27</c:f>
              <c:numCache>
                <c:formatCode>_(* #,##0_);_(* \(#,##0\);_(* "-"??_);_(@_)</c:formatCode>
                <c:ptCount val="10"/>
                <c:pt idx="0">
                  <c:v>85402.737395663979</c:v>
                </c:pt>
                <c:pt idx="1">
                  <c:v>95852.013500545218</c:v>
                </c:pt>
                <c:pt idx="2">
                  <c:v>106715.24169727367</c:v>
                </c:pt>
                <c:pt idx="3">
                  <c:v>118004.80035908129</c:v>
                </c:pt>
                <c:pt idx="4">
                  <c:v>131803.96568195056</c:v>
                </c:pt>
                <c:pt idx="5">
                  <c:v>144528.42724967393</c:v>
                </c:pt>
                <c:pt idx="6">
                  <c:v>157729.2404555736</c:v>
                </c:pt>
                <c:pt idx="7">
                  <c:v>171420.36958054954</c:v>
                </c:pt>
                <c:pt idx="8">
                  <c:v>185616.14693608246</c:v>
                </c:pt>
                <c:pt idx="9">
                  <c:v>200331.28199974459</c:v>
                </c:pt>
              </c:numCache>
            </c:numRef>
          </c:val>
          <c:extLst>
            <c:ext xmlns:c16="http://schemas.microsoft.com/office/drawing/2014/chart" uri="{C3380CC4-5D6E-409C-BE32-E72D297353CC}">
              <c16:uniqueId val="{00000006-EBAE-4B04-917F-DD73A18CD201}"/>
            </c:ext>
          </c:extLst>
        </c:ser>
        <c:ser>
          <c:idx val="7"/>
          <c:order val="7"/>
          <c:tx>
            <c:strRef>
              <c:f>SR_cost_per_minute_forecast!$B$28</c:f>
              <c:strCache>
                <c:ptCount val="1"/>
                <c:pt idx="0">
                  <c:v>Terrestrial &amp; Aerial</c:v>
                </c:pt>
              </c:strCache>
            </c:strRef>
          </c:tx>
          <c:spPr>
            <a:solidFill>
              <a:schemeClr val="accent2">
                <a:lumMod val="60000"/>
              </a:schemeClr>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SR_cost_per_minute_forecast!$C$28:$L$28</c:f>
              <c:numCache>
                <c:formatCode>_(* #,##0_);_(* \(#,##0\);_(* "-"??_);_(@_)</c:formatCode>
                <c:ptCount val="10"/>
                <c:pt idx="0">
                  <c:v>1182186.3375850818</c:v>
                </c:pt>
                <c:pt idx="1">
                  <c:v>1266417.114138019</c:v>
                </c:pt>
                <c:pt idx="2">
                  <c:v>1353839.7938024357</c:v>
                </c:pt>
                <c:pt idx="3">
                  <c:v>1444548.3603921703</c:v>
                </c:pt>
                <c:pt idx="4">
                  <c:v>1538639.2803123693</c:v>
                </c:pt>
                <c:pt idx="5">
                  <c:v>1674662.4716283416</c:v>
                </c:pt>
                <c:pt idx="6">
                  <c:v>1783975.4205732308</c:v>
                </c:pt>
                <c:pt idx="7">
                  <c:v>1897138.7957794617</c:v>
                </c:pt>
                <c:pt idx="8">
                  <c:v>2014262.8891179117</c:v>
                </c:pt>
                <c:pt idx="9">
                  <c:v>2135460.8639637856</c:v>
                </c:pt>
              </c:numCache>
            </c:numRef>
          </c:val>
          <c:extLst>
            <c:ext xmlns:c16="http://schemas.microsoft.com/office/drawing/2014/chart" uri="{C3380CC4-5D6E-409C-BE32-E72D297353CC}">
              <c16:uniqueId val="{00000007-EBAE-4B04-917F-DD73A18CD201}"/>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SR_cost_per_minute_forecast!$B$39</c:f>
              <c:strCache>
                <c:ptCount val="1"/>
                <c:pt idx="0">
                  <c:v>Human Space Flight</c:v>
                </c:pt>
              </c:strCache>
            </c:strRef>
          </c:tx>
          <c:spPr>
            <a:solidFill>
              <a:schemeClr val="accent1"/>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SR_cost_per_minute_forecast!$C$39:$L$39</c:f>
              <c:numCache>
                <c:formatCode>_(* #,##0_);_(* \(#,##0\);_(* "-"??_);_(@_)</c:formatCode>
                <c:ptCount val="10"/>
                <c:pt idx="0">
                  <c:v>5786259.9259797707</c:v>
                </c:pt>
                <c:pt idx="1">
                  <c:v>6571178.6637648521</c:v>
                </c:pt>
                <c:pt idx="2">
                  <c:v>7387192.259239113</c:v>
                </c:pt>
                <c:pt idx="3">
                  <c:v>8235230.5392150022</c:v>
                </c:pt>
                <c:pt idx="4">
                  <c:v>9116248.0856344011</c:v>
                </c:pt>
                <c:pt idx="5">
                  <c:v>10031224.853843058</c:v>
                </c:pt>
                <c:pt idx="6">
                  <c:v>10981166.805693973</c:v>
                </c:pt>
                <c:pt idx="7">
                  <c:v>11967106.55782555</c:v>
                </c:pt>
                <c:pt idx="8">
                  <c:v>12990104.045468286</c:v>
                </c:pt>
                <c:pt idx="9">
                  <c:v>14051247.202141764</c:v>
                </c:pt>
              </c:numCache>
            </c:numRef>
          </c:val>
          <c:extLst>
            <c:ext xmlns:c16="http://schemas.microsoft.com/office/drawing/2014/chart" uri="{C3380CC4-5D6E-409C-BE32-E72D297353CC}">
              <c16:uniqueId val="{00000000-6C2A-4F49-93A4-E3C6163E61EF}"/>
            </c:ext>
          </c:extLst>
        </c:ser>
        <c:ser>
          <c:idx val="1"/>
          <c:order val="1"/>
          <c:tx>
            <c:strRef>
              <c:f>SR_cost_per_minute_forecast!$B$40</c:f>
              <c:strCache>
                <c:ptCount val="1"/>
                <c:pt idx="0">
                  <c:v>Near Earth Robotic - LEO Science</c:v>
                </c:pt>
              </c:strCache>
            </c:strRef>
          </c:tx>
          <c:spPr>
            <a:solidFill>
              <a:schemeClr val="accent2"/>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SR_cost_per_minute_forecast!$C$40:$L$40</c:f>
              <c:numCache>
                <c:formatCode>_(* #,##0_);_(* \(#,##0\);_(* "-"??_);_(@_)</c:formatCode>
                <c:ptCount val="10"/>
                <c:pt idx="0">
                  <c:v>13661705.077216865</c:v>
                </c:pt>
                <c:pt idx="1">
                  <c:v>14631602.715263359</c:v>
                </c:pt>
                <c:pt idx="2">
                  <c:v>17158478.200217262</c:v>
                </c:pt>
                <c:pt idx="3">
                  <c:v>19098879.954471871</c:v>
                </c:pt>
                <c:pt idx="4">
                  <c:v>21593522.781385675</c:v>
                </c:pt>
                <c:pt idx="5">
                  <c:v>23895966.580266517</c:v>
                </c:pt>
                <c:pt idx="6">
                  <c:v>26372141.315410636</c:v>
                </c:pt>
                <c:pt idx="7">
                  <c:v>28918607.057720341</c:v>
                </c:pt>
                <c:pt idx="8">
                  <c:v>31364945.548982527</c:v>
                </c:pt>
                <c:pt idx="9">
                  <c:v>33897862.274914891</c:v>
                </c:pt>
              </c:numCache>
            </c:numRef>
          </c:val>
          <c:extLst>
            <c:ext xmlns:c16="http://schemas.microsoft.com/office/drawing/2014/chart" uri="{C3380CC4-5D6E-409C-BE32-E72D297353CC}">
              <c16:uniqueId val="{00000001-6C2A-4F49-93A4-E3C6163E61EF}"/>
            </c:ext>
          </c:extLst>
        </c:ser>
        <c:ser>
          <c:idx val="2"/>
          <c:order val="2"/>
          <c:tx>
            <c:strRef>
              <c:f>SR_cost_per_minute_forecast!$B$41</c:f>
              <c:strCache>
                <c:ptCount val="1"/>
                <c:pt idx="0">
                  <c:v>Near Earth Robotic - GEO and Near Earth</c:v>
                </c:pt>
              </c:strCache>
            </c:strRef>
          </c:tx>
          <c:spPr>
            <a:solidFill>
              <a:schemeClr val="accent3"/>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SR_cost_per_minute_forecast!$C$41:$L$41</c:f>
              <c:numCache>
                <c:formatCode>_(* #,##0_);_(* \(#,##0\);_(* "-"??_);_(@_)</c:formatCode>
                <c:ptCount val="10"/>
                <c:pt idx="0">
                  <c:v>100963.41360368539</c:v>
                </c:pt>
                <c:pt idx="1">
                  <c:v>125194.63286856988</c:v>
                </c:pt>
                <c:pt idx="2">
                  <c:v>180457.34562536865</c:v>
                </c:pt>
                <c:pt idx="3">
                  <c:v>208791.84228176976</c:v>
                </c:pt>
                <c:pt idx="4">
                  <c:v>238187.53586617683</c:v>
                </c:pt>
                <c:pt idx="5">
                  <c:v>268675.54045704746</c:v>
                </c:pt>
                <c:pt idx="6">
                  <c:v>300287.79021720652</c:v>
                </c:pt>
                <c:pt idx="7">
                  <c:v>333057.05975158897</c:v>
                </c:pt>
                <c:pt idx="8">
                  <c:v>367016.98495125992</c:v>
                </c:pt>
                <c:pt idx="9">
                  <c:v>402202.08433501713</c:v>
                </c:pt>
              </c:numCache>
            </c:numRef>
          </c:val>
          <c:extLst>
            <c:ext xmlns:c16="http://schemas.microsoft.com/office/drawing/2014/chart" uri="{C3380CC4-5D6E-409C-BE32-E72D297353CC}">
              <c16:uniqueId val="{00000002-6C2A-4F49-93A4-E3C6163E61EF}"/>
            </c:ext>
          </c:extLst>
        </c:ser>
        <c:ser>
          <c:idx val="3"/>
          <c:order val="3"/>
          <c:tx>
            <c:strRef>
              <c:f>SR_cost_per_minute_forecast!$B$42</c:f>
              <c:strCache>
                <c:ptCount val="1"/>
                <c:pt idx="0">
                  <c:v>Deep Space Robotic</c:v>
                </c:pt>
              </c:strCache>
            </c:strRef>
          </c:tx>
          <c:spPr>
            <a:solidFill>
              <a:schemeClr val="accent4"/>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SR_cost_per_minute_forecast!$C$42:$L$42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C2A-4F49-93A4-E3C6163E61EF}"/>
            </c:ext>
          </c:extLst>
        </c:ser>
        <c:ser>
          <c:idx val="4"/>
          <c:order val="4"/>
          <c:tx>
            <c:strRef>
              <c:f>SR_cost_per_minute_forecast!$B$43</c:f>
              <c:strCache>
                <c:ptCount val="1"/>
                <c:pt idx="0">
                  <c:v>Near Earth Robotic - Low Latency &amp; Complex Needs</c:v>
                </c:pt>
              </c:strCache>
            </c:strRef>
          </c:tx>
          <c:spPr>
            <a:solidFill>
              <a:schemeClr val="accent5"/>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SR_cost_per_minute_forecast!$C$43:$L$43</c:f>
              <c:numCache>
                <c:formatCode>_(* #,##0_);_(* \(#,##0\);_(* "-"??_);_(@_)</c:formatCode>
                <c:ptCount val="10"/>
                <c:pt idx="0">
                  <c:v>6050.7657680963021</c:v>
                </c:pt>
                <c:pt idx="1">
                  <c:v>7099.565167899661</c:v>
                </c:pt>
                <c:pt idx="2">
                  <c:v>8189.9131593106149</c:v>
                </c:pt>
                <c:pt idx="3">
                  <c:v>9323.052166233545</c:v>
                </c:pt>
                <c:pt idx="4">
                  <c:v>10915.905766690898</c:v>
                </c:pt>
                <c:pt idx="5">
                  <c:v>12247.646270227187</c:v>
                </c:pt>
                <c:pt idx="6">
                  <c:v>13628.290031598253</c:v>
                </c:pt>
                <c:pt idx="7">
                  <c:v>15059.260484916063</c:v>
                </c:pt>
                <c:pt idx="8">
                  <c:v>16542.018440353957</c:v>
                </c:pt>
                <c:pt idx="9">
                  <c:v>18078.063009815396</c:v>
                </c:pt>
              </c:numCache>
            </c:numRef>
          </c:val>
          <c:extLst>
            <c:ext xmlns:c16="http://schemas.microsoft.com/office/drawing/2014/chart" uri="{C3380CC4-5D6E-409C-BE32-E72D297353CC}">
              <c16:uniqueId val="{00000004-6C2A-4F49-93A4-E3C6163E61EF}"/>
            </c:ext>
          </c:extLst>
        </c:ser>
        <c:ser>
          <c:idx val="5"/>
          <c:order val="5"/>
          <c:tx>
            <c:strRef>
              <c:f>SR_cost_per_minute_forecast!$B$44</c:f>
              <c:strCache>
                <c:ptCount val="1"/>
                <c:pt idx="0">
                  <c:v>Mission Operations</c:v>
                </c:pt>
              </c:strCache>
            </c:strRef>
          </c:tx>
          <c:spPr>
            <a:solidFill>
              <a:schemeClr val="accent6"/>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SR_cost_per_minute_forecast!$C$44:$L$44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C2A-4F49-93A4-E3C6163E61EF}"/>
            </c:ext>
          </c:extLst>
        </c:ser>
        <c:ser>
          <c:idx val="6"/>
          <c:order val="6"/>
          <c:tx>
            <c:strRef>
              <c:f>SR_cost_per_minute_forecast!$B$45</c:f>
              <c:strCache>
                <c:ptCount val="1"/>
                <c:pt idx="0">
                  <c:v>Launch Events</c:v>
                </c:pt>
              </c:strCache>
            </c:strRef>
          </c:tx>
          <c:spPr>
            <a:solidFill>
              <a:schemeClr val="accent1">
                <a:lumMod val="60000"/>
              </a:schemeClr>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SR_cost_per_minute_forecast!$C$45:$L$45</c:f>
              <c:numCache>
                <c:formatCode>_(* #,##0_);_(* \(#,##0\);_(* "-"??_);_(@_)</c:formatCode>
                <c:ptCount val="10"/>
                <c:pt idx="0">
                  <c:v>87914.582613183506</c:v>
                </c:pt>
                <c:pt idx="1">
                  <c:v>100976.17774428507</c:v>
                </c:pt>
                <c:pt idx="2">
                  <c:v>114555.21299019564</c:v>
                </c:pt>
                <c:pt idx="3">
                  <c:v>128667.16131745513</c:v>
                </c:pt>
                <c:pt idx="4">
                  <c:v>145398.47590387726</c:v>
                </c:pt>
                <c:pt idx="5">
                  <c:v>161168.10776131216</c:v>
                </c:pt>
                <c:pt idx="6">
                  <c:v>177530.46026442311</c:v>
                </c:pt>
                <c:pt idx="7">
                  <c:v>194502.93438629407</c:v>
                </c:pt>
                <c:pt idx="8">
                  <c:v>212103.39005067432</c:v>
                </c:pt>
                <c:pt idx="9">
                  <c:v>230350.15752961542</c:v>
                </c:pt>
              </c:numCache>
            </c:numRef>
          </c:val>
          <c:extLst>
            <c:ext xmlns:c16="http://schemas.microsoft.com/office/drawing/2014/chart" uri="{C3380CC4-5D6E-409C-BE32-E72D297353CC}">
              <c16:uniqueId val="{00000006-6C2A-4F49-93A4-E3C6163E61EF}"/>
            </c:ext>
          </c:extLst>
        </c:ser>
        <c:ser>
          <c:idx val="7"/>
          <c:order val="7"/>
          <c:tx>
            <c:strRef>
              <c:f>SR_cost_per_minute_forecast!$B$46</c:f>
              <c:strCache>
                <c:ptCount val="1"/>
                <c:pt idx="0">
                  <c:v>Terrestrial &amp; Aerial</c:v>
                </c:pt>
              </c:strCache>
            </c:strRef>
          </c:tx>
          <c:spPr>
            <a:solidFill>
              <a:schemeClr val="accent2">
                <a:lumMod val="60000"/>
              </a:schemeClr>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SR_cost_per_minute_forecast!$C$46:$L$46</c:f>
              <c:numCache>
                <c:formatCode>_(* #,##0_);_(* \(#,##0\);_(* "-"??_);_(@_)</c:formatCode>
                <c:ptCount val="10"/>
                <c:pt idx="0">
                  <c:v>1219129.6606346157</c:v>
                </c:pt>
                <c:pt idx="1">
                  <c:v>1341781.493159068</c:v>
                </c:pt>
                <c:pt idx="2">
                  <c:v>1469147.2937046406</c:v>
                </c:pt>
                <c:pt idx="3">
                  <c:v>1601366.560259169</c:v>
                </c:pt>
                <c:pt idx="4">
                  <c:v>1738582.485142793</c:v>
                </c:pt>
                <c:pt idx="5">
                  <c:v>1919392.9543407802</c:v>
                </c:pt>
                <c:pt idx="6">
                  <c:v>2075204.695001032</c:v>
                </c:pt>
                <c:pt idx="7">
                  <c:v>2236628.9213981563</c:v>
                </c:pt>
                <c:pt idx="8">
                  <c:v>2403827.8082653633</c:v>
                </c:pt>
                <c:pt idx="9">
                  <c:v>2576967.7723308974</c:v>
                </c:pt>
              </c:numCache>
            </c:numRef>
          </c:val>
          <c:extLst>
            <c:ext xmlns:c16="http://schemas.microsoft.com/office/drawing/2014/chart" uri="{C3380CC4-5D6E-409C-BE32-E72D297353CC}">
              <c16:uniqueId val="{00000007-6C2A-4F49-93A4-E3C6163E61E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SR </a:t>
            </a:r>
            <a:r>
              <a:rPr lang="en-US"/>
              <a:t>Total aggregate cost by scenario (20%</a:t>
            </a:r>
            <a:r>
              <a:rPr lang="en-US" baseline="0"/>
              <a:t>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c:f>
              <c:strCache>
                <c:ptCount val="1"/>
                <c:pt idx="0">
                  <c:v>Low Demand</c:v>
                </c:pt>
              </c:strCache>
            </c:strRef>
          </c:tx>
          <c:spPr>
            <a:ln w="28575" cap="rnd">
              <a:solidFill>
                <a:schemeClr val="accent1"/>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SR_cost_per_minute_forecast!$C$11:$L$11</c:f>
              <c:numCache>
                <c:formatCode>_(* #,##0_);_(* \(#,##0\);_(* "-"??_);_(@_)</c:formatCode>
                <c:ptCount val="10"/>
                <c:pt idx="0">
                  <c:v>18963978.477321614</c:v>
                </c:pt>
                <c:pt idx="1">
                  <c:v>18905821.553039048</c:v>
                </c:pt>
                <c:pt idx="2">
                  <c:v>20393842.331694536</c:v>
                </c:pt>
                <c:pt idx="3">
                  <c:v>21225377.17490327</c:v>
                </c:pt>
                <c:pt idx="4">
                  <c:v>22570330.80281911</c:v>
                </c:pt>
                <c:pt idx="5">
                  <c:v>23715105.735477205</c:v>
                </c:pt>
                <c:pt idx="6">
                  <c:v>24957411.119139403</c:v>
                </c:pt>
                <c:pt idx="7">
                  <c:v>26222905.560447931</c:v>
                </c:pt>
                <c:pt idx="8">
                  <c:v>27339780.270949505</c:v>
                </c:pt>
                <c:pt idx="9">
                  <c:v>28493313.425691847</c:v>
                </c:pt>
              </c:numCache>
            </c:numRef>
          </c:val>
          <c:smooth val="0"/>
          <c:extLst>
            <c:ext xmlns:c16="http://schemas.microsoft.com/office/drawing/2014/chart" uri="{C3380CC4-5D6E-409C-BE32-E72D297353CC}">
              <c16:uniqueId val="{00000000-8117-474D-A065-693ADF4CC646}"/>
            </c:ext>
          </c:extLst>
        </c:ser>
        <c:ser>
          <c:idx val="1"/>
          <c:order val="1"/>
          <c:tx>
            <c:strRef>
              <c:f>SR_cost_per_minute_forecast!$B$19</c:f>
              <c:strCache>
                <c:ptCount val="1"/>
                <c:pt idx="0">
                  <c:v>Baseline Demand</c:v>
                </c:pt>
              </c:strCache>
            </c:strRef>
          </c:tx>
          <c:spPr>
            <a:ln w="28575" cap="rnd">
              <a:solidFill>
                <a:schemeClr val="accent2"/>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SR_cost_per_minute_forecast!$C$29:$L$29</c:f>
              <c:numCache>
                <c:formatCode>_(* #,##0_);_(* \(#,##0\);_(* "-"??_);_(@_)</c:formatCode>
                <c:ptCount val="10"/>
                <c:pt idx="0">
                  <c:v>19975856.60106938</c:v>
                </c:pt>
                <c:pt idx="1">
                  <c:v>20970052.925484486</c:v>
                </c:pt>
                <c:pt idx="2">
                  <c:v>23552116.331536073</c:v>
                </c:pt>
                <c:pt idx="3">
                  <c:v>25520629.814687748</c:v>
                </c:pt>
                <c:pt idx="4">
                  <c:v>28046777.918544326</c:v>
                </c:pt>
                <c:pt idx="5">
                  <c:v>30418277.005124863</c:v>
                </c:pt>
                <c:pt idx="6">
                  <c:v>32934184.930020124</c:v>
                </c:pt>
                <c:pt idx="7">
                  <c:v>35521544.745703168</c:v>
                </c:pt>
                <c:pt idx="8">
                  <c:v>38009968.736029886</c:v>
                </c:pt>
                <c:pt idx="9">
                  <c:v>40586193.686116271</c:v>
                </c:pt>
              </c:numCache>
            </c:numRef>
          </c:val>
          <c:smooth val="0"/>
          <c:extLst>
            <c:ext xmlns:c16="http://schemas.microsoft.com/office/drawing/2014/chart" uri="{C3380CC4-5D6E-409C-BE32-E72D297353CC}">
              <c16:uniqueId val="{00000001-8117-474D-A065-693ADF4CC646}"/>
            </c:ext>
          </c:extLst>
        </c:ser>
        <c:ser>
          <c:idx val="2"/>
          <c:order val="2"/>
          <c:tx>
            <c:strRef>
              <c:f>SR_cost_per_minute_forecast!$B$37</c:f>
              <c:strCache>
                <c:ptCount val="1"/>
                <c:pt idx="0">
                  <c:v>High Demand</c:v>
                </c:pt>
              </c:strCache>
            </c:strRef>
          </c:tx>
          <c:spPr>
            <a:ln w="28575" cap="rnd">
              <a:solidFill>
                <a:schemeClr val="accent3"/>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SR_cost_per_minute_forecast!$C$47:$L$47</c:f>
              <c:numCache>
                <c:formatCode>_(* #,##0_);_(* \(#,##0\);_(* "-"??_);_(@_)</c:formatCode>
                <c:ptCount val="10"/>
                <c:pt idx="0">
                  <c:v>20862023.425816216</c:v>
                </c:pt>
                <c:pt idx="1">
                  <c:v>22777833.247968033</c:v>
                </c:pt>
                <c:pt idx="2">
                  <c:v>26318020.224935889</c:v>
                </c:pt>
                <c:pt idx="3">
                  <c:v>29282259.109711505</c:v>
                </c:pt>
                <c:pt idx="4">
                  <c:v>32842855.269699618</c:v>
                </c:pt>
                <c:pt idx="5">
                  <c:v>36288675.682938941</c:v>
                </c:pt>
                <c:pt idx="6">
                  <c:v>39919959.356618866</c:v>
                </c:pt>
                <c:pt idx="7">
                  <c:v>43664961.791566849</c:v>
                </c:pt>
                <c:pt idx="8">
                  <c:v>47354539.796158463</c:v>
                </c:pt>
                <c:pt idx="9">
                  <c:v>51176707.55426199</c:v>
                </c:pt>
              </c:numCache>
            </c:numRef>
          </c:val>
          <c:smooth val="0"/>
          <c:extLst>
            <c:ext xmlns:c16="http://schemas.microsoft.com/office/drawing/2014/chart" uri="{C3380CC4-5D6E-409C-BE32-E72D297353CC}">
              <c16:uniqueId val="{00000002-8117-474D-A065-693ADF4CC646}"/>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(40%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SR_cost_per_minute_forecast!$B$59</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SR_cost_per_minute_forecast!$C$59:$L$59</c:f>
              <c:numCache>
                <c:formatCode>_(* #,##0_);_(* \(#,##0\);_(* "-"??_);_(@_)</c:formatCode>
                <c:ptCount val="10"/>
                <c:pt idx="0">
                  <c:v>6016871.7346238913</c:v>
                </c:pt>
                <c:pt idx="1">
                  <c:v>6169494.8225265462</c:v>
                </c:pt>
                <c:pt idx="2">
                  <c:v>6328164.1327576526</c:v>
                </c:pt>
                <c:pt idx="3">
                  <c:v>6493060.4649751866</c:v>
                </c:pt>
                <c:pt idx="4">
                  <c:v>6664369.4323345143</c:v>
                </c:pt>
                <c:pt idx="5">
                  <c:v>6842281.5817084191</c:v>
                </c:pt>
                <c:pt idx="6">
                  <c:v>7026992.5167905418</c:v>
                </c:pt>
                <c:pt idx="7">
                  <c:v>7218703.0241494607</c:v>
                </c:pt>
                <c:pt idx="8">
                  <c:v>7417619.2023022128</c:v>
                </c:pt>
                <c:pt idx="9">
                  <c:v>7623952.5938776126</c:v>
                </c:pt>
              </c:numCache>
            </c:numRef>
          </c:val>
          <c:extLst>
            <c:ext xmlns:c16="http://schemas.microsoft.com/office/drawing/2014/chart" uri="{C3380CC4-5D6E-409C-BE32-E72D297353CC}">
              <c16:uniqueId val="{00000000-3C10-4F8C-AA9E-4565C9E5ECEE}"/>
            </c:ext>
          </c:extLst>
        </c:ser>
        <c:ser>
          <c:idx val="1"/>
          <c:order val="1"/>
          <c:tx>
            <c:strRef>
              <c:f>SR_cost_per_minute_forecast!$B$60</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SR_cost_per_minute_forecast!$C$60:$L$60</c:f>
              <c:numCache>
                <c:formatCode>_(* #,##0_);_(* \(#,##0\);_(* "-"??_);_(@_)</c:formatCode>
                <c:ptCount val="10"/>
                <c:pt idx="0">
                  <c:v>14575345.990422597</c:v>
                </c:pt>
                <c:pt idx="1">
                  <c:v>14289050.904493211</c:v>
                </c:pt>
                <c:pt idx="2">
                  <c:v>15763061.604049653</c:v>
                </c:pt>
                <c:pt idx="3">
                  <c:v>16495004.984046655</c:v>
                </c:pt>
                <c:pt idx="4">
                  <c:v>17813990.66733253</c:v>
                </c:pt>
                <c:pt idx="5">
                  <c:v>18847401.721973877</c:v>
                </c:pt>
                <c:pt idx="6">
                  <c:v>20020339.314857978</c:v>
                </c:pt>
                <c:pt idx="7">
                  <c:v>21210258.255892567</c:v>
                </c:pt>
                <c:pt idx="8">
                  <c:v>22216422.623926554</c:v>
                </c:pt>
                <c:pt idx="9">
                  <c:v>23254690.290862795</c:v>
                </c:pt>
              </c:numCache>
            </c:numRef>
          </c:val>
          <c:extLst>
            <c:ext xmlns:c16="http://schemas.microsoft.com/office/drawing/2014/chart" uri="{C3380CC4-5D6E-409C-BE32-E72D297353CC}">
              <c16:uniqueId val="{00000001-3C10-4F8C-AA9E-4565C9E5ECEE}"/>
            </c:ext>
          </c:extLst>
        </c:ser>
        <c:ser>
          <c:idx val="2"/>
          <c:order val="2"/>
          <c:tx>
            <c:strRef>
              <c:f>SR_cost_per_minute_forecast!$B$61</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SR_cost_per_minute_forecast!$C$61:$L$61</c:f>
              <c:numCache>
                <c:formatCode>_(* #,##0_);_(* \(#,##0\);_(* "-"??_);_(@_)</c:formatCode>
                <c:ptCount val="10"/>
                <c:pt idx="0">
                  <c:v>96648.737808656093</c:v>
                </c:pt>
                <c:pt idx="1">
                  <c:v>102930.90576621874</c:v>
                </c:pt>
                <c:pt idx="2">
                  <c:v>144545.43604818083</c:v>
                </c:pt>
                <c:pt idx="3">
                  <c:v>153846.62062867245</c:v>
                </c:pt>
                <c:pt idx="4">
                  <c:v>163462.03441796449</c:v>
                </c:pt>
                <c:pt idx="5">
                  <c:v>173400.52611057673</c:v>
                </c:pt>
                <c:pt idx="6">
                  <c:v>183671.17265712627</c:v>
                </c:pt>
                <c:pt idx="7">
                  <c:v>194283.28485509352</c:v>
                </c:pt>
                <c:pt idx="8">
                  <c:v>205246.41307191667</c:v>
                </c:pt>
                <c:pt idx="9">
                  <c:v>216570.35310347073</c:v>
                </c:pt>
              </c:numCache>
            </c:numRef>
          </c:val>
          <c:extLst>
            <c:ext xmlns:c16="http://schemas.microsoft.com/office/drawing/2014/chart" uri="{C3380CC4-5D6E-409C-BE32-E72D297353CC}">
              <c16:uniqueId val="{00000002-3C10-4F8C-AA9E-4565C9E5ECEE}"/>
            </c:ext>
          </c:extLst>
        </c:ser>
        <c:ser>
          <c:idx val="3"/>
          <c:order val="3"/>
          <c:tx>
            <c:strRef>
              <c:f>SR_cost_per_minute_forecast!$B$62</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SR_cost_per_minute_forecast!$C$62:$L$62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C10-4F8C-AA9E-4565C9E5ECEE}"/>
            </c:ext>
          </c:extLst>
        </c:ser>
        <c:ser>
          <c:idx val="4"/>
          <c:order val="4"/>
          <c:tx>
            <c:strRef>
              <c:f>SR_cost_per_minute_forecast!$B$63</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SR_cost_per_minute_forecast!$C$63:$L$63</c:f>
              <c:numCache>
                <c:formatCode>_(* #,##0_);_(* \(#,##0\);_(* "-"??_);_(@_)</c:formatCode>
                <c:ptCount val="10"/>
                <c:pt idx="0">
                  <c:v>5882.6889412047376</c:v>
                </c:pt>
                <c:pt idx="1">
                  <c:v>5882.6889412047376</c:v>
                </c:pt>
                <c:pt idx="2">
                  <c:v>5882.6889412047376</c:v>
                </c:pt>
                <c:pt idx="3">
                  <c:v>5882.6889412047376</c:v>
                </c:pt>
                <c:pt idx="4">
                  <c:v>6367.611697236357</c:v>
                </c:pt>
                <c:pt idx="5">
                  <c:v>6494.9639311810843</c:v>
                </c:pt>
                <c:pt idx="6">
                  <c:v>6624.8632098047065</c:v>
                </c:pt>
                <c:pt idx="7">
                  <c:v>6757.3604740007986</c:v>
                </c:pt>
                <c:pt idx="8">
                  <c:v>6892.507683480816</c:v>
                </c:pt>
                <c:pt idx="9">
                  <c:v>7030.3578371504318</c:v>
                </c:pt>
              </c:numCache>
            </c:numRef>
          </c:val>
          <c:extLst>
            <c:ext xmlns:c16="http://schemas.microsoft.com/office/drawing/2014/chart" uri="{C3380CC4-5D6E-409C-BE32-E72D297353CC}">
              <c16:uniqueId val="{00000004-3C10-4F8C-AA9E-4565C9E5ECEE}"/>
            </c:ext>
          </c:extLst>
        </c:ser>
        <c:ser>
          <c:idx val="5"/>
          <c:order val="5"/>
          <c:tx>
            <c:strRef>
              <c:f>SR_cost_per_minute_forecast!$B$64</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SR_cost_per_minute_forecast!$C$64:$L$64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3C10-4F8C-AA9E-4565C9E5ECEE}"/>
            </c:ext>
          </c:extLst>
        </c:ser>
        <c:ser>
          <c:idx val="6"/>
          <c:order val="6"/>
          <c:tx>
            <c:strRef>
              <c:f>SR_cost_per_minute_forecast!$B$65</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SR_cost_per_minute_forecast!$C$65:$L$65</c:f>
              <c:numCache>
                <c:formatCode>_(* #,##0_);_(* \(#,##0\);_(* "-"??_);_(@_)</c:formatCode>
                <c:ptCount val="10"/>
                <c:pt idx="0">
                  <c:v>93775.55478739574</c:v>
                </c:pt>
                <c:pt idx="1">
                  <c:v>99870.965848576467</c:v>
                </c:pt>
                <c:pt idx="2">
                  <c:v>106207.84896333472</c:v>
                </c:pt>
                <c:pt idx="3">
                  <c:v>112793.42484938916</c:v>
                </c:pt>
                <c:pt idx="4">
                  <c:v>122050.76944444676</c:v>
                </c:pt>
                <c:pt idx="5">
                  <c:v>129790.57726413035</c:v>
                </c:pt>
                <c:pt idx="6">
                  <c:v>137814.60097752034</c:v>
                </c:pt>
                <c:pt idx="7">
                  <c:v>146131.11329723711</c:v>
                </c:pt>
                <c:pt idx="8">
                  <c:v>154748.60415804843</c:v>
                </c:pt>
                <c:pt idx="9">
                  <c:v>163675.78609667017</c:v>
                </c:pt>
              </c:numCache>
            </c:numRef>
          </c:val>
          <c:extLst>
            <c:ext xmlns:c16="http://schemas.microsoft.com/office/drawing/2014/chart" uri="{C3380CC4-5D6E-409C-BE32-E72D297353CC}">
              <c16:uniqueId val="{00000006-3C10-4F8C-AA9E-4565C9E5ECEE}"/>
            </c:ext>
          </c:extLst>
        </c:ser>
        <c:ser>
          <c:idx val="7"/>
          <c:order val="7"/>
          <c:tx>
            <c:strRef>
              <c:f>SR_cost_per_minute_forecast!$B$66</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SR_cost_per_minute_forecast!$C$66:$L$66</c:f>
              <c:numCache>
                <c:formatCode>_(* #,##0_);_(* \(#,##0\);_(* "-"??_);_(@_)</c:formatCode>
                <c:ptCount val="10"/>
                <c:pt idx="0">
                  <c:v>1336116.8502914726</c:v>
                </c:pt>
                <c:pt idx="1">
                  <c:v>1389561.5243031317</c:v>
                </c:pt>
                <c:pt idx="2">
                  <c:v>1444954.3428836027</c:v>
                </c:pt>
                <c:pt idx="3">
                  <c:v>1502351.8539460334</c:v>
                </c:pt>
                <c:pt idx="4">
                  <c:v>1561812.0880622705</c:v>
                </c:pt>
                <c:pt idx="5">
                  <c:v>1668253.9870685542</c:v>
                </c:pt>
                <c:pt idx="6">
                  <c:v>1741537.1705030012</c:v>
                </c:pt>
                <c:pt idx="7">
                  <c:v>1817256.7818542286</c:v>
                </c:pt>
                <c:pt idx="8">
                  <c:v>1895480.9649655365</c:v>
                </c:pt>
                <c:pt idx="9">
                  <c:v>1976279.6148627857</c:v>
                </c:pt>
              </c:numCache>
            </c:numRef>
          </c:val>
          <c:extLst>
            <c:ext xmlns:c16="http://schemas.microsoft.com/office/drawing/2014/chart" uri="{C3380CC4-5D6E-409C-BE32-E72D297353CC}">
              <c16:uniqueId val="{00000007-3C10-4F8C-AA9E-4565C9E5ECE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lifespans_all!$B$74</c:f>
              <c:strCache>
                <c:ptCount val="1"/>
                <c:pt idx="0">
                  <c:v>Existing</c:v>
                </c:pt>
              </c:strCache>
            </c:strRef>
          </c:tx>
          <c:spPr>
            <a:solidFill>
              <a:schemeClr val="accent1"/>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lifespans_all!$D$74:$M$74</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CE-4E0E-8E5D-E5BEAF3F277A}"/>
            </c:ext>
          </c:extLst>
        </c:ser>
        <c:ser>
          <c:idx val="1"/>
          <c:order val="1"/>
          <c:tx>
            <c:strRef>
              <c:f>lifespans_all!$B$75</c:f>
              <c:strCache>
                <c:ptCount val="1"/>
                <c:pt idx="0">
                  <c:v>Replacement</c:v>
                </c:pt>
              </c:strCache>
            </c:strRef>
          </c:tx>
          <c:spPr>
            <a:solidFill>
              <a:schemeClr val="accent2"/>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lifespans_all!$D$75:$M$75</c:f>
              <c:numCache>
                <c:formatCode>0</c:formatCode>
                <c:ptCount val="10"/>
                <c:pt idx="0">
                  <c:v>1.2</c:v>
                </c:pt>
                <c:pt idx="1">
                  <c:v>5.4</c:v>
                </c:pt>
                <c:pt idx="2">
                  <c:v>11.6</c:v>
                </c:pt>
                <c:pt idx="3">
                  <c:v>14.800000000000002</c:v>
                </c:pt>
                <c:pt idx="4">
                  <c:v>21</c:v>
                </c:pt>
                <c:pt idx="5">
                  <c:v>26.2</c:v>
                </c:pt>
                <c:pt idx="6">
                  <c:v>30.399999999999995</c:v>
                </c:pt>
                <c:pt idx="7">
                  <c:v>33.6</c:v>
                </c:pt>
                <c:pt idx="8">
                  <c:v>34.799999999999997</c:v>
                </c:pt>
                <c:pt idx="9">
                  <c:v>36</c:v>
                </c:pt>
              </c:numCache>
            </c:numRef>
          </c:val>
          <c:extLst>
            <c:ext xmlns:c16="http://schemas.microsoft.com/office/drawing/2014/chart" uri="{C3380CC4-5D6E-409C-BE32-E72D297353CC}">
              <c16:uniqueId val="{00000001-5CCE-4E0E-8E5D-E5BEAF3F277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 cost by use case (Baseline demand </a:t>
            </a:r>
            <a:r>
              <a:rPr lang="en-US" sz="1200" b="0" i="0" u="none" strike="noStrike" kern="1200" spc="0" baseline="0">
                <a:solidFill>
                  <a:sysClr val="windowText" lastClr="000000">
                    <a:lumMod val="65000"/>
                    <a:lumOff val="35000"/>
                  </a:sysClr>
                </a:solidFill>
                <a:effectLst/>
                <a:latin typeface="+mn-lt"/>
                <a:ea typeface="+mn-ea"/>
                <a:cs typeface="+mn-cs"/>
              </a:rPr>
              <a:t>scenario) (40% profit margin)</a:t>
            </a:r>
            <a:r>
              <a:rPr lang="en-US" sz="1200" b="0" i="0" baseline="0">
                <a:effectLst/>
              </a:rPr>
              <a:t> </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SR_cost_per_minute_forecast!$B$77</c:f>
              <c:strCache>
                <c:ptCount val="1"/>
                <c:pt idx="0">
                  <c:v>Human Space Flight</c:v>
                </c:pt>
              </c:strCache>
            </c:strRef>
          </c:tx>
          <c:spPr>
            <a:solidFill>
              <a:schemeClr val="accent1"/>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SR_cost_per_minute_forecast!$C$77:$L$77</c:f>
              <c:numCache>
                <c:formatCode>_(* #,##0_);_(* \(#,##0\);_(* "-"??_);_(@_)</c:formatCode>
                <c:ptCount val="10"/>
                <c:pt idx="0">
                  <c:v>6457130.6420353958</c:v>
                </c:pt>
                <c:pt idx="1">
                  <c:v>7067622.9936460145</c:v>
                </c:pt>
                <c:pt idx="2">
                  <c:v>7702300.2345704399</c:v>
                </c:pt>
                <c:pt idx="3">
                  <c:v>8361885.5634405771</c:v>
                </c:pt>
                <c:pt idx="4">
                  <c:v>9047121.432877887</c:v>
                </c:pt>
                <c:pt idx="5">
                  <c:v>9758770.0303735062</c:v>
                </c:pt>
                <c:pt idx="6">
                  <c:v>10497613.770701997</c:v>
                </c:pt>
                <c:pt idx="7">
                  <c:v>11264455.800137669</c:v>
                </c:pt>
                <c:pt idx="8">
                  <c:v>12060120.512748685</c:v>
                </c:pt>
                <c:pt idx="9">
                  <c:v>12885454.07905028</c:v>
                </c:pt>
              </c:numCache>
            </c:numRef>
          </c:val>
          <c:extLst>
            <c:ext xmlns:c16="http://schemas.microsoft.com/office/drawing/2014/chart" uri="{C3380CC4-5D6E-409C-BE32-E72D297353CC}">
              <c16:uniqueId val="{00000000-8440-440B-A4A3-AEF9D59E0790}"/>
            </c:ext>
          </c:extLst>
        </c:ser>
        <c:ser>
          <c:idx val="1"/>
          <c:order val="1"/>
          <c:tx>
            <c:strRef>
              <c:f>SR_cost_per_minute_forecast!$B$78</c:f>
              <c:strCache>
                <c:ptCount val="1"/>
                <c:pt idx="0">
                  <c:v>Near Earth Robotic - LEO Science</c:v>
                </c:pt>
              </c:strCache>
            </c:strRef>
          </c:tx>
          <c:spPr>
            <a:solidFill>
              <a:schemeClr val="accent2"/>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SR_cost_per_minute_forecast!$C$78:$L$78</c:f>
              <c:numCache>
                <c:formatCode>_(* #,##0_);_(* \(#,##0\);_(* "-"??_);_(@_)</c:formatCode>
                <c:ptCount val="10"/>
                <c:pt idx="0">
                  <c:v>15257000.956921134</c:v>
                </c:pt>
                <c:pt idx="1">
                  <c:v>15679627.03615023</c:v>
                </c:pt>
                <c:pt idx="2">
                  <c:v>17890643.085484896</c:v>
                </c:pt>
                <c:pt idx="3">
                  <c:v>19388515.798798587</c:v>
                </c:pt>
                <c:pt idx="4">
                  <c:v>21503216.956141241</c:v>
                </c:pt>
                <c:pt idx="5">
                  <c:v>23363014.699475739</c:v>
                </c:pt>
                <c:pt idx="6">
                  <c:v>25393918.758085195</c:v>
                </c:pt>
                <c:pt idx="7">
                  <c:v>27474316.57828315</c:v>
                </c:pt>
                <c:pt idx="8">
                  <c:v>29404429.548869751</c:v>
                </c:pt>
                <c:pt idx="9">
                  <c:v>31401098.139131747</c:v>
                </c:pt>
              </c:numCache>
            </c:numRef>
          </c:val>
          <c:extLst>
            <c:ext xmlns:c16="http://schemas.microsoft.com/office/drawing/2014/chart" uri="{C3380CC4-5D6E-409C-BE32-E72D297353CC}">
              <c16:uniqueId val="{00000001-8440-440B-A4A3-AEF9D59E0790}"/>
            </c:ext>
          </c:extLst>
        </c:ser>
        <c:ser>
          <c:idx val="2"/>
          <c:order val="2"/>
          <c:tx>
            <c:strRef>
              <c:f>SR_cost_per_minute_forecast!$B$79</c:f>
              <c:strCache>
                <c:ptCount val="1"/>
                <c:pt idx="0">
                  <c:v>Near Earth Robotic - GEO and Near Earth</c:v>
                </c:pt>
              </c:strCache>
            </c:strRef>
          </c:tx>
          <c:spPr>
            <a:solidFill>
              <a:schemeClr val="accent3"/>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SR_cost_per_minute_forecast!$C$79:$L$79</c:f>
              <c:numCache>
                <c:formatCode>_(* #,##0_);_(* \(#,##0\);_(* "-"??_);_(@_)</c:formatCode>
                <c:ptCount val="10"/>
                <c:pt idx="0">
                  <c:v>105709.55697821759</c:v>
                </c:pt>
                <c:pt idx="1">
                  <c:v>121414.97687212421</c:v>
                </c:pt>
                <c:pt idx="2">
                  <c:v>172826.06484021619</c:v>
                </c:pt>
                <c:pt idx="3">
                  <c:v>192308.27578584058</c:v>
                </c:pt>
                <c:pt idx="4">
                  <c:v>212500.64474335386</c:v>
                </c:pt>
                <c:pt idx="5">
                  <c:v>233423.78514885332</c:v>
                </c:pt>
                <c:pt idx="6">
                  <c:v>255098.85091267538</c:v>
                </c:pt>
                <c:pt idx="7">
                  <c:v>277547.54979299079</c:v>
                </c:pt>
                <c:pt idx="8">
                  <c:v>300792.15708815382</c:v>
                </c:pt>
                <c:pt idx="9">
                  <c:v>324855.52965520608</c:v>
                </c:pt>
              </c:numCache>
            </c:numRef>
          </c:val>
          <c:extLst>
            <c:ext xmlns:c16="http://schemas.microsoft.com/office/drawing/2014/chart" uri="{C3380CC4-5D6E-409C-BE32-E72D297353CC}">
              <c16:uniqueId val="{00000002-8440-440B-A4A3-AEF9D59E0790}"/>
            </c:ext>
          </c:extLst>
        </c:ser>
        <c:ser>
          <c:idx val="3"/>
          <c:order val="3"/>
          <c:tx>
            <c:strRef>
              <c:f>SR_cost_per_minute_forecast!$B$80</c:f>
              <c:strCache>
                <c:ptCount val="1"/>
                <c:pt idx="0">
                  <c:v>Deep Space Robotic</c:v>
                </c:pt>
              </c:strCache>
            </c:strRef>
          </c:tx>
          <c:spPr>
            <a:solidFill>
              <a:schemeClr val="accent4"/>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SR_cost_per_minute_forecast!$C$80:$L$80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440-440B-A4A3-AEF9D59E0790}"/>
            </c:ext>
          </c:extLst>
        </c:ser>
        <c:ser>
          <c:idx val="4"/>
          <c:order val="4"/>
          <c:tx>
            <c:strRef>
              <c:f>SR_cost_per_minute_forecast!$B$81</c:f>
              <c:strCache>
                <c:ptCount val="1"/>
                <c:pt idx="0">
                  <c:v>Near Earth Robotic - Low Latency &amp; Complex Needs</c:v>
                </c:pt>
              </c:strCache>
            </c:strRef>
          </c:tx>
          <c:spPr>
            <a:solidFill>
              <a:schemeClr val="accent5"/>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SR_cost_per_minute_forecast!$C$81:$L$81</c:f>
              <c:numCache>
                <c:formatCode>_(* #,##0_);_(* \(#,##0\);_(* "-"??_);_(@_)</c:formatCode>
                <c:ptCount val="10"/>
                <c:pt idx="0">
                  <c:v>6470.9578353252109</c:v>
                </c:pt>
                <c:pt idx="1">
                  <c:v>7082.7574852105035</c:v>
                </c:pt>
                <c:pt idx="2">
                  <c:v>7718.7938135335598</c:v>
                </c:pt>
                <c:pt idx="3">
                  <c:v>8379.791567571936</c:v>
                </c:pt>
                <c:pt idx="4">
                  <c:v>9551.4175458545342</c:v>
                </c:pt>
                <c:pt idx="5">
                  <c:v>10391.942289889736</c:v>
                </c:pt>
                <c:pt idx="6">
                  <c:v>11262.267456668002</c:v>
                </c:pt>
                <c:pt idx="7">
                  <c:v>12163.248853201436</c:v>
                </c:pt>
                <c:pt idx="8">
                  <c:v>13095.764598613549</c:v>
                </c:pt>
                <c:pt idx="9">
                  <c:v>14060.715674300864</c:v>
                </c:pt>
              </c:numCache>
            </c:numRef>
          </c:val>
          <c:extLst>
            <c:ext xmlns:c16="http://schemas.microsoft.com/office/drawing/2014/chart" uri="{C3380CC4-5D6E-409C-BE32-E72D297353CC}">
              <c16:uniqueId val="{00000004-8440-440B-A4A3-AEF9D59E0790}"/>
            </c:ext>
          </c:extLst>
        </c:ser>
        <c:ser>
          <c:idx val="5"/>
          <c:order val="5"/>
          <c:tx>
            <c:strRef>
              <c:f>SR_cost_per_minute_forecast!$B$82</c:f>
              <c:strCache>
                <c:ptCount val="1"/>
                <c:pt idx="0">
                  <c:v>Mission Operations</c:v>
                </c:pt>
              </c:strCache>
            </c:strRef>
          </c:tx>
          <c:spPr>
            <a:solidFill>
              <a:schemeClr val="accent6"/>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SR_cost_per_minute_forecast!$C$82:$L$82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440-440B-A4A3-AEF9D59E0790}"/>
            </c:ext>
          </c:extLst>
        </c:ser>
        <c:ser>
          <c:idx val="6"/>
          <c:order val="6"/>
          <c:tx>
            <c:strRef>
              <c:f>SR_cost_per_minute_forecast!$B$83</c:f>
              <c:strCache>
                <c:ptCount val="1"/>
                <c:pt idx="0">
                  <c:v>Launch Events</c:v>
                </c:pt>
              </c:strCache>
            </c:strRef>
          </c:tx>
          <c:spPr>
            <a:solidFill>
              <a:schemeClr val="accent1">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SR_cost_per_minute_forecast!$C$83:$L$83</c:f>
              <c:numCache>
                <c:formatCode>_(* #,##0_);_(* \(#,##0\);_(* "-"??_);_(@_)</c:formatCode>
                <c:ptCount val="10"/>
                <c:pt idx="0">
                  <c:v>99636.526961607975</c:v>
                </c:pt>
                <c:pt idx="1">
                  <c:v>111827.34908396941</c:v>
                </c:pt>
                <c:pt idx="2">
                  <c:v>124501.11531348595</c:v>
                </c:pt>
                <c:pt idx="3">
                  <c:v>137672.26708559482</c:v>
                </c:pt>
                <c:pt idx="4">
                  <c:v>153771.29329560901</c:v>
                </c:pt>
                <c:pt idx="5">
                  <c:v>168616.49845795293</c:v>
                </c:pt>
                <c:pt idx="6">
                  <c:v>184017.44719816919</c:v>
                </c:pt>
                <c:pt idx="7">
                  <c:v>199990.43117730776</c:v>
                </c:pt>
                <c:pt idx="8">
                  <c:v>216552.17142542952</c:v>
                </c:pt>
                <c:pt idx="9">
                  <c:v>233719.82899970203</c:v>
                </c:pt>
              </c:numCache>
            </c:numRef>
          </c:val>
          <c:extLst>
            <c:ext xmlns:c16="http://schemas.microsoft.com/office/drawing/2014/chart" uri="{C3380CC4-5D6E-409C-BE32-E72D297353CC}">
              <c16:uniqueId val="{00000006-8440-440B-A4A3-AEF9D59E0790}"/>
            </c:ext>
          </c:extLst>
        </c:ser>
        <c:ser>
          <c:idx val="7"/>
          <c:order val="7"/>
          <c:tx>
            <c:strRef>
              <c:f>SR_cost_per_minute_forecast!$B$84</c:f>
              <c:strCache>
                <c:ptCount val="1"/>
                <c:pt idx="0">
                  <c:v>Terrestrial &amp; Aerial</c:v>
                </c:pt>
              </c:strCache>
            </c:strRef>
          </c:tx>
          <c:spPr>
            <a:solidFill>
              <a:schemeClr val="accent2">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SR_cost_per_minute_forecast!$C$84:$L$84</c:f>
              <c:numCache>
                <c:formatCode>_(* #,##0_);_(* \(#,##0\);_(* "-"??_);_(@_)</c:formatCode>
                <c:ptCount val="10"/>
                <c:pt idx="0">
                  <c:v>1379217.393849262</c:v>
                </c:pt>
                <c:pt idx="1">
                  <c:v>1477486.6331610221</c:v>
                </c:pt>
                <c:pt idx="2">
                  <c:v>1579479.759436175</c:v>
                </c:pt>
                <c:pt idx="3">
                  <c:v>1685306.4204575319</c:v>
                </c:pt>
                <c:pt idx="4">
                  <c:v>1795079.1603644309</c:v>
                </c:pt>
                <c:pt idx="5">
                  <c:v>1953772.8835663986</c:v>
                </c:pt>
                <c:pt idx="6">
                  <c:v>2081304.6573354357</c:v>
                </c:pt>
                <c:pt idx="7">
                  <c:v>2213328.5950760385</c:v>
                </c:pt>
                <c:pt idx="8">
                  <c:v>2349973.3706375635</c:v>
                </c:pt>
                <c:pt idx="9">
                  <c:v>2491371.00795775</c:v>
                </c:pt>
              </c:numCache>
            </c:numRef>
          </c:val>
          <c:extLst>
            <c:ext xmlns:c16="http://schemas.microsoft.com/office/drawing/2014/chart" uri="{C3380CC4-5D6E-409C-BE32-E72D297353CC}">
              <c16:uniqueId val="{00000007-8440-440B-A4A3-AEF9D59E079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a:t>
            </a:r>
            <a:r>
              <a:rPr lang="en-US" sz="1200" b="0" i="0" u="none" strike="noStrike" baseline="0">
                <a:effectLst/>
              </a:rPr>
              <a:t> (40% profit margin) </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SR_cost_per_minute_forecast!$B$95</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SR_cost_per_minute_forecast!$C$95:$L$95</c:f>
              <c:numCache>
                <c:formatCode>_(* #,##0_);_(* \(#,##0\);_(* "-"??_);_(@_)</c:formatCode>
                <c:ptCount val="10"/>
                <c:pt idx="0">
                  <c:v>6750636.5803097319</c:v>
                </c:pt>
                <c:pt idx="1">
                  <c:v>7666375.1077256603</c:v>
                </c:pt>
                <c:pt idx="2">
                  <c:v>8618390.9691122975</c:v>
                </c:pt>
                <c:pt idx="3">
                  <c:v>9607768.962417502</c:v>
                </c:pt>
                <c:pt idx="4">
                  <c:v>10635622.766573468</c:v>
                </c:pt>
                <c:pt idx="5">
                  <c:v>11703095.662816901</c:v>
                </c:pt>
                <c:pt idx="6">
                  <c:v>12811361.273309635</c:v>
                </c:pt>
                <c:pt idx="7">
                  <c:v>13961624.317463141</c:v>
                </c:pt>
                <c:pt idx="8">
                  <c:v>15155121.386379665</c:v>
                </c:pt>
                <c:pt idx="9">
                  <c:v>16393121.735832058</c:v>
                </c:pt>
              </c:numCache>
            </c:numRef>
          </c:val>
          <c:extLst>
            <c:ext xmlns:c16="http://schemas.microsoft.com/office/drawing/2014/chart" uri="{C3380CC4-5D6E-409C-BE32-E72D297353CC}">
              <c16:uniqueId val="{00000000-7298-4925-8019-120CF6B8F637}"/>
            </c:ext>
          </c:extLst>
        </c:ser>
        <c:ser>
          <c:idx val="1"/>
          <c:order val="1"/>
          <c:tx>
            <c:strRef>
              <c:f>SR_cost_per_minute_forecast!$B$96</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SR_cost_per_minute_forecast!$C$96:$L$96</c:f>
              <c:numCache>
                <c:formatCode>_(* #,##0_);_(* \(#,##0\);_(* "-"??_);_(@_)</c:formatCode>
                <c:ptCount val="10"/>
                <c:pt idx="0">
                  <c:v>15938655.923419675</c:v>
                </c:pt>
                <c:pt idx="1">
                  <c:v>17070203.167807251</c:v>
                </c:pt>
                <c:pt idx="2">
                  <c:v>20018224.566920139</c:v>
                </c:pt>
                <c:pt idx="3">
                  <c:v>22282026.613550518</c:v>
                </c:pt>
                <c:pt idx="4">
                  <c:v>25192443.244949952</c:v>
                </c:pt>
                <c:pt idx="5">
                  <c:v>27878627.676977601</c:v>
                </c:pt>
                <c:pt idx="6">
                  <c:v>30767498.201312408</c:v>
                </c:pt>
                <c:pt idx="7">
                  <c:v>33738374.900673732</c:v>
                </c:pt>
                <c:pt idx="8">
                  <c:v>36592436.473812945</c:v>
                </c:pt>
                <c:pt idx="9">
                  <c:v>39547505.987400703</c:v>
                </c:pt>
              </c:numCache>
            </c:numRef>
          </c:val>
          <c:extLst>
            <c:ext xmlns:c16="http://schemas.microsoft.com/office/drawing/2014/chart" uri="{C3380CC4-5D6E-409C-BE32-E72D297353CC}">
              <c16:uniqueId val="{00000001-7298-4925-8019-120CF6B8F637}"/>
            </c:ext>
          </c:extLst>
        </c:ser>
        <c:ser>
          <c:idx val="2"/>
          <c:order val="2"/>
          <c:tx>
            <c:strRef>
              <c:f>SR_cost_per_minute_forecast!$B$97</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SR_cost_per_minute_forecast!$C$97:$L$97</c:f>
              <c:numCache>
                <c:formatCode>_(* #,##0_);_(* \(#,##0\);_(* "-"??_);_(@_)</c:formatCode>
                <c:ptCount val="10"/>
                <c:pt idx="0">
                  <c:v>117790.64920429961</c:v>
                </c:pt>
                <c:pt idx="1">
                  <c:v>146060.40501333153</c:v>
                </c:pt>
                <c:pt idx="2">
                  <c:v>210533.56989626339</c:v>
                </c:pt>
                <c:pt idx="3">
                  <c:v>243590.48266206469</c:v>
                </c:pt>
                <c:pt idx="4">
                  <c:v>277885.45851053961</c:v>
                </c:pt>
                <c:pt idx="5">
                  <c:v>313454.79719988868</c:v>
                </c:pt>
                <c:pt idx="6">
                  <c:v>350335.75525340758</c:v>
                </c:pt>
                <c:pt idx="7">
                  <c:v>388566.56971018709</c:v>
                </c:pt>
                <c:pt idx="8">
                  <c:v>428186.48244313651</c:v>
                </c:pt>
                <c:pt idx="9">
                  <c:v>469235.76505751995</c:v>
                </c:pt>
              </c:numCache>
            </c:numRef>
          </c:val>
          <c:extLst>
            <c:ext xmlns:c16="http://schemas.microsoft.com/office/drawing/2014/chart" uri="{C3380CC4-5D6E-409C-BE32-E72D297353CC}">
              <c16:uniqueId val="{00000002-7298-4925-8019-120CF6B8F637}"/>
            </c:ext>
          </c:extLst>
        </c:ser>
        <c:ser>
          <c:idx val="3"/>
          <c:order val="3"/>
          <c:tx>
            <c:strRef>
              <c:f>SR_cost_per_minute_forecast!$B$98</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SR_cost_per_minute_forecast!$C$98:$L$98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298-4925-8019-120CF6B8F637}"/>
            </c:ext>
          </c:extLst>
        </c:ser>
        <c:ser>
          <c:idx val="4"/>
          <c:order val="4"/>
          <c:tx>
            <c:strRef>
              <c:f>SR_cost_per_minute_forecast!$B$99</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SR_cost_per_minute_forecast!$C$99:$L$99</c:f>
              <c:numCache>
                <c:formatCode>_(* #,##0_);_(* \(#,##0\);_(* "-"??_);_(@_)</c:formatCode>
                <c:ptCount val="10"/>
                <c:pt idx="0">
                  <c:v>7059.2267294456851</c:v>
                </c:pt>
                <c:pt idx="1">
                  <c:v>8282.8260292162704</c:v>
                </c:pt>
                <c:pt idx="2">
                  <c:v>9554.898685862383</c:v>
                </c:pt>
                <c:pt idx="3">
                  <c:v>10876.894193939135</c:v>
                </c:pt>
                <c:pt idx="4">
                  <c:v>12735.223394472714</c:v>
                </c:pt>
                <c:pt idx="5">
                  <c:v>14288.920648598385</c:v>
                </c:pt>
                <c:pt idx="6">
                  <c:v>15899.671703531296</c:v>
                </c:pt>
                <c:pt idx="7">
                  <c:v>17569.137232402074</c:v>
                </c:pt>
                <c:pt idx="8">
                  <c:v>19299.02151374628</c:v>
                </c:pt>
                <c:pt idx="9">
                  <c:v>21091.073511451297</c:v>
                </c:pt>
              </c:numCache>
            </c:numRef>
          </c:val>
          <c:extLst>
            <c:ext xmlns:c16="http://schemas.microsoft.com/office/drawing/2014/chart" uri="{C3380CC4-5D6E-409C-BE32-E72D297353CC}">
              <c16:uniqueId val="{00000004-7298-4925-8019-120CF6B8F637}"/>
            </c:ext>
          </c:extLst>
        </c:ser>
        <c:ser>
          <c:idx val="5"/>
          <c:order val="5"/>
          <c:tx>
            <c:strRef>
              <c:f>SR_cost_per_minute_forecast!$B$100</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SR_cost_per_minute_forecast!$C$100:$L$100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298-4925-8019-120CF6B8F637}"/>
            </c:ext>
          </c:extLst>
        </c:ser>
        <c:ser>
          <c:idx val="6"/>
          <c:order val="6"/>
          <c:tx>
            <c:strRef>
              <c:f>SR_cost_per_minute_forecast!$B$101</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SR_cost_per_minute_forecast!$C$101:$L$101</c:f>
              <c:numCache>
                <c:formatCode>_(* #,##0_);_(* \(#,##0\);_(* "-"??_);_(@_)</c:formatCode>
                <c:ptCount val="10"/>
                <c:pt idx="0">
                  <c:v>102567.01304871409</c:v>
                </c:pt>
                <c:pt idx="1">
                  <c:v>117805.5407016659</c:v>
                </c:pt>
                <c:pt idx="2">
                  <c:v>133647.74848856157</c:v>
                </c:pt>
                <c:pt idx="3">
                  <c:v>150111.68820369765</c:v>
                </c:pt>
                <c:pt idx="4">
                  <c:v>169631.55522119012</c:v>
                </c:pt>
                <c:pt idx="5">
                  <c:v>188029.45905486419</c:v>
                </c:pt>
                <c:pt idx="6">
                  <c:v>207118.87030849361</c:v>
                </c:pt>
                <c:pt idx="7">
                  <c:v>226920.09011734309</c:v>
                </c:pt>
                <c:pt idx="8">
                  <c:v>247453.95505912002</c:v>
                </c:pt>
                <c:pt idx="9">
                  <c:v>268741.85045121796</c:v>
                </c:pt>
              </c:numCache>
            </c:numRef>
          </c:val>
          <c:extLst>
            <c:ext xmlns:c16="http://schemas.microsoft.com/office/drawing/2014/chart" uri="{C3380CC4-5D6E-409C-BE32-E72D297353CC}">
              <c16:uniqueId val="{00000006-7298-4925-8019-120CF6B8F637}"/>
            </c:ext>
          </c:extLst>
        </c:ser>
        <c:ser>
          <c:idx val="7"/>
          <c:order val="7"/>
          <c:tx>
            <c:strRef>
              <c:f>SR_cost_per_minute_forecast!$B$102</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SR_cost_per_minute_forecast!$C$102:$L$102</c:f>
              <c:numCache>
                <c:formatCode>_(* #,##0_);_(* \(#,##0\);_(* "-"??_);_(@_)</c:formatCode>
                <c:ptCount val="10"/>
                <c:pt idx="0">
                  <c:v>1422317.9374070514</c:v>
                </c:pt>
                <c:pt idx="1">
                  <c:v>1565411.7420189127</c:v>
                </c:pt>
                <c:pt idx="2">
                  <c:v>1714005.1759887473</c:v>
                </c:pt>
                <c:pt idx="3">
                  <c:v>1868260.9869690302</c:v>
                </c:pt>
                <c:pt idx="4">
                  <c:v>2028346.2326665916</c:v>
                </c:pt>
                <c:pt idx="5">
                  <c:v>2239291.7800642434</c:v>
                </c:pt>
                <c:pt idx="6">
                  <c:v>2421072.1441678707</c:v>
                </c:pt>
                <c:pt idx="7">
                  <c:v>2609400.4082978489</c:v>
                </c:pt>
                <c:pt idx="8">
                  <c:v>2804465.7763095903</c:v>
                </c:pt>
                <c:pt idx="9">
                  <c:v>3006462.4010527134</c:v>
                </c:pt>
              </c:numCache>
            </c:numRef>
          </c:val>
          <c:extLst>
            <c:ext xmlns:c16="http://schemas.microsoft.com/office/drawing/2014/chart" uri="{C3380CC4-5D6E-409C-BE32-E72D297353CC}">
              <c16:uniqueId val="{00000007-7298-4925-8019-120CF6B8F63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aggregate cost by scenario </a:t>
            </a:r>
            <a:r>
              <a:rPr lang="en-US" sz="1400" b="0" i="0" u="none" strike="noStrike" baseline="0">
                <a:effectLst/>
              </a:rPr>
              <a:t>(40%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SR_cost_per_minute_forecast!$B$57</c:f>
              <c:strCache>
                <c:ptCount val="1"/>
                <c:pt idx="0">
                  <c:v>Low Demand</c:v>
                </c:pt>
              </c:strCache>
            </c:strRef>
          </c:tx>
          <c:spPr>
            <a:ln w="28575" cap="rnd">
              <a:solidFill>
                <a:schemeClr val="accent1"/>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SR_cost_per_minute_forecast!$C$67:$L$67</c:f>
              <c:numCache>
                <c:formatCode>_(* #,##0_);_(* \(#,##0\);_(* "-"??_);_(@_)</c:formatCode>
                <c:ptCount val="10"/>
                <c:pt idx="0">
                  <c:v>22124641.556875218</c:v>
                </c:pt>
                <c:pt idx="1">
                  <c:v>22056791.811878886</c:v>
                </c:pt>
                <c:pt idx="2">
                  <c:v>23792816.053643625</c:v>
                </c:pt>
                <c:pt idx="3">
                  <c:v>24762940.037387144</c:v>
                </c:pt>
                <c:pt idx="4">
                  <c:v>26332052.603288963</c:v>
                </c:pt>
                <c:pt idx="5">
                  <c:v>27667623.358056739</c:v>
                </c:pt>
                <c:pt idx="6">
                  <c:v>29116979.638995975</c:v>
                </c:pt>
                <c:pt idx="7">
                  <c:v>30593389.820522591</c:v>
                </c:pt>
                <c:pt idx="8">
                  <c:v>31896410.31610775</c:v>
                </c:pt>
                <c:pt idx="9">
                  <c:v>33242198.996640485</c:v>
                </c:pt>
              </c:numCache>
            </c:numRef>
          </c:val>
          <c:smooth val="0"/>
          <c:extLst>
            <c:ext xmlns:c16="http://schemas.microsoft.com/office/drawing/2014/chart" uri="{C3380CC4-5D6E-409C-BE32-E72D297353CC}">
              <c16:uniqueId val="{00000000-1093-4F9A-AD58-B78EFEF2BA09}"/>
            </c:ext>
          </c:extLst>
        </c:ser>
        <c:ser>
          <c:idx val="1"/>
          <c:order val="1"/>
          <c:tx>
            <c:strRef>
              <c:f>SR_cost_per_minute_forecast!$B$75</c:f>
              <c:strCache>
                <c:ptCount val="1"/>
                <c:pt idx="0">
                  <c:v>Baseline Demand</c:v>
                </c:pt>
              </c:strCache>
            </c:strRef>
          </c:tx>
          <c:spPr>
            <a:ln w="28575" cap="rnd">
              <a:solidFill>
                <a:schemeClr val="accent2"/>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SR_cost_per_minute_forecast!$C$85:$L$85</c:f>
              <c:numCache>
                <c:formatCode>_(* #,##0_);_(* \(#,##0\);_(* "-"??_);_(@_)</c:formatCode>
                <c:ptCount val="10"/>
                <c:pt idx="0">
                  <c:v>23305166.034580942</c:v>
                </c:pt>
                <c:pt idx="1">
                  <c:v>24465061.746398572</c:v>
                </c:pt>
                <c:pt idx="2">
                  <c:v>27477469.053458747</c:v>
                </c:pt>
                <c:pt idx="3">
                  <c:v>29774068.1171357</c:v>
                </c:pt>
                <c:pt idx="4">
                  <c:v>32721240.904968377</c:v>
                </c:pt>
                <c:pt idx="5">
                  <c:v>35487989.839312337</c:v>
                </c:pt>
                <c:pt idx="6">
                  <c:v>38423215.751690142</c:v>
                </c:pt>
                <c:pt idx="7">
                  <c:v>41441802.203320354</c:v>
                </c:pt>
                <c:pt idx="8">
                  <c:v>44344963.525368199</c:v>
                </c:pt>
                <c:pt idx="9">
                  <c:v>47350559.300468989</c:v>
                </c:pt>
              </c:numCache>
            </c:numRef>
          </c:val>
          <c:smooth val="0"/>
          <c:extLst>
            <c:ext xmlns:c16="http://schemas.microsoft.com/office/drawing/2014/chart" uri="{C3380CC4-5D6E-409C-BE32-E72D297353CC}">
              <c16:uniqueId val="{00000001-1093-4F9A-AD58-B78EFEF2BA09}"/>
            </c:ext>
          </c:extLst>
        </c:ser>
        <c:ser>
          <c:idx val="2"/>
          <c:order val="2"/>
          <c:tx>
            <c:strRef>
              <c:f>SR_cost_per_minute_forecast!$B$93</c:f>
              <c:strCache>
                <c:ptCount val="1"/>
                <c:pt idx="0">
                  <c:v>High Demand</c:v>
                </c:pt>
              </c:strCache>
            </c:strRef>
          </c:tx>
          <c:spPr>
            <a:ln w="28575" cap="rnd">
              <a:solidFill>
                <a:schemeClr val="accent3"/>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SR_cost_per_minute_forecast!$C$103:$L$103</c:f>
              <c:numCache>
                <c:formatCode>_(* #,##0_);_(* \(#,##0\);_(* "-"??_);_(@_)</c:formatCode>
                <c:ptCount val="10"/>
                <c:pt idx="0">
                  <c:v>24339027.330118917</c:v>
                </c:pt>
                <c:pt idx="1">
                  <c:v>26574138.789296035</c:v>
                </c:pt>
                <c:pt idx="2">
                  <c:v>30704356.929091871</c:v>
                </c:pt>
                <c:pt idx="3">
                  <c:v>34162635.62799675</c:v>
                </c:pt>
                <c:pt idx="4">
                  <c:v>38316664.481316216</c:v>
                </c:pt>
                <c:pt idx="5">
                  <c:v>42336788.296762094</c:v>
                </c:pt>
                <c:pt idx="6">
                  <c:v>46573285.916055344</c:v>
                </c:pt>
                <c:pt idx="7">
                  <c:v>50942455.423494659</c:v>
                </c:pt>
                <c:pt idx="8">
                  <c:v>55246963.095518202</c:v>
                </c:pt>
                <c:pt idx="9">
                  <c:v>59706158.813305661</c:v>
                </c:pt>
              </c:numCache>
            </c:numRef>
          </c:val>
          <c:smooth val="0"/>
          <c:extLst>
            <c:ext xmlns:c16="http://schemas.microsoft.com/office/drawing/2014/chart" uri="{C3380CC4-5D6E-409C-BE32-E72D297353CC}">
              <c16:uniqueId val="{00000002-1093-4F9A-AD58-B78EFEF2BA09}"/>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 (60% profit margin)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SR_cost_per_minute_forecast!$B$115</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SR_cost_per_minute_forecast!$C$115:$L$115</c:f>
              <c:numCache>
                <c:formatCode>_(* #,##0_);_(* \(#,##0\);_(* "-"??_);_(@_)</c:formatCode>
                <c:ptCount val="10"/>
                <c:pt idx="0">
                  <c:v>6876424.8395701637</c:v>
                </c:pt>
                <c:pt idx="1">
                  <c:v>7050851.2257446256</c:v>
                </c:pt>
                <c:pt idx="2">
                  <c:v>7232187.580294461</c:v>
                </c:pt>
                <c:pt idx="3">
                  <c:v>7420640.5314002149</c:v>
                </c:pt>
                <c:pt idx="4">
                  <c:v>7616422.2083823038</c:v>
                </c:pt>
                <c:pt idx="5">
                  <c:v>7819750.3790953383</c:v>
                </c:pt>
                <c:pt idx="6">
                  <c:v>8030848.5906177638</c:v>
                </c:pt>
                <c:pt idx="7">
                  <c:v>8249946.3133136714</c:v>
                </c:pt>
                <c:pt idx="8">
                  <c:v>8477279.088345388</c:v>
                </c:pt>
                <c:pt idx="9">
                  <c:v>8713088.6787172724</c:v>
                </c:pt>
              </c:numCache>
            </c:numRef>
          </c:val>
          <c:extLst>
            <c:ext xmlns:c16="http://schemas.microsoft.com/office/drawing/2014/chart" uri="{C3380CC4-5D6E-409C-BE32-E72D297353CC}">
              <c16:uniqueId val="{00000000-0596-4857-8145-4F086E14FA9C}"/>
            </c:ext>
          </c:extLst>
        </c:ser>
        <c:ser>
          <c:idx val="1"/>
          <c:order val="1"/>
          <c:tx>
            <c:strRef>
              <c:f>SR_cost_per_minute_forecast!$B$116</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SR_cost_per_minute_forecast!$C$116:$L$116</c:f>
              <c:numCache>
                <c:formatCode>_(* #,##0_);_(* \(#,##0\);_(* "-"??_);_(@_)</c:formatCode>
                <c:ptCount val="10"/>
                <c:pt idx="0">
                  <c:v>16657538.274768686</c:v>
                </c:pt>
                <c:pt idx="1">
                  <c:v>16330343.890849387</c:v>
                </c:pt>
                <c:pt idx="2">
                  <c:v>18014927.547485322</c:v>
                </c:pt>
                <c:pt idx="3">
                  <c:v>18851434.267481897</c:v>
                </c:pt>
                <c:pt idx="4">
                  <c:v>20358846.476951465</c:v>
                </c:pt>
                <c:pt idx="5">
                  <c:v>21539887.682255864</c:v>
                </c:pt>
                <c:pt idx="6">
                  <c:v>22880387.788409121</c:v>
                </c:pt>
                <c:pt idx="7">
                  <c:v>24240295.149591513</c:v>
                </c:pt>
                <c:pt idx="8">
                  <c:v>25390197.284487493</c:v>
                </c:pt>
                <c:pt idx="9">
                  <c:v>26576788.903843202</c:v>
                </c:pt>
              </c:numCache>
            </c:numRef>
          </c:val>
          <c:extLst>
            <c:ext xmlns:c16="http://schemas.microsoft.com/office/drawing/2014/chart" uri="{C3380CC4-5D6E-409C-BE32-E72D297353CC}">
              <c16:uniqueId val="{00000001-0596-4857-8145-4F086E14FA9C}"/>
            </c:ext>
          </c:extLst>
        </c:ser>
        <c:ser>
          <c:idx val="2"/>
          <c:order val="2"/>
          <c:tx>
            <c:strRef>
              <c:f>SR_cost_per_minute_forecast!$B$117</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SR_cost_per_minute_forecast!$C$117:$L$117</c:f>
              <c:numCache>
                <c:formatCode>_(* #,##0_);_(* \(#,##0\);_(* "-"??_);_(@_)</c:formatCode>
                <c:ptCount val="10"/>
                <c:pt idx="0">
                  <c:v>110455.70035274985</c:v>
                </c:pt>
                <c:pt idx="1">
                  <c:v>117635.32087567858</c:v>
                </c:pt>
                <c:pt idx="2">
                  <c:v>165194.78405506382</c:v>
                </c:pt>
                <c:pt idx="3">
                  <c:v>175824.70928991141</c:v>
                </c:pt>
                <c:pt idx="4">
                  <c:v>186813.75362053089</c:v>
                </c:pt>
                <c:pt idx="5">
                  <c:v>198172.02984065915</c:v>
                </c:pt>
                <c:pt idx="6">
                  <c:v>209909.91160814435</c:v>
                </c:pt>
                <c:pt idx="7">
                  <c:v>222038.03983439264</c:v>
                </c:pt>
                <c:pt idx="8">
                  <c:v>234567.32922504767</c:v>
                </c:pt>
                <c:pt idx="9">
                  <c:v>247508.97497539519</c:v>
                </c:pt>
              </c:numCache>
            </c:numRef>
          </c:val>
          <c:extLst>
            <c:ext xmlns:c16="http://schemas.microsoft.com/office/drawing/2014/chart" uri="{C3380CC4-5D6E-409C-BE32-E72D297353CC}">
              <c16:uniqueId val="{00000002-0596-4857-8145-4F086E14FA9C}"/>
            </c:ext>
          </c:extLst>
        </c:ser>
        <c:ser>
          <c:idx val="3"/>
          <c:order val="3"/>
          <c:tx>
            <c:strRef>
              <c:f>SR_cost_per_minute_forecast!$B$118</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SR_cost_per_minute_forecast!$C$118:$L$118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596-4857-8145-4F086E14FA9C}"/>
            </c:ext>
          </c:extLst>
        </c:ser>
        <c:ser>
          <c:idx val="4"/>
          <c:order val="4"/>
          <c:tx>
            <c:strRef>
              <c:f>SR_cost_per_minute_forecast!$B$119</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SR_cost_per_minute_forecast!$C$119:$L$119</c:f>
              <c:numCache>
                <c:formatCode>_(* #,##0_);_(* \(#,##0\);_(* "-"??_);_(@_)</c:formatCode>
                <c:ptCount val="10"/>
                <c:pt idx="0">
                  <c:v>6723.073075662558</c:v>
                </c:pt>
                <c:pt idx="1">
                  <c:v>6723.073075662558</c:v>
                </c:pt>
                <c:pt idx="2">
                  <c:v>6723.073075662558</c:v>
                </c:pt>
                <c:pt idx="3">
                  <c:v>6723.073075662558</c:v>
                </c:pt>
                <c:pt idx="4">
                  <c:v>7277.2705111272662</c:v>
                </c:pt>
                <c:pt idx="5">
                  <c:v>7422.815921349812</c:v>
                </c:pt>
                <c:pt idx="6">
                  <c:v>7571.2722397768084</c:v>
                </c:pt>
                <c:pt idx="7">
                  <c:v>7722.697684572342</c:v>
                </c:pt>
                <c:pt idx="8">
                  <c:v>7877.151638263791</c:v>
                </c:pt>
                <c:pt idx="9">
                  <c:v>8034.6946710290667</c:v>
                </c:pt>
              </c:numCache>
            </c:numRef>
          </c:val>
          <c:extLst>
            <c:ext xmlns:c16="http://schemas.microsoft.com/office/drawing/2014/chart" uri="{C3380CC4-5D6E-409C-BE32-E72D297353CC}">
              <c16:uniqueId val="{00000004-0596-4857-8145-4F086E14FA9C}"/>
            </c:ext>
          </c:extLst>
        </c:ser>
        <c:ser>
          <c:idx val="5"/>
          <c:order val="5"/>
          <c:tx>
            <c:strRef>
              <c:f>SR_cost_per_minute_forecast!$B$120</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SR_cost_per_minute_forecast!$C$120:$L$120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596-4857-8145-4F086E14FA9C}"/>
            </c:ext>
          </c:extLst>
        </c:ser>
        <c:ser>
          <c:idx val="6"/>
          <c:order val="6"/>
          <c:tx>
            <c:strRef>
              <c:f>SR_cost_per_minute_forecast!$B$121</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SR_cost_per_minute_forecast!$C$121:$L$121</c:f>
              <c:numCache>
                <c:formatCode>_(* #,##0_);_(* \(#,##0\);_(* "-"??_);_(@_)</c:formatCode>
                <c:ptCount val="10"/>
                <c:pt idx="0">
                  <c:v>107172.06261416659</c:v>
                </c:pt>
                <c:pt idx="1">
                  <c:v>114138.24668408741</c:v>
                </c:pt>
                <c:pt idx="2">
                  <c:v>121380.39881523971</c:v>
                </c:pt>
                <c:pt idx="3">
                  <c:v>128906.77125644479</c:v>
                </c:pt>
                <c:pt idx="4">
                  <c:v>139486.59365079633</c:v>
                </c:pt>
                <c:pt idx="5">
                  <c:v>148332.08830186329</c:v>
                </c:pt>
                <c:pt idx="6">
                  <c:v>157502.40111716616</c:v>
                </c:pt>
                <c:pt idx="7">
                  <c:v>167006.98662541388</c:v>
                </c:pt>
                <c:pt idx="8">
                  <c:v>176855.54760919823</c:v>
                </c:pt>
                <c:pt idx="9">
                  <c:v>187058.04125333737</c:v>
                </c:pt>
              </c:numCache>
            </c:numRef>
          </c:val>
          <c:extLst>
            <c:ext xmlns:c16="http://schemas.microsoft.com/office/drawing/2014/chart" uri="{C3380CC4-5D6E-409C-BE32-E72D297353CC}">
              <c16:uniqueId val="{00000006-0596-4857-8145-4F086E14FA9C}"/>
            </c:ext>
          </c:extLst>
        </c:ser>
        <c:ser>
          <c:idx val="7"/>
          <c:order val="7"/>
          <c:tx>
            <c:strRef>
              <c:f>SR_cost_per_minute_forecast!$B$122</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SR_cost_per_minute_forecast!$C$122:$L$122</c:f>
              <c:numCache>
                <c:formatCode>_(* #,##0_);_(* \(#,##0\);_(* "-"??_);_(@_)</c:formatCode>
                <c:ptCount val="10"/>
                <c:pt idx="0">
                  <c:v>1526990.6860473976</c:v>
                </c:pt>
                <c:pt idx="1">
                  <c:v>1588070.3134892937</c:v>
                </c:pt>
                <c:pt idx="2">
                  <c:v>1651376.3918669748</c:v>
                </c:pt>
                <c:pt idx="3">
                  <c:v>1716973.5473668957</c:v>
                </c:pt>
                <c:pt idx="4">
                  <c:v>1784928.1006425952</c:v>
                </c:pt>
                <c:pt idx="5">
                  <c:v>1906575.985221205</c:v>
                </c:pt>
                <c:pt idx="6">
                  <c:v>1990328.1948605732</c:v>
                </c:pt>
                <c:pt idx="7">
                  <c:v>2076864.8935476902</c:v>
                </c:pt>
                <c:pt idx="8">
                  <c:v>2166263.9599606134</c:v>
                </c:pt>
                <c:pt idx="9">
                  <c:v>2258605.2741288985</c:v>
                </c:pt>
              </c:numCache>
            </c:numRef>
          </c:val>
          <c:extLst>
            <c:ext xmlns:c16="http://schemas.microsoft.com/office/drawing/2014/chart" uri="{C3380CC4-5D6E-409C-BE32-E72D297353CC}">
              <c16:uniqueId val="{00000007-0596-4857-8145-4F086E14FA9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SR_cost_per_minute_forecast!$B$133</c:f>
              <c:strCache>
                <c:ptCount val="1"/>
                <c:pt idx="0">
                  <c:v>Human Space Flight</c:v>
                </c:pt>
              </c:strCache>
            </c:strRef>
          </c:tx>
          <c:spPr>
            <a:solidFill>
              <a:schemeClr val="accent1"/>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SR_cost_per_minute_forecast!$C$133:$L$133</c:f>
              <c:numCache>
                <c:formatCode>_(* #,##0_);_(* \(#,##0\);_(* "-"??_);_(@_)</c:formatCode>
                <c:ptCount val="10"/>
                <c:pt idx="0">
                  <c:v>7379577.8766118819</c:v>
                </c:pt>
                <c:pt idx="1">
                  <c:v>8077283.4213097328</c:v>
                </c:pt>
                <c:pt idx="2">
                  <c:v>8802628.8395090755</c:v>
                </c:pt>
                <c:pt idx="3">
                  <c:v>9556440.6439320911</c:v>
                </c:pt>
                <c:pt idx="4">
                  <c:v>10339567.351860445</c:v>
                </c:pt>
                <c:pt idx="5">
                  <c:v>11152880.034712581</c:v>
                </c:pt>
                <c:pt idx="6">
                  <c:v>11997272.880802285</c:v>
                </c:pt>
                <c:pt idx="7">
                  <c:v>12873663.77158591</c:v>
                </c:pt>
                <c:pt idx="8">
                  <c:v>13782994.871712785</c:v>
                </c:pt>
                <c:pt idx="9">
                  <c:v>14726233.233200323</c:v>
                </c:pt>
              </c:numCache>
            </c:numRef>
          </c:val>
          <c:extLst>
            <c:ext xmlns:c16="http://schemas.microsoft.com/office/drawing/2014/chart" uri="{C3380CC4-5D6E-409C-BE32-E72D297353CC}">
              <c16:uniqueId val="{00000000-FDBE-4A40-BC17-2AD2F5A7B7AE}"/>
            </c:ext>
          </c:extLst>
        </c:ser>
        <c:ser>
          <c:idx val="1"/>
          <c:order val="1"/>
          <c:tx>
            <c:strRef>
              <c:f>SR_cost_per_minute_forecast!$B$134</c:f>
              <c:strCache>
                <c:ptCount val="1"/>
                <c:pt idx="0">
                  <c:v>Near Earth Robotic - LEO Science</c:v>
                </c:pt>
              </c:strCache>
            </c:strRef>
          </c:tx>
          <c:spPr>
            <a:solidFill>
              <a:schemeClr val="accent2"/>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SR_cost_per_minute_forecast!$C$134:$L$134</c:f>
              <c:numCache>
                <c:formatCode>_(* #,##0_);_(* \(#,##0\);_(* "-"??_);_(@_)</c:formatCode>
                <c:ptCount val="10"/>
                <c:pt idx="0">
                  <c:v>17436572.522195585</c:v>
                </c:pt>
                <c:pt idx="1">
                  <c:v>17919573.755600266</c:v>
                </c:pt>
                <c:pt idx="2">
                  <c:v>20446449.240554169</c:v>
                </c:pt>
                <c:pt idx="3">
                  <c:v>22158303.770055532</c:v>
                </c:pt>
                <c:pt idx="4">
                  <c:v>24575105.09273285</c:v>
                </c:pt>
                <c:pt idx="5">
                  <c:v>26700588.227972277</c:v>
                </c:pt>
                <c:pt idx="6">
                  <c:v>29021621.437811658</c:v>
                </c:pt>
                <c:pt idx="7">
                  <c:v>31399218.946609322</c:v>
                </c:pt>
                <c:pt idx="8">
                  <c:v>33605062.341565438</c:v>
                </c:pt>
                <c:pt idx="9">
                  <c:v>35886969.301864862</c:v>
                </c:pt>
              </c:numCache>
            </c:numRef>
          </c:val>
          <c:extLst>
            <c:ext xmlns:c16="http://schemas.microsoft.com/office/drawing/2014/chart" uri="{C3380CC4-5D6E-409C-BE32-E72D297353CC}">
              <c16:uniqueId val="{00000001-FDBE-4A40-BC17-2AD2F5A7B7AE}"/>
            </c:ext>
          </c:extLst>
        </c:ser>
        <c:ser>
          <c:idx val="2"/>
          <c:order val="2"/>
          <c:tx>
            <c:strRef>
              <c:f>SR_cost_per_minute_forecast!$B$135</c:f>
              <c:strCache>
                <c:ptCount val="1"/>
                <c:pt idx="0">
                  <c:v>Near Earth Robotic - GEO and Near Earth</c:v>
                </c:pt>
              </c:strCache>
            </c:strRef>
          </c:tx>
          <c:spPr>
            <a:solidFill>
              <a:schemeClr val="accent3"/>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SR_cost_per_minute_forecast!$C$135:$L$135</c:f>
              <c:numCache>
                <c:formatCode>_(* #,##0_);_(* \(#,##0\);_(* "-"??_);_(@_)</c:formatCode>
                <c:ptCount val="10"/>
                <c:pt idx="0">
                  <c:v>120810.92226082014</c:v>
                </c:pt>
                <c:pt idx="1">
                  <c:v>138759.97356814198</c:v>
                </c:pt>
                <c:pt idx="2">
                  <c:v>197515.50267453282</c:v>
                </c:pt>
                <c:pt idx="3">
                  <c:v>219780.88661238927</c:v>
                </c:pt>
                <c:pt idx="4">
                  <c:v>242857.87970669018</c:v>
                </c:pt>
                <c:pt idx="5">
                  <c:v>266770.04017011815</c:v>
                </c:pt>
                <c:pt idx="6">
                  <c:v>291541.54390020052</c:v>
                </c:pt>
                <c:pt idx="7">
                  <c:v>317197.19976341812</c:v>
                </c:pt>
                <c:pt idx="8">
                  <c:v>343762.46524360444</c:v>
                </c:pt>
                <c:pt idx="9">
                  <c:v>371263.46246309276</c:v>
                </c:pt>
              </c:numCache>
            </c:numRef>
          </c:val>
          <c:extLst>
            <c:ext xmlns:c16="http://schemas.microsoft.com/office/drawing/2014/chart" uri="{C3380CC4-5D6E-409C-BE32-E72D297353CC}">
              <c16:uniqueId val="{00000002-FDBE-4A40-BC17-2AD2F5A7B7AE}"/>
            </c:ext>
          </c:extLst>
        </c:ser>
        <c:ser>
          <c:idx val="3"/>
          <c:order val="3"/>
          <c:tx>
            <c:strRef>
              <c:f>SR_cost_per_minute_forecast!$B$136</c:f>
              <c:strCache>
                <c:ptCount val="1"/>
                <c:pt idx="0">
                  <c:v>Deep Space Robotic</c:v>
                </c:pt>
              </c:strCache>
            </c:strRef>
          </c:tx>
          <c:spPr>
            <a:solidFill>
              <a:schemeClr val="accent4"/>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SR_cost_per_minute_forecast!$C$136:$L$136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DBE-4A40-BC17-2AD2F5A7B7AE}"/>
            </c:ext>
          </c:extLst>
        </c:ser>
        <c:ser>
          <c:idx val="4"/>
          <c:order val="4"/>
          <c:tx>
            <c:strRef>
              <c:f>SR_cost_per_minute_forecast!$B$137</c:f>
              <c:strCache>
                <c:ptCount val="1"/>
                <c:pt idx="0">
                  <c:v>Near Earth Robotic - Low Latency &amp; Complex Needs</c:v>
                </c:pt>
              </c:strCache>
            </c:strRef>
          </c:tx>
          <c:spPr>
            <a:solidFill>
              <a:schemeClr val="accent5"/>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SR_cost_per_minute_forecast!$C$137:$L$137</c:f>
              <c:numCache>
                <c:formatCode>_(* #,##0_);_(* \(#,##0\);_(* "-"??_);_(@_)</c:formatCode>
                <c:ptCount val="10"/>
                <c:pt idx="0">
                  <c:v>7395.380383228814</c:v>
                </c:pt>
                <c:pt idx="1">
                  <c:v>8094.5799830977203</c:v>
                </c:pt>
                <c:pt idx="2">
                  <c:v>8821.4786440383559</c:v>
                </c:pt>
                <c:pt idx="3">
                  <c:v>9576.9046486536445</c:v>
                </c:pt>
                <c:pt idx="4">
                  <c:v>10915.905766690899</c:v>
                </c:pt>
                <c:pt idx="5">
                  <c:v>11876.5054741597</c:v>
                </c:pt>
                <c:pt idx="6">
                  <c:v>12871.162807620574</c:v>
                </c:pt>
                <c:pt idx="7">
                  <c:v>13900.855832230216</c:v>
                </c:pt>
                <c:pt idx="8">
                  <c:v>14966.588112701202</c:v>
                </c:pt>
                <c:pt idx="9">
                  <c:v>16069.389342058133</c:v>
                </c:pt>
              </c:numCache>
            </c:numRef>
          </c:val>
          <c:extLst>
            <c:ext xmlns:c16="http://schemas.microsoft.com/office/drawing/2014/chart" uri="{C3380CC4-5D6E-409C-BE32-E72D297353CC}">
              <c16:uniqueId val="{00000004-FDBE-4A40-BC17-2AD2F5A7B7AE}"/>
            </c:ext>
          </c:extLst>
        </c:ser>
        <c:ser>
          <c:idx val="5"/>
          <c:order val="5"/>
          <c:tx>
            <c:strRef>
              <c:f>SR_cost_per_minute_forecast!$B$138</c:f>
              <c:strCache>
                <c:ptCount val="1"/>
                <c:pt idx="0">
                  <c:v>Mission Operations</c:v>
                </c:pt>
              </c:strCache>
            </c:strRef>
          </c:tx>
          <c:spPr>
            <a:solidFill>
              <a:schemeClr val="accent6"/>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SR_cost_per_minute_forecast!$C$138:$L$138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DBE-4A40-BC17-2AD2F5A7B7AE}"/>
            </c:ext>
          </c:extLst>
        </c:ser>
        <c:ser>
          <c:idx val="6"/>
          <c:order val="6"/>
          <c:tx>
            <c:strRef>
              <c:f>SR_cost_per_minute_forecast!$B$139</c:f>
              <c:strCache>
                <c:ptCount val="1"/>
                <c:pt idx="0">
                  <c:v>Launch Events</c:v>
                </c:pt>
              </c:strCache>
            </c:strRef>
          </c:tx>
          <c:spPr>
            <a:solidFill>
              <a:schemeClr val="accent1">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SR_cost_per_minute_forecast!$C$139:$L$139</c:f>
              <c:numCache>
                <c:formatCode>_(* #,##0_);_(* \(#,##0\);_(* "-"??_);_(@_)</c:formatCode>
                <c:ptCount val="10"/>
                <c:pt idx="0">
                  <c:v>113870.316527552</c:v>
                </c:pt>
                <c:pt idx="1">
                  <c:v>127802.68466739365</c:v>
                </c:pt>
                <c:pt idx="2">
                  <c:v>142286.98892969824</c:v>
                </c:pt>
                <c:pt idx="3">
                  <c:v>157339.7338121084</c:v>
                </c:pt>
                <c:pt idx="4">
                  <c:v>175738.62090926745</c:v>
                </c:pt>
                <c:pt idx="5">
                  <c:v>192704.56966623195</c:v>
                </c:pt>
                <c:pt idx="6">
                  <c:v>210305.65394076484</c:v>
                </c:pt>
                <c:pt idx="7">
                  <c:v>228560.49277406608</c:v>
                </c:pt>
                <c:pt idx="8">
                  <c:v>247488.19591477665</c:v>
                </c:pt>
                <c:pt idx="9">
                  <c:v>267108.37599965953</c:v>
                </c:pt>
              </c:numCache>
            </c:numRef>
          </c:val>
          <c:extLst>
            <c:ext xmlns:c16="http://schemas.microsoft.com/office/drawing/2014/chart" uri="{C3380CC4-5D6E-409C-BE32-E72D297353CC}">
              <c16:uniqueId val="{00000006-FDBE-4A40-BC17-2AD2F5A7B7AE}"/>
            </c:ext>
          </c:extLst>
        </c:ser>
        <c:ser>
          <c:idx val="7"/>
          <c:order val="7"/>
          <c:tx>
            <c:strRef>
              <c:f>SR_cost_per_minute_forecast!$B$140</c:f>
              <c:strCache>
                <c:ptCount val="1"/>
                <c:pt idx="0">
                  <c:v>Terrestrial &amp; Aerial</c:v>
                </c:pt>
              </c:strCache>
            </c:strRef>
          </c:tx>
          <c:spPr>
            <a:solidFill>
              <a:schemeClr val="accent2">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SR_cost_per_minute_forecast!$C$140:$L$140</c:f>
              <c:numCache>
                <c:formatCode>_(* #,##0_);_(* \(#,##0\);_(* "-"??_);_(@_)</c:formatCode>
                <c:ptCount val="10"/>
                <c:pt idx="0">
                  <c:v>1576248.4501134427</c:v>
                </c:pt>
                <c:pt idx="1">
                  <c:v>1688556.1521840256</c:v>
                </c:pt>
                <c:pt idx="2">
                  <c:v>1805119.7250699147</c:v>
                </c:pt>
                <c:pt idx="3">
                  <c:v>1926064.4805228941</c:v>
                </c:pt>
                <c:pt idx="4">
                  <c:v>2051519.0404164928</c:v>
                </c:pt>
                <c:pt idx="5">
                  <c:v>2232883.2955044559</c:v>
                </c:pt>
                <c:pt idx="6">
                  <c:v>2378633.8940976416</c:v>
                </c:pt>
                <c:pt idx="7">
                  <c:v>2529518.394372616</c:v>
                </c:pt>
                <c:pt idx="8">
                  <c:v>2685683.8521572161</c:v>
                </c:pt>
                <c:pt idx="9">
                  <c:v>2847281.1519517144</c:v>
                </c:pt>
              </c:numCache>
            </c:numRef>
          </c:val>
          <c:extLst>
            <c:ext xmlns:c16="http://schemas.microsoft.com/office/drawing/2014/chart" uri="{C3380CC4-5D6E-409C-BE32-E72D297353CC}">
              <c16:uniqueId val="{00000007-FDBE-4A40-BC17-2AD2F5A7B7AE}"/>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SR_cost_per_minute_forecast!$B$151</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SR_cost_per_minute_forecast!$C$151:$L$151</c:f>
              <c:numCache>
                <c:formatCode>_(* #,##0_);_(* \(#,##0\);_(* "-"??_);_(@_)</c:formatCode>
                <c:ptCount val="10"/>
                <c:pt idx="0">
                  <c:v>7715013.2346396958</c:v>
                </c:pt>
                <c:pt idx="1">
                  <c:v>8761571.5516864713</c:v>
                </c:pt>
                <c:pt idx="2">
                  <c:v>9849589.6789854858</c:v>
                </c:pt>
                <c:pt idx="3">
                  <c:v>10980307.385620005</c:v>
                </c:pt>
                <c:pt idx="4">
                  <c:v>12154997.447512537</c:v>
                </c:pt>
                <c:pt idx="5">
                  <c:v>13374966.471790746</c:v>
                </c:pt>
                <c:pt idx="6">
                  <c:v>14641555.740925299</c:v>
                </c:pt>
                <c:pt idx="7">
                  <c:v>15956142.077100735</c:v>
                </c:pt>
                <c:pt idx="8">
                  <c:v>17320138.727291051</c:v>
                </c:pt>
                <c:pt idx="9">
                  <c:v>18734996.269522354</c:v>
                </c:pt>
              </c:numCache>
            </c:numRef>
          </c:val>
          <c:extLst>
            <c:ext xmlns:c16="http://schemas.microsoft.com/office/drawing/2014/chart" uri="{C3380CC4-5D6E-409C-BE32-E72D297353CC}">
              <c16:uniqueId val="{00000000-CB1F-4D62-8336-FDBCF585C346}"/>
            </c:ext>
          </c:extLst>
        </c:ser>
        <c:ser>
          <c:idx val="1"/>
          <c:order val="1"/>
          <c:tx>
            <c:strRef>
              <c:f>SR_cost_per_minute_forecast!$B$152</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SR_cost_per_minute_forecast!$C$152:$L$152</c:f>
              <c:numCache>
                <c:formatCode>_(* #,##0_);_(* \(#,##0\);_(* "-"??_);_(@_)</c:formatCode>
                <c:ptCount val="10"/>
                <c:pt idx="0">
                  <c:v>18215606.76962249</c:v>
                </c:pt>
                <c:pt idx="1">
                  <c:v>19508803.620351151</c:v>
                </c:pt>
                <c:pt idx="2">
                  <c:v>22877970.93362302</c:v>
                </c:pt>
                <c:pt idx="3">
                  <c:v>25465173.272629168</c:v>
                </c:pt>
                <c:pt idx="4">
                  <c:v>28791363.708514236</c:v>
                </c:pt>
                <c:pt idx="5">
                  <c:v>31861288.773688693</c:v>
                </c:pt>
                <c:pt idx="6">
                  <c:v>35162855.087214187</c:v>
                </c:pt>
                <c:pt idx="7">
                  <c:v>38558142.743627124</c:v>
                </c:pt>
                <c:pt idx="8">
                  <c:v>41819927.398643374</c:v>
                </c:pt>
                <c:pt idx="9">
                  <c:v>45197149.699886531</c:v>
                </c:pt>
              </c:numCache>
            </c:numRef>
          </c:val>
          <c:extLst>
            <c:ext xmlns:c16="http://schemas.microsoft.com/office/drawing/2014/chart" uri="{C3380CC4-5D6E-409C-BE32-E72D297353CC}">
              <c16:uniqueId val="{00000001-CB1F-4D62-8336-FDBCF585C346}"/>
            </c:ext>
          </c:extLst>
        </c:ser>
        <c:ser>
          <c:idx val="2"/>
          <c:order val="2"/>
          <c:tx>
            <c:strRef>
              <c:f>SR_cost_per_minute_forecast!$B$153</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SR_cost_per_minute_forecast!$C$153:$L$153</c:f>
              <c:numCache>
                <c:formatCode>_(* #,##0_);_(* \(#,##0\);_(* "-"??_);_(@_)</c:formatCode>
                <c:ptCount val="10"/>
                <c:pt idx="0">
                  <c:v>134617.88480491386</c:v>
                </c:pt>
                <c:pt idx="1">
                  <c:v>166926.1771580932</c:v>
                </c:pt>
                <c:pt idx="2">
                  <c:v>240609.79416715822</c:v>
                </c:pt>
                <c:pt idx="3">
                  <c:v>278389.12304235972</c:v>
                </c:pt>
                <c:pt idx="4">
                  <c:v>317583.38115490251</c:v>
                </c:pt>
                <c:pt idx="5">
                  <c:v>358234.05394273001</c:v>
                </c:pt>
                <c:pt idx="6">
                  <c:v>400383.72028960875</c:v>
                </c:pt>
                <c:pt idx="7">
                  <c:v>444076.07966878533</c:v>
                </c:pt>
                <c:pt idx="8">
                  <c:v>489355.97993501328</c:v>
                </c:pt>
                <c:pt idx="9">
                  <c:v>536269.44578002288</c:v>
                </c:pt>
              </c:numCache>
            </c:numRef>
          </c:val>
          <c:extLst>
            <c:ext xmlns:c16="http://schemas.microsoft.com/office/drawing/2014/chart" uri="{C3380CC4-5D6E-409C-BE32-E72D297353CC}">
              <c16:uniqueId val="{00000002-CB1F-4D62-8336-FDBCF585C346}"/>
            </c:ext>
          </c:extLst>
        </c:ser>
        <c:ser>
          <c:idx val="3"/>
          <c:order val="3"/>
          <c:tx>
            <c:strRef>
              <c:f>SR_cost_per_minute_forecast!$B$154</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SR_cost_per_minute_forecast!$C$154:$L$154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CB1F-4D62-8336-FDBCF585C346}"/>
            </c:ext>
          </c:extLst>
        </c:ser>
        <c:ser>
          <c:idx val="4"/>
          <c:order val="4"/>
          <c:tx>
            <c:strRef>
              <c:f>SR_cost_per_minute_forecast!$B$155</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SR_cost_per_minute_forecast!$C$155:$L$155</c:f>
              <c:numCache>
                <c:formatCode>_(* #,##0_);_(* \(#,##0\);_(* "-"??_);_(@_)</c:formatCode>
                <c:ptCount val="10"/>
                <c:pt idx="0">
                  <c:v>8067.68769079507</c:v>
                </c:pt>
                <c:pt idx="1">
                  <c:v>9466.0868905328825</c:v>
                </c:pt>
                <c:pt idx="2">
                  <c:v>10919.884212414154</c:v>
                </c:pt>
                <c:pt idx="3">
                  <c:v>12430.736221644729</c:v>
                </c:pt>
                <c:pt idx="4">
                  <c:v>14554.541022254532</c:v>
                </c:pt>
                <c:pt idx="5">
                  <c:v>16330.195026969586</c:v>
                </c:pt>
                <c:pt idx="6">
                  <c:v>18171.05337546434</c:v>
                </c:pt>
                <c:pt idx="7">
                  <c:v>20079.013979888088</c:v>
                </c:pt>
                <c:pt idx="8">
                  <c:v>22056.024587138611</c:v>
                </c:pt>
                <c:pt idx="9">
                  <c:v>24104.084013087202</c:v>
                </c:pt>
              </c:numCache>
            </c:numRef>
          </c:val>
          <c:extLst>
            <c:ext xmlns:c16="http://schemas.microsoft.com/office/drawing/2014/chart" uri="{C3380CC4-5D6E-409C-BE32-E72D297353CC}">
              <c16:uniqueId val="{00000004-CB1F-4D62-8336-FDBCF585C346}"/>
            </c:ext>
          </c:extLst>
        </c:ser>
        <c:ser>
          <c:idx val="5"/>
          <c:order val="5"/>
          <c:tx>
            <c:strRef>
              <c:f>SR_cost_per_minute_forecast!$B$156</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SR_cost_per_minute_forecast!$C$156:$L$156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CB1F-4D62-8336-FDBCF585C346}"/>
            </c:ext>
          </c:extLst>
        </c:ser>
        <c:ser>
          <c:idx val="6"/>
          <c:order val="6"/>
          <c:tx>
            <c:strRef>
              <c:f>SR_cost_per_minute_forecast!$B$157</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SR_cost_per_minute_forecast!$C$157:$L$157</c:f>
              <c:numCache>
                <c:formatCode>_(* #,##0_);_(* \(#,##0\);_(* "-"??_);_(@_)</c:formatCode>
                <c:ptCount val="10"/>
                <c:pt idx="0">
                  <c:v>117219.44348424469</c:v>
                </c:pt>
                <c:pt idx="1">
                  <c:v>134634.90365904677</c:v>
                </c:pt>
                <c:pt idx="2">
                  <c:v>152740.28398692753</c:v>
                </c:pt>
                <c:pt idx="3">
                  <c:v>171556.2150899402</c:v>
                </c:pt>
                <c:pt idx="4">
                  <c:v>193864.63453850301</c:v>
                </c:pt>
                <c:pt idx="5">
                  <c:v>214890.81034841627</c:v>
                </c:pt>
                <c:pt idx="6">
                  <c:v>236707.28035256418</c:v>
                </c:pt>
                <c:pt idx="7">
                  <c:v>259337.24584839217</c:v>
                </c:pt>
                <c:pt idx="8">
                  <c:v>282804.52006756578</c:v>
                </c:pt>
                <c:pt idx="9">
                  <c:v>307133.5433728206</c:v>
                </c:pt>
              </c:numCache>
            </c:numRef>
          </c:val>
          <c:extLst>
            <c:ext xmlns:c16="http://schemas.microsoft.com/office/drawing/2014/chart" uri="{C3380CC4-5D6E-409C-BE32-E72D297353CC}">
              <c16:uniqueId val="{00000006-CB1F-4D62-8336-FDBCF585C346}"/>
            </c:ext>
          </c:extLst>
        </c:ser>
        <c:ser>
          <c:idx val="7"/>
          <c:order val="7"/>
          <c:tx>
            <c:strRef>
              <c:f>SR_cost_per_minute_forecast!$B$158</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SR_cost_per_minute_forecast!$C$158:$L$158</c:f>
              <c:numCache>
                <c:formatCode>_(* #,##0_);_(* \(#,##0\);_(* "-"??_);_(@_)</c:formatCode>
                <c:ptCount val="10"/>
                <c:pt idx="0">
                  <c:v>1625506.2141794879</c:v>
                </c:pt>
                <c:pt idx="1">
                  <c:v>1789041.9908787578</c:v>
                </c:pt>
                <c:pt idx="2">
                  <c:v>1958863.0582728544</c:v>
                </c:pt>
                <c:pt idx="3">
                  <c:v>2135155.413678892</c:v>
                </c:pt>
                <c:pt idx="4">
                  <c:v>2318109.9801903912</c:v>
                </c:pt>
                <c:pt idx="5">
                  <c:v>2559190.605787707</c:v>
                </c:pt>
                <c:pt idx="6">
                  <c:v>2766939.5933347098</c:v>
                </c:pt>
                <c:pt idx="7">
                  <c:v>2982171.8951975419</c:v>
                </c:pt>
                <c:pt idx="8">
                  <c:v>3205103.7443538182</c:v>
                </c:pt>
                <c:pt idx="9">
                  <c:v>3435957.0297745303</c:v>
                </c:pt>
              </c:numCache>
            </c:numRef>
          </c:val>
          <c:extLst>
            <c:ext xmlns:c16="http://schemas.microsoft.com/office/drawing/2014/chart" uri="{C3380CC4-5D6E-409C-BE32-E72D297353CC}">
              <c16:uniqueId val="{00000007-CB1F-4D62-8336-FDBCF585C346}"/>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(80%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SR_cost_per_minute_forecast!$B$171</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SR_cost_per_minute_forecast!$C$171:$L$171</c:f>
              <c:numCache>
                <c:formatCode>_(* #,##0_);_(* \(#,##0\);_(* "-"??_);_(@_)</c:formatCode>
                <c:ptCount val="10"/>
                <c:pt idx="0">
                  <c:v>7735977.9445164325</c:v>
                </c:pt>
                <c:pt idx="1">
                  <c:v>7932207.6289627021</c:v>
                </c:pt>
                <c:pt idx="2">
                  <c:v>8136211.0278312676</c:v>
                </c:pt>
                <c:pt idx="3">
                  <c:v>8348220.5978252403</c:v>
                </c:pt>
                <c:pt idx="4">
                  <c:v>8568474.9844300896</c:v>
                </c:pt>
                <c:pt idx="5">
                  <c:v>8797219.1764822546</c:v>
                </c:pt>
                <c:pt idx="6">
                  <c:v>9034704.664444983</c:v>
                </c:pt>
                <c:pt idx="7">
                  <c:v>9281189.6024778783</c:v>
                </c:pt>
                <c:pt idx="8">
                  <c:v>9536938.9743885603</c:v>
                </c:pt>
                <c:pt idx="9">
                  <c:v>9802224.7635569312</c:v>
                </c:pt>
              </c:numCache>
            </c:numRef>
          </c:val>
          <c:extLst>
            <c:ext xmlns:c16="http://schemas.microsoft.com/office/drawing/2014/chart" uri="{C3380CC4-5D6E-409C-BE32-E72D297353CC}">
              <c16:uniqueId val="{00000000-2E4D-4CF4-88E5-346CD4C27651}"/>
            </c:ext>
          </c:extLst>
        </c:ser>
        <c:ser>
          <c:idx val="1"/>
          <c:order val="1"/>
          <c:tx>
            <c:strRef>
              <c:f>SR_cost_per_minute_forecast!$B$172</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SR_cost_per_minute_forecast!$C$172:$L$172</c:f>
              <c:numCache>
                <c:formatCode>_(* #,##0_);_(* \(#,##0\);_(* "-"??_);_(@_)</c:formatCode>
                <c:ptCount val="10"/>
                <c:pt idx="0">
                  <c:v>18739730.559114769</c:v>
                </c:pt>
                <c:pt idx="1">
                  <c:v>18371636.877205558</c:v>
                </c:pt>
                <c:pt idx="2">
                  <c:v>20266793.490920983</c:v>
                </c:pt>
                <c:pt idx="3">
                  <c:v>21207863.55091713</c:v>
                </c:pt>
                <c:pt idx="4">
                  <c:v>22903702.286570396</c:v>
                </c:pt>
                <c:pt idx="5">
                  <c:v>24232373.642537843</c:v>
                </c:pt>
                <c:pt idx="6">
                  <c:v>25740436.261960257</c:v>
                </c:pt>
                <c:pt idx="7">
                  <c:v>27270332.043290447</c:v>
                </c:pt>
                <c:pt idx="8">
                  <c:v>28563971.945048425</c:v>
                </c:pt>
                <c:pt idx="9">
                  <c:v>29898887.516823597</c:v>
                </c:pt>
              </c:numCache>
            </c:numRef>
          </c:val>
          <c:extLst>
            <c:ext xmlns:c16="http://schemas.microsoft.com/office/drawing/2014/chart" uri="{C3380CC4-5D6E-409C-BE32-E72D297353CC}">
              <c16:uniqueId val="{00000001-2E4D-4CF4-88E5-346CD4C27651}"/>
            </c:ext>
          </c:extLst>
        </c:ser>
        <c:ser>
          <c:idx val="2"/>
          <c:order val="2"/>
          <c:tx>
            <c:strRef>
              <c:f>SR_cost_per_minute_forecast!$B$173</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SR_cost_per_minute_forecast!$C$173:$L$173</c:f>
              <c:numCache>
                <c:formatCode>_(* #,##0_);_(* \(#,##0\);_(* "-"??_);_(@_)</c:formatCode>
                <c:ptCount val="10"/>
                <c:pt idx="0">
                  <c:v>124262.66289684355</c:v>
                </c:pt>
                <c:pt idx="1">
                  <c:v>132339.73598513837</c:v>
                </c:pt>
                <c:pt idx="2">
                  <c:v>185844.13206194676</c:v>
                </c:pt>
                <c:pt idx="3">
                  <c:v>197802.79795115028</c:v>
                </c:pt>
                <c:pt idx="4">
                  <c:v>210165.4728230972</c:v>
                </c:pt>
                <c:pt idx="5">
                  <c:v>222943.53357074151</c:v>
                </c:pt>
                <c:pt idx="6">
                  <c:v>236148.65055916237</c:v>
                </c:pt>
                <c:pt idx="7">
                  <c:v>249792.79481369167</c:v>
                </c:pt>
                <c:pt idx="8">
                  <c:v>263888.2453781786</c:v>
                </c:pt>
                <c:pt idx="9">
                  <c:v>278447.59684731951</c:v>
                </c:pt>
              </c:numCache>
            </c:numRef>
          </c:val>
          <c:extLst>
            <c:ext xmlns:c16="http://schemas.microsoft.com/office/drawing/2014/chart" uri="{C3380CC4-5D6E-409C-BE32-E72D297353CC}">
              <c16:uniqueId val="{00000002-2E4D-4CF4-88E5-346CD4C27651}"/>
            </c:ext>
          </c:extLst>
        </c:ser>
        <c:ser>
          <c:idx val="3"/>
          <c:order val="3"/>
          <c:tx>
            <c:strRef>
              <c:f>SR_cost_per_minute_forecast!$B$174</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SR_cost_per_minute_forecast!$C$174:$L$174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2E4D-4CF4-88E5-346CD4C27651}"/>
            </c:ext>
          </c:extLst>
        </c:ser>
        <c:ser>
          <c:idx val="4"/>
          <c:order val="4"/>
          <c:tx>
            <c:strRef>
              <c:f>SR_cost_per_minute_forecast!$B$175</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SR_cost_per_minute_forecast!$C$175:$L$175</c:f>
              <c:numCache>
                <c:formatCode>_(* #,##0_);_(* \(#,##0\);_(* "-"??_);_(@_)</c:formatCode>
                <c:ptCount val="10"/>
                <c:pt idx="0">
                  <c:v>7563.4572101203767</c:v>
                </c:pt>
                <c:pt idx="1">
                  <c:v>7563.4572101203767</c:v>
                </c:pt>
                <c:pt idx="2">
                  <c:v>7563.4572101203767</c:v>
                </c:pt>
                <c:pt idx="3">
                  <c:v>7563.4572101203767</c:v>
                </c:pt>
                <c:pt idx="4">
                  <c:v>8186.9293250181736</c:v>
                </c:pt>
                <c:pt idx="5">
                  <c:v>8350.6679115185379</c:v>
                </c:pt>
                <c:pt idx="6">
                  <c:v>8517.6812697489077</c:v>
                </c:pt>
                <c:pt idx="7">
                  <c:v>8688.0348951438846</c:v>
                </c:pt>
                <c:pt idx="8">
                  <c:v>8861.7955930467633</c:v>
                </c:pt>
                <c:pt idx="9">
                  <c:v>9039.031504907698</c:v>
                </c:pt>
              </c:numCache>
            </c:numRef>
          </c:val>
          <c:extLst>
            <c:ext xmlns:c16="http://schemas.microsoft.com/office/drawing/2014/chart" uri="{C3380CC4-5D6E-409C-BE32-E72D297353CC}">
              <c16:uniqueId val="{00000004-2E4D-4CF4-88E5-346CD4C27651}"/>
            </c:ext>
          </c:extLst>
        </c:ser>
        <c:ser>
          <c:idx val="5"/>
          <c:order val="5"/>
          <c:tx>
            <c:strRef>
              <c:f>SR_cost_per_minute_forecast!$B$176</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SR_cost_per_minute_forecast!$C$176:$L$176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2E4D-4CF4-88E5-346CD4C27651}"/>
            </c:ext>
          </c:extLst>
        </c:ser>
        <c:ser>
          <c:idx val="6"/>
          <c:order val="6"/>
          <c:tx>
            <c:strRef>
              <c:f>SR_cost_per_minute_forecast!$B$177</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SR_cost_per_minute_forecast!$C$177:$L$177</c:f>
              <c:numCache>
                <c:formatCode>_(* #,##0_);_(* \(#,##0\);_(* "-"??_);_(@_)</c:formatCode>
                <c:ptCount val="10"/>
                <c:pt idx="0">
                  <c:v>120568.57044093739</c:v>
                </c:pt>
                <c:pt idx="1">
                  <c:v>128405.52751959831</c:v>
                </c:pt>
                <c:pt idx="2">
                  <c:v>136552.94866714464</c:v>
                </c:pt>
                <c:pt idx="3">
                  <c:v>145020.11766350036</c:v>
                </c:pt>
                <c:pt idx="4">
                  <c:v>156922.41785714583</c:v>
                </c:pt>
                <c:pt idx="5">
                  <c:v>166873.59933959617</c:v>
                </c:pt>
                <c:pt idx="6">
                  <c:v>177190.20125681188</c:v>
                </c:pt>
                <c:pt idx="7">
                  <c:v>187882.85995359058</c:v>
                </c:pt>
                <c:pt idx="8">
                  <c:v>198962.49106034799</c:v>
                </c:pt>
                <c:pt idx="9">
                  <c:v>210440.29641000449</c:v>
                </c:pt>
              </c:numCache>
            </c:numRef>
          </c:val>
          <c:extLst>
            <c:ext xmlns:c16="http://schemas.microsoft.com/office/drawing/2014/chart" uri="{C3380CC4-5D6E-409C-BE32-E72D297353CC}">
              <c16:uniqueId val="{00000006-2E4D-4CF4-88E5-346CD4C27651}"/>
            </c:ext>
          </c:extLst>
        </c:ser>
        <c:ser>
          <c:idx val="7"/>
          <c:order val="7"/>
          <c:tx>
            <c:strRef>
              <c:f>SR_cost_per_minute_forecast!$B$178</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SR_cost_per_minute_forecast!$C$178:$L$178</c:f>
              <c:numCache>
                <c:formatCode>_(* #,##0_);_(* \(#,##0\);_(* "-"??_);_(@_)</c:formatCode>
                <c:ptCount val="10"/>
                <c:pt idx="0">
                  <c:v>1717864.521803322</c:v>
                </c:pt>
                <c:pt idx="1">
                  <c:v>1786579.1026754552</c:v>
                </c:pt>
                <c:pt idx="2">
                  <c:v>1857798.4408503463</c:v>
                </c:pt>
                <c:pt idx="3">
                  <c:v>1931595.2407877573</c:v>
                </c:pt>
                <c:pt idx="4">
                  <c:v>2008044.1132229192</c:v>
                </c:pt>
                <c:pt idx="5">
                  <c:v>2144897.9833738552</c:v>
                </c:pt>
                <c:pt idx="6">
                  <c:v>2239119.2192181442</c:v>
                </c:pt>
                <c:pt idx="7">
                  <c:v>2336473.0052411514</c:v>
                </c:pt>
                <c:pt idx="8">
                  <c:v>2437046.9549556901</c:v>
                </c:pt>
                <c:pt idx="9">
                  <c:v>2540930.93339501</c:v>
                </c:pt>
              </c:numCache>
            </c:numRef>
          </c:val>
          <c:extLst>
            <c:ext xmlns:c16="http://schemas.microsoft.com/office/drawing/2014/chart" uri="{C3380CC4-5D6E-409C-BE32-E72D297353CC}">
              <c16:uniqueId val="{00000007-2E4D-4CF4-88E5-346CD4C27651}"/>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SR_cost_per_minute_forecast!$B$189</c:f>
              <c:strCache>
                <c:ptCount val="1"/>
                <c:pt idx="0">
                  <c:v>Human Space Flight</c:v>
                </c:pt>
              </c:strCache>
            </c:strRef>
          </c:tx>
          <c:spPr>
            <a:solidFill>
              <a:schemeClr val="accent1"/>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SR_cost_per_minute_forecast!$D$189:$M$189</c:f>
              <c:numCache>
                <c:formatCode>_(* #,##0_);_(* \(#,##0\);_(* "-"??_);_(@_)</c:formatCode>
                <c:ptCount val="10"/>
                <c:pt idx="0">
                  <c:v>9086943.8489734475</c:v>
                </c:pt>
                <c:pt idx="1">
                  <c:v>9902957.4444477092</c:v>
                </c:pt>
                <c:pt idx="2">
                  <c:v>10750995.7244236</c:v>
                </c:pt>
                <c:pt idx="3">
                  <c:v>11632013.270842997</c:v>
                </c:pt>
                <c:pt idx="4">
                  <c:v>12546990.039051652</c:v>
                </c:pt>
                <c:pt idx="5">
                  <c:v>13496931.990902569</c:v>
                </c:pt>
                <c:pt idx="6">
                  <c:v>14482871.743034147</c:v>
                </c:pt>
                <c:pt idx="7">
                  <c:v>15505869.23067688</c:v>
                </c:pt>
                <c:pt idx="8">
                  <c:v>16567012.38735036</c:v>
                </c:pt>
                <c:pt idx="9">
                  <c:v>19460638.419257939</c:v>
                </c:pt>
              </c:numCache>
            </c:numRef>
          </c:val>
          <c:extLst>
            <c:ext xmlns:c16="http://schemas.microsoft.com/office/drawing/2014/chart" uri="{C3380CC4-5D6E-409C-BE32-E72D297353CC}">
              <c16:uniqueId val="{00000000-5F84-4765-B3A5-A3B7BB5D40C3}"/>
            </c:ext>
          </c:extLst>
        </c:ser>
        <c:ser>
          <c:idx val="1"/>
          <c:order val="1"/>
          <c:tx>
            <c:strRef>
              <c:f>SR_cost_per_minute_forecast!$B$190</c:f>
              <c:strCache>
                <c:ptCount val="1"/>
                <c:pt idx="0">
                  <c:v>Near Earth Robotic - LEO Science</c:v>
                </c:pt>
              </c:strCache>
            </c:strRef>
          </c:tx>
          <c:spPr>
            <a:solidFill>
              <a:schemeClr val="accent2"/>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SR_cost_per_minute_forecast!$D$190:$M$190</c:f>
              <c:numCache>
                <c:formatCode>_(* #,##0_);_(* \(#,##0\);_(* "-"??_);_(@_)</c:formatCode>
                <c:ptCount val="10"/>
                <c:pt idx="0">
                  <c:v>20159520.475050297</c:v>
                </c:pt>
                <c:pt idx="1">
                  <c:v>23002255.395623438</c:v>
                </c:pt>
                <c:pt idx="2">
                  <c:v>24928091.74131247</c:v>
                </c:pt>
                <c:pt idx="3">
                  <c:v>27646993.229324453</c:v>
                </c:pt>
                <c:pt idx="4">
                  <c:v>30038161.756468806</c:v>
                </c:pt>
                <c:pt idx="5">
                  <c:v>32649324.117538113</c:v>
                </c:pt>
                <c:pt idx="6">
                  <c:v>35324121.314935483</c:v>
                </c:pt>
                <c:pt idx="7">
                  <c:v>37805695.134261109</c:v>
                </c:pt>
                <c:pt idx="8">
                  <c:v>40372840.464597963</c:v>
                </c:pt>
                <c:pt idx="9">
                  <c:v>41158386.935681045</c:v>
                </c:pt>
              </c:numCache>
            </c:numRef>
          </c:val>
          <c:extLst>
            <c:ext xmlns:c16="http://schemas.microsoft.com/office/drawing/2014/chart" uri="{C3380CC4-5D6E-409C-BE32-E72D297353CC}">
              <c16:uniqueId val="{00000001-5F84-4765-B3A5-A3B7BB5D40C3}"/>
            </c:ext>
          </c:extLst>
        </c:ser>
        <c:ser>
          <c:idx val="2"/>
          <c:order val="2"/>
          <c:tx>
            <c:strRef>
              <c:f>SR_cost_per_minute_forecast!$B$191</c:f>
              <c:strCache>
                <c:ptCount val="1"/>
                <c:pt idx="0">
                  <c:v>Near Earth Robotic - GEO and Near Earth</c:v>
                </c:pt>
              </c:strCache>
            </c:strRef>
          </c:tx>
          <c:spPr>
            <a:solidFill>
              <a:schemeClr val="accent3"/>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SR_cost_per_minute_forecast!$D$191:$M$191</c:f>
              <c:numCache>
                <c:formatCode>_(* #,##0_);_(* \(#,##0\);_(* "-"??_);_(@_)</c:formatCode>
                <c:ptCount val="10"/>
                <c:pt idx="0">
                  <c:v>156104.97026415973</c:v>
                </c:pt>
                <c:pt idx="1">
                  <c:v>222204.94050884939</c:v>
                </c:pt>
                <c:pt idx="2">
                  <c:v>247253.49743893789</c:v>
                </c:pt>
                <c:pt idx="3">
                  <c:v>273215.11467002641</c:v>
                </c:pt>
                <c:pt idx="4">
                  <c:v>300116.29519138287</c:v>
                </c:pt>
                <c:pt idx="5">
                  <c:v>327984.23688772548</c:v>
                </c:pt>
                <c:pt idx="6">
                  <c:v>356846.84973384527</c:v>
                </c:pt>
                <c:pt idx="7">
                  <c:v>386732.77339905489</c:v>
                </c:pt>
                <c:pt idx="8">
                  <c:v>417671.39527097926</c:v>
                </c:pt>
                <c:pt idx="9">
                  <c:v>426024.82317639882</c:v>
                </c:pt>
              </c:numCache>
            </c:numRef>
          </c:val>
          <c:extLst>
            <c:ext xmlns:c16="http://schemas.microsoft.com/office/drawing/2014/chart" uri="{C3380CC4-5D6E-409C-BE32-E72D297353CC}">
              <c16:uniqueId val="{00000002-5F84-4765-B3A5-A3B7BB5D40C3}"/>
            </c:ext>
          </c:extLst>
        </c:ser>
        <c:ser>
          <c:idx val="3"/>
          <c:order val="3"/>
          <c:tx>
            <c:strRef>
              <c:f>SR_cost_per_minute_forecast!$B$192</c:f>
              <c:strCache>
                <c:ptCount val="1"/>
                <c:pt idx="0">
                  <c:v>Deep Space Robotic</c:v>
                </c:pt>
              </c:strCache>
            </c:strRef>
          </c:tx>
          <c:spPr>
            <a:solidFill>
              <a:schemeClr val="accent4"/>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SR_cost_per_minute_forecast!$D$192:$M$192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F84-4765-B3A5-A3B7BB5D40C3}"/>
            </c:ext>
          </c:extLst>
        </c:ser>
        <c:ser>
          <c:idx val="4"/>
          <c:order val="4"/>
          <c:tx>
            <c:strRef>
              <c:f>SR_cost_per_minute_forecast!$B$193</c:f>
              <c:strCache>
                <c:ptCount val="1"/>
                <c:pt idx="0">
                  <c:v>Near Earth Robotic - Low Latency &amp; Complex Needs</c:v>
                </c:pt>
              </c:strCache>
            </c:strRef>
          </c:tx>
          <c:spPr>
            <a:solidFill>
              <a:schemeClr val="accent5"/>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SR_cost_per_minute_forecast!$D$193:$M$193</c:f>
              <c:numCache>
                <c:formatCode>_(* #,##0_);_(* \(#,##0\);_(* "-"??_);_(@_)</c:formatCode>
                <c:ptCount val="10"/>
                <c:pt idx="0">
                  <c:v>9106.4024809849343</c:v>
                </c:pt>
                <c:pt idx="1">
                  <c:v>9924.1634745431493</c:v>
                </c:pt>
                <c:pt idx="2">
                  <c:v>10774.017729735348</c:v>
                </c:pt>
                <c:pt idx="3">
                  <c:v>12280.393987527259</c:v>
                </c:pt>
                <c:pt idx="4">
                  <c:v>13361.06865842966</c:v>
                </c:pt>
                <c:pt idx="5">
                  <c:v>14480.058158573145</c:v>
                </c:pt>
                <c:pt idx="6">
                  <c:v>15638.462811258989</c:v>
                </c:pt>
                <c:pt idx="7">
                  <c:v>16837.411626788849</c:v>
                </c:pt>
                <c:pt idx="8">
                  <c:v>18078.063009815396</c:v>
                </c:pt>
                <c:pt idx="9">
                  <c:v>18439.624270011707</c:v>
                </c:pt>
              </c:numCache>
            </c:numRef>
          </c:val>
          <c:extLst>
            <c:ext xmlns:c16="http://schemas.microsoft.com/office/drawing/2014/chart" uri="{C3380CC4-5D6E-409C-BE32-E72D297353CC}">
              <c16:uniqueId val="{00000004-5F84-4765-B3A5-A3B7BB5D40C3}"/>
            </c:ext>
          </c:extLst>
        </c:ser>
        <c:ser>
          <c:idx val="5"/>
          <c:order val="5"/>
          <c:tx>
            <c:strRef>
              <c:f>SR_cost_per_minute_forecast!$B$194</c:f>
              <c:strCache>
                <c:ptCount val="1"/>
                <c:pt idx="0">
                  <c:v>Mission Operations</c:v>
                </c:pt>
              </c:strCache>
            </c:strRef>
          </c:tx>
          <c:spPr>
            <a:solidFill>
              <a:schemeClr val="accent6"/>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SR_cost_per_minute_forecast!$D$194:$M$194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5F84-4765-B3A5-A3B7BB5D40C3}"/>
            </c:ext>
          </c:extLst>
        </c:ser>
        <c:ser>
          <c:idx val="6"/>
          <c:order val="6"/>
          <c:tx>
            <c:strRef>
              <c:f>SR_cost_per_minute_forecast!$B$195</c:f>
              <c:strCache>
                <c:ptCount val="1"/>
                <c:pt idx="0">
                  <c:v>Launch Events</c:v>
                </c:pt>
              </c:strCache>
            </c:strRef>
          </c:tx>
          <c:spPr>
            <a:solidFill>
              <a:schemeClr val="accent1">
                <a:lumMod val="60000"/>
              </a:schemeClr>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SR_cost_per_minute_forecast!$D$195:$M$195</c:f>
              <c:numCache>
                <c:formatCode>_(* #,##0_);_(* \(#,##0\);_(* "-"??_);_(@_)</c:formatCode>
                <c:ptCount val="10"/>
                <c:pt idx="0">
                  <c:v>143778.02025081782</c:v>
                </c:pt>
                <c:pt idx="1">
                  <c:v>160072.8625459105</c:v>
                </c:pt>
                <c:pt idx="2">
                  <c:v>177007.20053862192</c:v>
                </c:pt>
                <c:pt idx="3">
                  <c:v>197705.94852292587</c:v>
                </c:pt>
                <c:pt idx="4">
                  <c:v>216792.64087451089</c:v>
                </c:pt>
                <c:pt idx="5">
                  <c:v>236593.8606833604</c:v>
                </c:pt>
                <c:pt idx="6">
                  <c:v>257130.55437082431</c:v>
                </c:pt>
                <c:pt idx="7">
                  <c:v>278424.22040412371</c:v>
                </c:pt>
                <c:pt idx="8">
                  <c:v>300496.92299961689</c:v>
                </c:pt>
                <c:pt idx="9">
                  <c:v>304999.75432909757</c:v>
                </c:pt>
              </c:numCache>
            </c:numRef>
          </c:val>
          <c:extLst>
            <c:ext xmlns:c16="http://schemas.microsoft.com/office/drawing/2014/chart" uri="{C3380CC4-5D6E-409C-BE32-E72D297353CC}">
              <c16:uniqueId val="{00000006-5F84-4765-B3A5-A3B7BB5D40C3}"/>
            </c:ext>
          </c:extLst>
        </c:ser>
        <c:ser>
          <c:idx val="7"/>
          <c:order val="7"/>
          <c:tx>
            <c:strRef>
              <c:f>SR_cost_per_minute_forecast!$B$196</c:f>
              <c:strCache>
                <c:ptCount val="1"/>
                <c:pt idx="0">
                  <c:v>Terrestrial &amp; Aerial</c:v>
                </c:pt>
              </c:strCache>
            </c:strRef>
          </c:tx>
          <c:spPr>
            <a:solidFill>
              <a:schemeClr val="accent2">
                <a:lumMod val="60000"/>
              </a:schemeClr>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SR_cost_per_minute_forecast!$D$196:$M$196</c:f>
              <c:numCache>
                <c:formatCode>_(* #,##0_);_(* \(#,##0\);_(* "-"??_);_(@_)</c:formatCode>
                <c:ptCount val="10"/>
                <c:pt idx="0">
                  <c:v>1899625.6712070284</c:v>
                </c:pt>
                <c:pt idx="1">
                  <c:v>2030759.6907036537</c:v>
                </c:pt>
                <c:pt idx="2">
                  <c:v>2166822.5405882555</c:v>
                </c:pt>
                <c:pt idx="3">
                  <c:v>2307958.9204685539</c:v>
                </c:pt>
                <c:pt idx="4">
                  <c:v>2511993.7074425127</c:v>
                </c:pt>
                <c:pt idx="5">
                  <c:v>2675963.1308598462</c:v>
                </c:pt>
                <c:pt idx="6">
                  <c:v>2845708.1936691925</c:v>
                </c:pt>
                <c:pt idx="7">
                  <c:v>3021394.3336768672</c:v>
                </c:pt>
                <c:pt idx="8">
                  <c:v>3203191.2959456784</c:v>
                </c:pt>
                <c:pt idx="9">
                  <c:v>3256172.1249497319</c:v>
                </c:pt>
              </c:numCache>
            </c:numRef>
          </c:val>
          <c:extLst>
            <c:ext xmlns:c16="http://schemas.microsoft.com/office/drawing/2014/chart" uri="{C3380CC4-5D6E-409C-BE32-E72D297353CC}">
              <c16:uniqueId val="{00000007-5F84-4765-B3A5-A3B7BB5D40C3}"/>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SR_cost_per_minute_forecast!$B$207</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SR_cost_per_minute_forecast!$C$207:$L$207</c:f>
              <c:numCache>
                <c:formatCode>_(* #,##0_);_(* \(#,##0\);_(* "-"??_);_(@_)</c:formatCode>
                <c:ptCount val="10"/>
                <c:pt idx="0">
                  <c:v>8679389.8889696561</c:v>
                </c:pt>
                <c:pt idx="1">
                  <c:v>9856767.9956472777</c:v>
                </c:pt>
                <c:pt idx="2">
                  <c:v>11080788.388858669</c:v>
                </c:pt>
                <c:pt idx="3">
                  <c:v>12352845.808822503</c:v>
                </c:pt>
                <c:pt idx="4">
                  <c:v>13674372.128451603</c:v>
                </c:pt>
                <c:pt idx="5">
                  <c:v>15046837.280764587</c:v>
                </c:pt>
                <c:pt idx="6">
                  <c:v>16471750.208540959</c:v>
                </c:pt>
                <c:pt idx="7">
                  <c:v>17950659.836738326</c:v>
                </c:pt>
                <c:pt idx="8">
                  <c:v>19485156.068202429</c:v>
                </c:pt>
                <c:pt idx="9">
                  <c:v>21076870.803212646</c:v>
                </c:pt>
              </c:numCache>
            </c:numRef>
          </c:val>
          <c:extLst>
            <c:ext xmlns:c16="http://schemas.microsoft.com/office/drawing/2014/chart" uri="{C3380CC4-5D6E-409C-BE32-E72D297353CC}">
              <c16:uniqueId val="{00000000-4777-402D-9719-71B2E2DFEB5A}"/>
            </c:ext>
          </c:extLst>
        </c:ser>
        <c:ser>
          <c:idx val="1"/>
          <c:order val="1"/>
          <c:tx>
            <c:strRef>
              <c:f>SR_cost_per_minute_forecast!$B$208</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SR_cost_per_minute_forecast!$C$208:$L$208</c:f>
              <c:numCache>
                <c:formatCode>_(* #,##0_);_(* \(#,##0\);_(* "-"??_);_(@_)</c:formatCode>
                <c:ptCount val="10"/>
                <c:pt idx="0">
                  <c:v>20492557.615825299</c:v>
                </c:pt>
                <c:pt idx="1">
                  <c:v>21947404.072895039</c:v>
                </c:pt>
                <c:pt idx="2">
                  <c:v>25737717.300325893</c:v>
                </c:pt>
                <c:pt idx="3">
                  <c:v>28648319.931707811</c:v>
                </c:pt>
                <c:pt idx="4">
                  <c:v>32390284.172078509</c:v>
                </c:pt>
                <c:pt idx="5">
                  <c:v>35843949.870399773</c:v>
                </c:pt>
                <c:pt idx="6">
                  <c:v>39558211.973115958</c:v>
                </c:pt>
                <c:pt idx="7">
                  <c:v>43377910.586580507</c:v>
                </c:pt>
                <c:pt idx="8">
                  <c:v>47047418.323473789</c:v>
                </c:pt>
                <c:pt idx="9">
                  <c:v>50846793.412372336</c:v>
                </c:pt>
              </c:numCache>
            </c:numRef>
          </c:val>
          <c:extLst>
            <c:ext xmlns:c16="http://schemas.microsoft.com/office/drawing/2014/chart" uri="{C3380CC4-5D6E-409C-BE32-E72D297353CC}">
              <c16:uniqueId val="{00000001-4777-402D-9719-71B2E2DFEB5A}"/>
            </c:ext>
          </c:extLst>
        </c:ser>
        <c:ser>
          <c:idx val="2"/>
          <c:order val="2"/>
          <c:tx>
            <c:strRef>
              <c:f>SR_cost_per_minute_forecast!$B$209</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SR_cost_per_minute_forecast!$C$209:$L$209</c:f>
              <c:numCache>
                <c:formatCode>_(* #,##0_);_(* \(#,##0\);_(* "-"??_);_(@_)</c:formatCode>
                <c:ptCount val="10"/>
                <c:pt idx="0">
                  <c:v>151445.12040552808</c:v>
                </c:pt>
                <c:pt idx="1">
                  <c:v>187791.94930285483</c:v>
                </c:pt>
                <c:pt idx="2">
                  <c:v>270686.01843805297</c:v>
                </c:pt>
                <c:pt idx="3">
                  <c:v>313187.76342265465</c:v>
                </c:pt>
                <c:pt idx="4">
                  <c:v>357281.30379926524</c:v>
                </c:pt>
                <c:pt idx="5">
                  <c:v>403013.31068557117</c:v>
                </c:pt>
                <c:pt idx="6">
                  <c:v>450431.68532580975</c:v>
                </c:pt>
                <c:pt idx="7">
                  <c:v>499585.58962738339</c:v>
                </c:pt>
                <c:pt idx="8">
                  <c:v>550525.47742688982</c:v>
                </c:pt>
                <c:pt idx="9">
                  <c:v>603303.12650252564</c:v>
                </c:pt>
              </c:numCache>
            </c:numRef>
          </c:val>
          <c:extLst>
            <c:ext xmlns:c16="http://schemas.microsoft.com/office/drawing/2014/chart" uri="{C3380CC4-5D6E-409C-BE32-E72D297353CC}">
              <c16:uniqueId val="{00000002-4777-402D-9719-71B2E2DFEB5A}"/>
            </c:ext>
          </c:extLst>
        </c:ser>
        <c:ser>
          <c:idx val="3"/>
          <c:order val="3"/>
          <c:tx>
            <c:strRef>
              <c:f>SR_cost_per_minute_forecast!$B$210</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SR_cost_per_minute_forecast!$C$210:$L$210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777-402D-9719-71B2E2DFEB5A}"/>
            </c:ext>
          </c:extLst>
        </c:ser>
        <c:ser>
          <c:idx val="4"/>
          <c:order val="4"/>
          <c:tx>
            <c:strRef>
              <c:f>SR_cost_per_minute_forecast!$B$211</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SR_cost_per_minute_forecast!$C$211:$L$211</c:f>
              <c:numCache>
                <c:formatCode>_(* #,##0_);_(* \(#,##0\);_(* "-"??_);_(@_)</c:formatCode>
                <c:ptCount val="10"/>
                <c:pt idx="0">
                  <c:v>9076.1486521444531</c:v>
                </c:pt>
                <c:pt idx="1">
                  <c:v>10649.347751849491</c:v>
                </c:pt>
                <c:pt idx="2">
                  <c:v>12284.869738965921</c:v>
                </c:pt>
                <c:pt idx="3">
                  <c:v>13984.578249350317</c:v>
                </c:pt>
                <c:pt idx="4">
                  <c:v>16373.858650036347</c:v>
                </c:pt>
                <c:pt idx="5">
                  <c:v>18371.469405340784</c:v>
                </c:pt>
                <c:pt idx="6">
                  <c:v>20442.435047397383</c:v>
                </c:pt>
                <c:pt idx="7">
                  <c:v>22588.890727374095</c:v>
                </c:pt>
                <c:pt idx="8">
                  <c:v>24813.027660530934</c:v>
                </c:pt>
                <c:pt idx="9">
                  <c:v>27117.094514723096</c:v>
                </c:pt>
              </c:numCache>
            </c:numRef>
          </c:val>
          <c:extLst>
            <c:ext xmlns:c16="http://schemas.microsoft.com/office/drawing/2014/chart" uri="{C3380CC4-5D6E-409C-BE32-E72D297353CC}">
              <c16:uniqueId val="{00000004-4777-402D-9719-71B2E2DFEB5A}"/>
            </c:ext>
          </c:extLst>
        </c:ser>
        <c:ser>
          <c:idx val="5"/>
          <c:order val="5"/>
          <c:tx>
            <c:strRef>
              <c:f>SR_cost_per_minute_forecast!$B$212</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SR_cost_per_minute_forecast!$C$212:$L$212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777-402D-9719-71B2E2DFEB5A}"/>
            </c:ext>
          </c:extLst>
        </c:ser>
        <c:ser>
          <c:idx val="6"/>
          <c:order val="6"/>
          <c:tx>
            <c:strRef>
              <c:f>SR_cost_per_minute_forecast!$B$213</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SR_cost_per_minute_forecast!$C$213:$L$213</c:f>
              <c:numCache>
                <c:formatCode>_(* #,##0_);_(* \(#,##0\);_(* "-"??_);_(@_)</c:formatCode>
                <c:ptCount val="10"/>
                <c:pt idx="0">
                  <c:v>131871.87391977527</c:v>
                </c:pt>
                <c:pt idx="1">
                  <c:v>151464.2666164276</c:v>
                </c:pt>
                <c:pt idx="2">
                  <c:v>171832.81948529344</c:v>
                </c:pt>
                <c:pt idx="3">
                  <c:v>193000.7419761827</c:v>
                </c:pt>
                <c:pt idx="4">
                  <c:v>218097.71385581588</c:v>
                </c:pt>
                <c:pt idx="5">
                  <c:v>241752.16164196824</c:v>
                </c:pt>
                <c:pt idx="6">
                  <c:v>266295.69039663469</c:v>
                </c:pt>
                <c:pt idx="7">
                  <c:v>291754.40157944115</c:v>
                </c:pt>
                <c:pt idx="8">
                  <c:v>318155.08507601148</c:v>
                </c:pt>
                <c:pt idx="9">
                  <c:v>345525.23629442311</c:v>
                </c:pt>
              </c:numCache>
            </c:numRef>
          </c:val>
          <c:extLst>
            <c:ext xmlns:c16="http://schemas.microsoft.com/office/drawing/2014/chart" uri="{C3380CC4-5D6E-409C-BE32-E72D297353CC}">
              <c16:uniqueId val="{00000006-4777-402D-9719-71B2E2DFEB5A}"/>
            </c:ext>
          </c:extLst>
        </c:ser>
        <c:ser>
          <c:idx val="7"/>
          <c:order val="7"/>
          <c:tx>
            <c:strRef>
              <c:f>SR_cost_per_minute_forecast!$B$214</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SR_cost_per_minute_forecast!$C$214:$L$214</c:f>
              <c:numCache>
                <c:formatCode>_(* #,##0_);_(* \(#,##0\);_(* "-"??_);_(@_)</c:formatCode>
                <c:ptCount val="10"/>
                <c:pt idx="0">
                  <c:v>1828694.4909519234</c:v>
                </c:pt>
                <c:pt idx="1">
                  <c:v>2012672.2397386022</c:v>
                </c:pt>
                <c:pt idx="2">
                  <c:v>2203720.9405569606</c:v>
                </c:pt>
                <c:pt idx="3">
                  <c:v>2402049.8403887535</c:v>
                </c:pt>
                <c:pt idx="4">
                  <c:v>2607873.7277141893</c:v>
                </c:pt>
                <c:pt idx="5">
                  <c:v>2879089.4315111702</c:v>
                </c:pt>
                <c:pt idx="6">
                  <c:v>3112807.0425015478</c:v>
                </c:pt>
                <c:pt idx="7">
                  <c:v>3354943.382097234</c:v>
                </c:pt>
                <c:pt idx="8">
                  <c:v>3605741.7123980448</c:v>
                </c:pt>
                <c:pt idx="9">
                  <c:v>3865451.6584963463</c:v>
                </c:pt>
              </c:numCache>
            </c:numRef>
          </c:val>
          <c:extLst>
            <c:ext xmlns:c16="http://schemas.microsoft.com/office/drawing/2014/chart" uri="{C3380CC4-5D6E-409C-BE32-E72D297353CC}">
              <c16:uniqueId val="{00000007-4777-402D-9719-71B2E2DFEB5A}"/>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Total aggregate cost by scenario </a:t>
            </a:r>
            <a:r>
              <a:rPr lang="en-US" sz="1400" b="0" i="0" u="none" strike="noStrike" baseline="0">
                <a:effectLst/>
              </a:rPr>
              <a:t>(60%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SR_cost_per_minute_forecast!$B$113</c:f>
              <c:strCache>
                <c:ptCount val="1"/>
                <c:pt idx="0">
                  <c:v>Low Demand</c:v>
                </c:pt>
              </c:strCache>
            </c:strRef>
          </c:tx>
          <c:spPr>
            <a:ln w="28575" cap="rnd">
              <a:solidFill>
                <a:schemeClr val="accent1"/>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SR_cost_per_minute_forecast!$C$123:$L$123</c:f>
              <c:numCache>
                <c:formatCode>_(* #,##0_);_(* \(#,##0\);_(* "-"??_);_(@_)</c:formatCode>
                <c:ptCount val="10"/>
                <c:pt idx="0">
                  <c:v>25285304.636428826</c:v>
                </c:pt>
                <c:pt idx="1">
                  <c:v>25207762.070718735</c:v>
                </c:pt>
                <c:pt idx="2">
                  <c:v>27191789.775592726</c:v>
                </c:pt>
                <c:pt idx="3">
                  <c:v>28300502.899871025</c:v>
                </c:pt>
                <c:pt idx="4">
                  <c:v>30093774.40375882</c:v>
                </c:pt>
                <c:pt idx="5">
                  <c:v>31620140.98063628</c:v>
                </c:pt>
                <c:pt idx="6">
                  <c:v>33276548.158852547</c:v>
                </c:pt>
                <c:pt idx="7">
                  <c:v>34963874.080597252</c:v>
                </c:pt>
                <c:pt idx="8">
                  <c:v>36453040.361266002</c:v>
                </c:pt>
                <c:pt idx="9">
                  <c:v>37991084.567589127</c:v>
                </c:pt>
              </c:numCache>
            </c:numRef>
          </c:val>
          <c:smooth val="0"/>
          <c:extLst>
            <c:ext xmlns:c16="http://schemas.microsoft.com/office/drawing/2014/chart" uri="{C3380CC4-5D6E-409C-BE32-E72D297353CC}">
              <c16:uniqueId val="{00000000-7DB8-46E4-A27E-8C39937CFCAC}"/>
            </c:ext>
          </c:extLst>
        </c:ser>
        <c:ser>
          <c:idx val="1"/>
          <c:order val="1"/>
          <c:tx>
            <c:strRef>
              <c:f>SR_cost_per_minute_forecast!$B$131</c:f>
              <c:strCache>
                <c:ptCount val="1"/>
                <c:pt idx="0">
                  <c:v>Baseline Demand</c:v>
                </c:pt>
              </c:strCache>
            </c:strRef>
          </c:tx>
          <c:spPr>
            <a:ln w="28575" cap="rnd">
              <a:solidFill>
                <a:schemeClr val="accent2"/>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SR_cost_per_minute_forecast!$C$141:$L$141</c:f>
              <c:numCache>
                <c:formatCode>_(* #,##0_);_(* \(#,##0\);_(* "-"??_);_(@_)</c:formatCode>
                <c:ptCount val="10"/>
                <c:pt idx="0">
                  <c:v>26634475.468092509</c:v>
                </c:pt>
                <c:pt idx="1">
                  <c:v>27960070.567312654</c:v>
                </c:pt>
                <c:pt idx="2">
                  <c:v>31402821.775381427</c:v>
                </c:pt>
                <c:pt idx="3">
                  <c:v>34027506.419583671</c:v>
                </c:pt>
                <c:pt idx="4">
                  <c:v>37395703.891392432</c:v>
                </c:pt>
                <c:pt idx="5">
                  <c:v>40557702.673499823</c:v>
                </c:pt>
                <c:pt idx="6">
                  <c:v>43912246.573360175</c:v>
                </c:pt>
                <c:pt idx="7">
                  <c:v>47362059.660937563</c:v>
                </c:pt>
                <c:pt idx="8">
                  <c:v>50679958.314706519</c:v>
                </c:pt>
                <c:pt idx="9">
                  <c:v>54114924.914821714</c:v>
                </c:pt>
              </c:numCache>
            </c:numRef>
          </c:val>
          <c:smooth val="0"/>
          <c:extLst>
            <c:ext xmlns:c16="http://schemas.microsoft.com/office/drawing/2014/chart" uri="{C3380CC4-5D6E-409C-BE32-E72D297353CC}">
              <c16:uniqueId val="{00000001-7DB8-46E4-A27E-8C39937CFCAC}"/>
            </c:ext>
          </c:extLst>
        </c:ser>
        <c:ser>
          <c:idx val="2"/>
          <c:order val="2"/>
          <c:tx>
            <c:strRef>
              <c:f>SR_cost_per_minute_forecast!$B$149</c:f>
              <c:strCache>
                <c:ptCount val="1"/>
                <c:pt idx="0">
                  <c:v>High Demand</c:v>
                </c:pt>
              </c:strCache>
            </c:strRef>
          </c:tx>
          <c:spPr>
            <a:ln w="28575" cap="rnd">
              <a:solidFill>
                <a:schemeClr val="accent3"/>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SR_cost_per_minute_forecast!$C$159:$L$159</c:f>
              <c:numCache>
                <c:formatCode>_(* #,##0_);_(* \(#,##0\);_(* "-"??_);_(@_)</c:formatCode>
                <c:ptCount val="10"/>
                <c:pt idx="0">
                  <c:v>27816031.234421626</c:v>
                </c:pt>
                <c:pt idx="1">
                  <c:v>30370444.330624055</c:v>
                </c:pt>
                <c:pt idx="2">
                  <c:v>35090693.63324786</c:v>
                </c:pt>
                <c:pt idx="3">
                  <c:v>39043012.146282002</c:v>
                </c:pt>
                <c:pt idx="4">
                  <c:v>43790473.692932822</c:v>
                </c:pt>
                <c:pt idx="5">
                  <c:v>48384900.910585262</c:v>
                </c:pt>
                <c:pt idx="6">
                  <c:v>53226612.475491837</c:v>
                </c:pt>
                <c:pt idx="7">
                  <c:v>58219949.055422463</c:v>
                </c:pt>
                <c:pt idx="8">
                  <c:v>63139386.394877955</c:v>
                </c:pt>
                <c:pt idx="9">
                  <c:v>68235610.07234934</c:v>
                </c:pt>
              </c:numCache>
            </c:numRef>
          </c:val>
          <c:smooth val="0"/>
          <c:extLst>
            <c:ext xmlns:c16="http://schemas.microsoft.com/office/drawing/2014/chart" uri="{C3380CC4-5D6E-409C-BE32-E72D297353CC}">
              <c16:uniqueId val="{00000002-7DB8-46E4-A27E-8C39937CFCAC}"/>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lifespans_all!$B$152</c:f>
              <c:strCache>
                <c:ptCount val="1"/>
                <c:pt idx="0">
                  <c:v>Existing</c:v>
                </c:pt>
              </c:strCache>
            </c:strRef>
          </c:tx>
          <c:spPr>
            <a:solidFill>
              <a:schemeClr val="accent1"/>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lifespans_all!$D$152:$M$152</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CE-4E0E-8E5D-E5BEAF3F277A}"/>
            </c:ext>
          </c:extLst>
        </c:ser>
        <c:ser>
          <c:idx val="1"/>
          <c:order val="1"/>
          <c:tx>
            <c:strRef>
              <c:f>lifespans_all!$B$153</c:f>
              <c:strCache>
                <c:ptCount val="1"/>
                <c:pt idx="0">
                  <c:v>Replacement</c:v>
                </c:pt>
              </c:strCache>
            </c:strRef>
          </c:tx>
          <c:spPr>
            <a:solidFill>
              <a:schemeClr val="accent2"/>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lifespans_all!$D$153:$M$153</c:f>
              <c:numCache>
                <c:formatCode>0</c:formatCode>
                <c:ptCount val="10"/>
                <c:pt idx="0">
                  <c:v>3</c:v>
                </c:pt>
                <c:pt idx="1">
                  <c:v>9</c:v>
                </c:pt>
                <c:pt idx="2">
                  <c:v>17</c:v>
                </c:pt>
                <c:pt idx="3">
                  <c:v>22</c:v>
                </c:pt>
                <c:pt idx="4">
                  <c:v>30</c:v>
                </c:pt>
                <c:pt idx="5">
                  <c:v>37</c:v>
                </c:pt>
                <c:pt idx="6">
                  <c:v>43</c:v>
                </c:pt>
                <c:pt idx="7">
                  <c:v>48.000000000000007</c:v>
                </c:pt>
                <c:pt idx="8">
                  <c:v>51</c:v>
                </c:pt>
                <c:pt idx="9">
                  <c:v>54</c:v>
                </c:pt>
              </c:numCache>
            </c:numRef>
          </c:val>
          <c:extLst>
            <c:ext xmlns:c16="http://schemas.microsoft.com/office/drawing/2014/chart" uri="{C3380CC4-5D6E-409C-BE32-E72D297353CC}">
              <c16:uniqueId val="{00000001-5CCE-4E0E-8E5D-E5BEAF3F277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SR </a:t>
            </a:r>
            <a:r>
              <a:rPr lang="en-US"/>
              <a:t>Total aggregate cost by scenario </a:t>
            </a:r>
            <a:r>
              <a:rPr lang="en-US" sz="1400" b="0" i="0" u="none" strike="noStrike" baseline="0">
                <a:effectLst/>
              </a:rPr>
              <a:t>(80%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SR_cost_per_minute_forecast!$B$169</c:f>
              <c:strCache>
                <c:ptCount val="1"/>
                <c:pt idx="0">
                  <c:v>Low Demand</c:v>
                </c:pt>
              </c:strCache>
            </c:strRef>
          </c:tx>
          <c:spPr>
            <a:ln w="28575" cap="rnd">
              <a:solidFill>
                <a:schemeClr val="accent1"/>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SR_cost_per_minute_forecast!$C$179:$L$179</c:f>
              <c:numCache>
                <c:formatCode>_(* #,##0_);_(* \(#,##0\);_(* "-"??_);_(@_)</c:formatCode>
                <c:ptCount val="10"/>
                <c:pt idx="0">
                  <c:v>28445967.715982422</c:v>
                </c:pt>
                <c:pt idx="1">
                  <c:v>28358732.329558574</c:v>
                </c:pt>
                <c:pt idx="2">
                  <c:v>30590763.497541811</c:v>
                </c:pt>
                <c:pt idx="3">
                  <c:v>31838065.762354895</c:v>
                </c:pt>
                <c:pt idx="4">
                  <c:v>33855496.204228662</c:v>
                </c:pt>
                <c:pt idx="5">
                  <c:v>35572658.603215814</c:v>
                </c:pt>
                <c:pt idx="6">
                  <c:v>37436116.678709105</c:v>
                </c:pt>
                <c:pt idx="7">
                  <c:v>39334358.340671904</c:v>
                </c:pt>
                <c:pt idx="8">
                  <c:v>41009670.406424247</c:v>
                </c:pt>
                <c:pt idx="9">
                  <c:v>42739970.138537772</c:v>
                </c:pt>
              </c:numCache>
            </c:numRef>
          </c:val>
          <c:smooth val="0"/>
          <c:extLst>
            <c:ext xmlns:c16="http://schemas.microsoft.com/office/drawing/2014/chart" uri="{C3380CC4-5D6E-409C-BE32-E72D297353CC}">
              <c16:uniqueId val="{00000000-52AD-4E0D-B32D-06E8045216E8}"/>
            </c:ext>
          </c:extLst>
        </c:ser>
        <c:ser>
          <c:idx val="1"/>
          <c:order val="1"/>
          <c:tx>
            <c:strRef>
              <c:f>SR_cost_per_minute_forecast!$B$187</c:f>
              <c:strCache>
                <c:ptCount val="1"/>
                <c:pt idx="0">
                  <c:v>Baseline Demand</c:v>
                </c:pt>
              </c:strCache>
            </c:strRef>
          </c:tx>
          <c:spPr>
            <a:ln w="28575" cap="rnd">
              <a:solidFill>
                <a:schemeClr val="accent2"/>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SR_cost_per_minute_forecast!$C$197:$L$197</c:f>
              <c:numCache>
                <c:formatCode>_(* #,##0_);_(* \(#,##0\);_(* "-"??_);_(@_)</c:formatCode>
                <c:ptCount val="10"/>
                <c:pt idx="0">
                  <c:v>29963784.901604075</c:v>
                </c:pt>
                <c:pt idx="1">
                  <c:v>31455079.38822674</c:v>
                </c:pt>
                <c:pt idx="2">
                  <c:v>35328174.497304112</c:v>
                </c:pt>
                <c:pt idx="3">
                  <c:v>38280944.722031616</c:v>
                </c:pt>
                <c:pt idx="4">
                  <c:v>42070166.877816483</c:v>
                </c:pt>
                <c:pt idx="5">
                  <c:v>45627415.507687293</c:v>
                </c:pt>
                <c:pt idx="6">
                  <c:v>49401277.395030186</c:v>
                </c:pt>
                <c:pt idx="7">
                  <c:v>53282317.118554756</c:v>
                </c:pt>
                <c:pt idx="8">
                  <c:v>57014953.104044825</c:v>
                </c:pt>
                <c:pt idx="9">
                  <c:v>60879290.529174417</c:v>
                </c:pt>
              </c:numCache>
            </c:numRef>
          </c:val>
          <c:smooth val="0"/>
          <c:extLst>
            <c:ext xmlns:c16="http://schemas.microsoft.com/office/drawing/2014/chart" uri="{C3380CC4-5D6E-409C-BE32-E72D297353CC}">
              <c16:uniqueId val="{00000001-52AD-4E0D-B32D-06E8045216E8}"/>
            </c:ext>
          </c:extLst>
        </c:ser>
        <c:ser>
          <c:idx val="2"/>
          <c:order val="2"/>
          <c:tx>
            <c:strRef>
              <c:f>SR_cost_per_minute_forecast!$B$205</c:f>
              <c:strCache>
                <c:ptCount val="1"/>
                <c:pt idx="0">
                  <c:v>High Demand</c:v>
                </c:pt>
              </c:strCache>
            </c:strRef>
          </c:tx>
          <c:spPr>
            <a:ln w="28575" cap="rnd">
              <a:solidFill>
                <a:schemeClr val="accent3"/>
              </a:solidFill>
              <a:round/>
            </a:ln>
            <a:effectLst/>
          </c:spPr>
          <c:marker>
            <c:symbol val="none"/>
          </c:marker>
          <c:cat>
            <c:numRef>
              <c:f>SR_cost_per_minute_forecast!$C$170:$L$170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SR_cost_per_minute_forecast!$C$215:$L$215</c:f>
              <c:numCache>
                <c:formatCode>_(* #,##0_);_(* \(#,##0\);_(* "-"??_);_(@_)</c:formatCode>
                <c:ptCount val="10"/>
                <c:pt idx="0">
                  <c:v>31293035.138724323</c:v>
                </c:pt>
                <c:pt idx="1">
                  <c:v>34166749.871952049</c:v>
                </c:pt>
                <c:pt idx="2">
                  <c:v>39477030.337403834</c:v>
                </c:pt>
                <c:pt idx="3">
                  <c:v>43923388.664567247</c:v>
                </c:pt>
                <c:pt idx="4">
                  <c:v>49264282.90454942</c:v>
                </c:pt>
                <c:pt idx="5">
                  <c:v>54433013.524408408</c:v>
                </c:pt>
                <c:pt idx="6">
                  <c:v>59879939.034928307</c:v>
                </c:pt>
                <c:pt idx="7">
                  <c:v>65497442.687350266</c:v>
                </c:pt>
                <c:pt idx="8">
                  <c:v>71031809.694237679</c:v>
                </c:pt>
                <c:pt idx="9">
                  <c:v>76765061.331393003</c:v>
                </c:pt>
              </c:numCache>
            </c:numRef>
          </c:val>
          <c:smooth val="0"/>
          <c:extLst>
            <c:ext xmlns:c16="http://schemas.microsoft.com/office/drawing/2014/chart" uri="{C3380CC4-5D6E-409C-BE32-E72D297353CC}">
              <c16:uniqueId val="{00000002-52AD-4E0D-B32D-06E8045216E8}"/>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248777066870988E-2"/>
          <c:y val="0.10605799289048519"/>
          <c:w val="0.87722706632180125"/>
          <c:h val="0.63030185267075134"/>
        </c:manualLayout>
      </c:layout>
      <c:areaChart>
        <c:grouping val="stacked"/>
        <c:varyColors val="0"/>
        <c:ser>
          <c:idx val="0"/>
          <c:order val="0"/>
          <c:tx>
            <c:strRef>
              <c:f>lifespans_all!$B$61</c:f>
              <c:strCache>
                <c:ptCount val="1"/>
                <c:pt idx="0">
                  <c:v>Human Space Flight</c:v>
                </c:pt>
              </c:strCache>
            </c:strRef>
          </c:tx>
          <c:spPr>
            <a:solidFill>
              <a:schemeClr val="accent1"/>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lifespans_all!$D$61:$M$61</c:f>
              <c:numCache>
                <c:formatCode>0</c:formatCode>
                <c:ptCount val="10"/>
                <c:pt idx="0">
                  <c:v>6.1</c:v>
                </c:pt>
                <c:pt idx="1">
                  <c:v>6.2</c:v>
                </c:pt>
                <c:pt idx="2">
                  <c:v>6.3</c:v>
                </c:pt>
                <c:pt idx="3">
                  <c:v>6.4</c:v>
                </c:pt>
                <c:pt idx="4">
                  <c:v>6.5</c:v>
                </c:pt>
                <c:pt idx="5">
                  <c:v>6.6</c:v>
                </c:pt>
                <c:pt idx="6">
                  <c:v>6.7</c:v>
                </c:pt>
                <c:pt idx="7">
                  <c:v>6.8</c:v>
                </c:pt>
                <c:pt idx="8">
                  <c:v>6.9</c:v>
                </c:pt>
                <c:pt idx="9">
                  <c:v>7</c:v>
                </c:pt>
              </c:numCache>
            </c:numRef>
          </c:val>
          <c:extLst>
            <c:ext xmlns:c16="http://schemas.microsoft.com/office/drawing/2014/chart" uri="{C3380CC4-5D6E-409C-BE32-E72D297353CC}">
              <c16:uniqueId val="{00000000-6214-4C16-955F-4D7A4436F319}"/>
            </c:ext>
          </c:extLst>
        </c:ser>
        <c:ser>
          <c:idx val="1"/>
          <c:order val="1"/>
          <c:tx>
            <c:strRef>
              <c:f>lifespans_all!$B$62</c:f>
              <c:strCache>
                <c:ptCount val="1"/>
                <c:pt idx="0">
                  <c:v>Near Earth Robotic - LEO Science</c:v>
                </c:pt>
              </c:strCache>
            </c:strRef>
          </c:tx>
          <c:spPr>
            <a:solidFill>
              <a:schemeClr val="accent2"/>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lifespans_all!$D$62:$M$62</c:f>
              <c:numCache>
                <c:formatCode>0</c:formatCode>
                <c:ptCount val="10"/>
                <c:pt idx="0">
                  <c:v>17.600000000000001</c:v>
                </c:pt>
                <c:pt idx="1">
                  <c:v>18.2</c:v>
                </c:pt>
                <c:pt idx="2">
                  <c:v>18.8</c:v>
                </c:pt>
                <c:pt idx="3">
                  <c:v>19.399999999999999</c:v>
                </c:pt>
                <c:pt idx="4">
                  <c:v>20</c:v>
                </c:pt>
                <c:pt idx="5">
                  <c:v>20.6</c:v>
                </c:pt>
                <c:pt idx="6">
                  <c:v>21.2</c:v>
                </c:pt>
                <c:pt idx="7">
                  <c:v>21.8</c:v>
                </c:pt>
                <c:pt idx="8">
                  <c:v>22.4</c:v>
                </c:pt>
                <c:pt idx="9">
                  <c:v>23</c:v>
                </c:pt>
              </c:numCache>
            </c:numRef>
          </c:val>
          <c:extLst>
            <c:ext xmlns:c16="http://schemas.microsoft.com/office/drawing/2014/chart" uri="{C3380CC4-5D6E-409C-BE32-E72D297353CC}">
              <c16:uniqueId val="{00000001-6214-4C16-955F-4D7A4436F319}"/>
            </c:ext>
          </c:extLst>
        </c:ser>
        <c:ser>
          <c:idx val="2"/>
          <c:order val="2"/>
          <c:tx>
            <c:strRef>
              <c:f>lifespans_all!$B$63</c:f>
              <c:strCache>
                <c:ptCount val="1"/>
                <c:pt idx="0">
                  <c:v>Near Earth Robotic - GEO and Near Earth</c:v>
                </c:pt>
              </c:strCache>
            </c:strRef>
          </c:tx>
          <c:spPr>
            <a:solidFill>
              <a:schemeClr val="accent3"/>
            </a:solidFill>
            <a:ln>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lifespans_all!$D$63:$M$63</c:f>
              <c:numCache>
                <c:formatCode>0</c:formatCode>
                <c:ptCount val="10"/>
                <c:pt idx="0">
                  <c:v>8.1999999999999993</c:v>
                </c:pt>
                <c:pt idx="1">
                  <c:v>8.4</c:v>
                </c:pt>
                <c:pt idx="2">
                  <c:v>8.6</c:v>
                </c:pt>
                <c:pt idx="3">
                  <c:v>8.8000000000000007</c:v>
                </c:pt>
                <c:pt idx="4">
                  <c:v>9</c:v>
                </c:pt>
                <c:pt idx="5">
                  <c:v>9.1999999999999993</c:v>
                </c:pt>
                <c:pt idx="6">
                  <c:v>9.4</c:v>
                </c:pt>
                <c:pt idx="7">
                  <c:v>9.6</c:v>
                </c:pt>
                <c:pt idx="8">
                  <c:v>9.8000000000000007</c:v>
                </c:pt>
                <c:pt idx="9">
                  <c:v>10</c:v>
                </c:pt>
              </c:numCache>
            </c:numRef>
          </c:val>
          <c:extLst>
            <c:ext xmlns:c16="http://schemas.microsoft.com/office/drawing/2014/chart" uri="{C3380CC4-5D6E-409C-BE32-E72D297353CC}">
              <c16:uniqueId val="{00000002-6214-4C16-955F-4D7A4436F319}"/>
            </c:ext>
          </c:extLst>
        </c:ser>
        <c:ser>
          <c:idx val="3"/>
          <c:order val="3"/>
          <c:tx>
            <c:strRef>
              <c:f>lifespans_all!$B$64</c:f>
              <c:strCache>
                <c:ptCount val="1"/>
                <c:pt idx="0">
                  <c:v>Deep Space Robotic</c:v>
                </c:pt>
              </c:strCache>
            </c:strRef>
          </c:tx>
          <c:spPr>
            <a:solidFill>
              <a:schemeClr val="accent4"/>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lifespans_all!$D$64:$M$64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214-4C16-955F-4D7A4436F319}"/>
            </c:ext>
          </c:extLst>
        </c:ser>
        <c:ser>
          <c:idx val="4"/>
          <c:order val="4"/>
          <c:tx>
            <c:strRef>
              <c:f>lifespans_all!$B$65</c:f>
              <c:strCache>
                <c:ptCount val="1"/>
                <c:pt idx="0">
                  <c:v>Near Earth Robotic - Low Latency &amp; Complex Needs</c:v>
                </c:pt>
              </c:strCache>
            </c:strRef>
          </c:tx>
          <c:spPr>
            <a:solidFill>
              <a:schemeClr val="accent5"/>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lifespans_all!$D$65:$M$65</c:f>
              <c:numCache>
                <c:formatCode>0</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4-6214-4C16-955F-4D7A4436F319}"/>
            </c:ext>
          </c:extLst>
        </c:ser>
        <c:ser>
          <c:idx val="5"/>
          <c:order val="5"/>
          <c:tx>
            <c:strRef>
              <c:f>lifespans_all!$B$66</c:f>
              <c:strCache>
                <c:ptCount val="1"/>
                <c:pt idx="0">
                  <c:v>Mission Operations</c:v>
                </c:pt>
              </c:strCache>
            </c:strRef>
          </c:tx>
          <c:spPr>
            <a:solidFill>
              <a:schemeClr val="accent6"/>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lifespans_all!$D$66:$M$66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214-4C16-955F-4D7A4436F319}"/>
            </c:ext>
          </c:extLst>
        </c:ser>
        <c:ser>
          <c:idx val="6"/>
          <c:order val="6"/>
          <c:tx>
            <c:strRef>
              <c:f>lifespans_all!$B$67</c:f>
              <c:strCache>
                <c:ptCount val="1"/>
                <c:pt idx="0">
                  <c:v>Launch Events</c:v>
                </c:pt>
              </c:strCache>
            </c:strRef>
          </c:tx>
          <c:spPr>
            <a:solidFill>
              <a:schemeClr val="accent1">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lifespans_all!$D$67:$M$67</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6-6214-4C16-955F-4D7A4436F319}"/>
            </c:ext>
          </c:extLst>
        </c:ser>
        <c:ser>
          <c:idx val="7"/>
          <c:order val="7"/>
          <c:tx>
            <c:strRef>
              <c:f>lifespans_all!$B$68</c:f>
              <c:strCache>
                <c:ptCount val="1"/>
                <c:pt idx="0">
                  <c:v>Terrestrial &amp; Aerial</c:v>
                </c:pt>
              </c:strCache>
            </c:strRef>
          </c:tx>
          <c:spPr>
            <a:solidFill>
              <a:schemeClr val="accent2">
                <a:lumMod val="60000"/>
              </a:schemeClr>
            </a:solidFill>
            <a:ln w="25400">
              <a:noFill/>
            </a:ln>
            <a:effectLst/>
          </c:spPr>
          <c:cat>
            <c:numRef>
              <c:f>lifespans_all!$D$60:$M$60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lifespans_all!$D$68:$M$68</c:f>
              <c:numCache>
                <c:formatCode>0</c:formatCode>
                <c:ptCount val="10"/>
                <c:pt idx="0">
                  <c:v>3.1</c:v>
                </c:pt>
                <c:pt idx="1">
                  <c:v>3.2</c:v>
                </c:pt>
                <c:pt idx="2">
                  <c:v>3.3</c:v>
                </c:pt>
                <c:pt idx="3">
                  <c:v>3.4</c:v>
                </c:pt>
                <c:pt idx="4">
                  <c:v>3.5</c:v>
                </c:pt>
                <c:pt idx="5">
                  <c:v>3.6</c:v>
                </c:pt>
                <c:pt idx="6">
                  <c:v>3.7</c:v>
                </c:pt>
                <c:pt idx="7">
                  <c:v>3.8</c:v>
                </c:pt>
                <c:pt idx="8">
                  <c:v>3.9</c:v>
                </c:pt>
                <c:pt idx="9">
                  <c:v>4</c:v>
                </c:pt>
              </c:numCache>
            </c:numRef>
          </c:val>
          <c:extLst>
            <c:ext xmlns:c16="http://schemas.microsoft.com/office/drawing/2014/chart" uri="{C3380CC4-5D6E-409C-BE32-E72D297353CC}">
              <c16:uniqueId val="{00000007-6214-4C16-955F-4D7A4436F31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330702192808603"/>
          <c:w val="0.90748717991544758"/>
          <c:h val="0.14953610349918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702883749043504E-2"/>
          <c:y val="0.1060580978028894"/>
          <c:w val="0.87934059299234435"/>
          <c:h val="0.63030185267075134"/>
        </c:manualLayout>
      </c:layout>
      <c:areaChart>
        <c:grouping val="stacked"/>
        <c:varyColors val="0"/>
        <c:ser>
          <c:idx val="0"/>
          <c:order val="0"/>
          <c:tx>
            <c:strRef>
              <c:f>lifespans_all!$B$139</c:f>
              <c:strCache>
                <c:ptCount val="1"/>
                <c:pt idx="0">
                  <c:v>Human Space Flight</c:v>
                </c:pt>
              </c:strCache>
            </c:strRef>
          </c:tx>
          <c:spPr>
            <a:solidFill>
              <a:schemeClr val="accent1"/>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lifespans_all!$D$139:$M$139</c:f>
              <c:numCache>
                <c:formatCode>0</c:formatCode>
                <c:ptCount val="10"/>
                <c:pt idx="0">
                  <c:v>6.4</c:v>
                </c:pt>
                <c:pt idx="1">
                  <c:v>6.8</c:v>
                </c:pt>
                <c:pt idx="2">
                  <c:v>7.2</c:v>
                </c:pt>
                <c:pt idx="3">
                  <c:v>7.6</c:v>
                </c:pt>
                <c:pt idx="4">
                  <c:v>8</c:v>
                </c:pt>
                <c:pt idx="5">
                  <c:v>8.4</c:v>
                </c:pt>
                <c:pt idx="6">
                  <c:v>8.8000000000000007</c:v>
                </c:pt>
                <c:pt idx="7">
                  <c:v>9.1999999999999993</c:v>
                </c:pt>
                <c:pt idx="8">
                  <c:v>9.6</c:v>
                </c:pt>
                <c:pt idx="9">
                  <c:v>10</c:v>
                </c:pt>
              </c:numCache>
            </c:numRef>
          </c:val>
          <c:extLst>
            <c:ext xmlns:c16="http://schemas.microsoft.com/office/drawing/2014/chart" uri="{C3380CC4-5D6E-409C-BE32-E72D297353CC}">
              <c16:uniqueId val="{00000000-0DDE-492F-A7E4-FEBC399D369D}"/>
            </c:ext>
          </c:extLst>
        </c:ser>
        <c:ser>
          <c:idx val="1"/>
          <c:order val="1"/>
          <c:tx>
            <c:strRef>
              <c:f>lifespans_all!$B$140</c:f>
              <c:strCache>
                <c:ptCount val="1"/>
                <c:pt idx="0">
                  <c:v>Near Earth Robotic - LEO Science</c:v>
                </c:pt>
              </c:strCache>
            </c:strRef>
          </c:tx>
          <c:spPr>
            <a:solidFill>
              <a:schemeClr val="accent2"/>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lifespans_all!$D$140:$M$140</c:f>
              <c:numCache>
                <c:formatCode>0</c:formatCode>
                <c:ptCount val="10"/>
                <c:pt idx="0">
                  <c:v>18.399999999999999</c:v>
                </c:pt>
                <c:pt idx="1">
                  <c:v>19.8</c:v>
                </c:pt>
                <c:pt idx="2">
                  <c:v>21.2</c:v>
                </c:pt>
                <c:pt idx="3">
                  <c:v>22.6</c:v>
                </c:pt>
                <c:pt idx="4">
                  <c:v>24</c:v>
                </c:pt>
                <c:pt idx="5">
                  <c:v>25.4</c:v>
                </c:pt>
                <c:pt idx="6">
                  <c:v>26.8</c:v>
                </c:pt>
                <c:pt idx="7">
                  <c:v>28.200000000000003</c:v>
                </c:pt>
                <c:pt idx="8">
                  <c:v>29.6</c:v>
                </c:pt>
                <c:pt idx="9">
                  <c:v>31</c:v>
                </c:pt>
              </c:numCache>
            </c:numRef>
          </c:val>
          <c:extLst>
            <c:ext xmlns:c16="http://schemas.microsoft.com/office/drawing/2014/chart" uri="{C3380CC4-5D6E-409C-BE32-E72D297353CC}">
              <c16:uniqueId val="{00000001-0DDE-492F-A7E4-FEBC399D369D}"/>
            </c:ext>
          </c:extLst>
        </c:ser>
        <c:ser>
          <c:idx val="2"/>
          <c:order val="2"/>
          <c:tx>
            <c:strRef>
              <c:f>lifespans_all!$B$141</c:f>
              <c:strCache>
                <c:ptCount val="1"/>
                <c:pt idx="0">
                  <c:v>Near Earth Robotic - GEO and Near Earth</c:v>
                </c:pt>
              </c:strCache>
            </c:strRef>
          </c:tx>
          <c:spPr>
            <a:solidFill>
              <a:schemeClr val="accent3"/>
            </a:solidFill>
            <a:ln>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lifespans_all!$D$141:$M$141</c:f>
              <c:numCache>
                <c:formatCode>0</c:formatCode>
                <c:ptCount val="10"/>
                <c:pt idx="0">
                  <c:v>8.5</c:v>
                </c:pt>
                <c:pt idx="1">
                  <c:v>9</c:v>
                </c:pt>
                <c:pt idx="2">
                  <c:v>9.5</c:v>
                </c:pt>
                <c:pt idx="3">
                  <c:v>10</c:v>
                </c:pt>
                <c:pt idx="4">
                  <c:v>10.5</c:v>
                </c:pt>
                <c:pt idx="5">
                  <c:v>11</c:v>
                </c:pt>
                <c:pt idx="6">
                  <c:v>11.5</c:v>
                </c:pt>
                <c:pt idx="7">
                  <c:v>12</c:v>
                </c:pt>
                <c:pt idx="8">
                  <c:v>12.5</c:v>
                </c:pt>
                <c:pt idx="9">
                  <c:v>13</c:v>
                </c:pt>
              </c:numCache>
            </c:numRef>
          </c:val>
          <c:extLst>
            <c:ext xmlns:c16="http://schemas.microsoft.com/office/drawing/2014/chart" uri="{C3380CC4-5D6E-409C-BE32-E72D297353CC}">
              <c16:uniqueId val="{00000002-0DDE-492F-A7E4-FEBC399D369D}"/>
            </c:ext>
          </c:extLst>
        </c:ser>
        <c:ser>
          <c:idx val="3"/>
          <c:order val="3"/>
          <c:tx>
            <c:strRef>
              <c:f>lifespans_all!$B$142</c:f>
              <c:strCache>
                <c:ptCount val="1"/>
                <c:pt idx="0">
                  <c:v>Deep Space Robotic</c:v>
                </c:pt>
              </c:strCache>
            </c:strRef>
          </c:tx>
          <c:spPr>
            <a:solidFill>
              <a:schemeClr val="accent4"/>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lifespans_all!$D$142:$M$142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DDE-492F-A7E4-FEBC399D369D}"/>
            </c:ext>
          </c:extLst>
        </c:ser>
        <c:ser>
          <c:idx val="4"/>
          <c:order val="4"/>
          <c:tx>
            <c:strRef>
              <c:f>lifespans_all!$B$143</c:f>
              <c:strCache>
                <c:ptCount val="1"/>
                <c:pt idx="0">
                  <c:v>Near Earth Robotic - Low Latency &amp; Complex Needs</c:v>
                </c:pt>
              </c:strCache>
            </c:strRef>
          </c:tx>
          <c:spPr>
            <a:solidFill>
              <a:schemeClr val="accent5"/>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lifespans_all!$D$143:$M$143</c:f>
              <c:numCache>
                <c:formatCode>0</c:formatCode>
                <c:ptCount val="10"/>
                <c:pt idx="0">
                  <c:v>1.1000000000000001</c:v>
                </c:pt>
                <c:pt idx="1">
                  <c:v>1.2</c:v>
                </c:pt>
                <c:pt idx="2">
                  <c:v>1.3</c:v>
                </c:pt>
                <c:pt idx="3">
                  <c:v>1.4</c:v>
                </c:pt>
                <c:pt idx="4">
                  <c:v>1.5</c:v>
                </c:pt>
                <c:pt idx="5">
                  <c:v>1.6</c:v>
                </c:pt>
                <c:pt idx="6">
                  <c:v>1.7</c:v>
                </c:pt>
                <c:pt idx="7">
                  <c:v>1.7999999999999998</c:v>
                </c:pt>
                <c:pt idx="8">
                  <c:v>1.9</c:v>
                </c:pt>
                <c:pt idx="9">
                  <c:v>2</c:v>
                </c:pt>
              </c:numCache>
            </c:numRef>
          </c:val>
          <c:extLst>
            <c:ext xmlns:c16="http://schemas.microsoft.com/office/drawing/2014/chart" uri="{C3380CC4-5D6E-409C-BE32-E72D297353CC}">
              <c16:uniqueId val="{00000004-0DDE-492F-A7E4-FEBC399D369D}"/>
            </c:ext>
          </c:extLst>
        </c:ser>
        <c:ser>
          <c:idx val="5"/>
          <c:order val="5"/>
          <c:tx>
            <c:strRef>
              <c:f>lifespans_all!$B$144</c:f>
              <c:strCache>
                <c:ptCount val="1"/>
                <c:pt idx="0">
                  <c:v>Mission Operations</c:v>
                </c:pt>
              </c:strCache>
            </c:strRef>
          </c:tx>
          <c:spPr>
            <a:solidFill>
              <a:schemeClr val="accent6"/>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lifespans_all!$D$144:$M$144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DDE-492F-A7E4-FEBC399D369D}"/>
            </c:ext>
          </c:extLst>
        </c:ser>
        <c:ser>
          <c:idx val="6"/>
          <c:order val="6"/>
          <c:tx>
            <c:strRef>
              <c:f>lifespans_all!$B$145</c:f>
              <c:strCache>
                <c:ptCount val="1"/>
                <c:pt idx="0">
                  <c:v>Launch Events</c:v>
                </c:pt>
              </c:strCache>
            </c:strRef>
          </c:tx>
          <c:spPr>
            <a:solidFill>
              <a:schemeClr val="accent1">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lifespans_all!$D$145:$M$145</c:f>
              <c:numCache>
                <c:formatCode>0</c:formatCode>
                <c:ptCount val="10"/>
                <c:pt idx="0">
                  <c:v>3.4</c:v>
                </c:pt>
                <c:pt idx="1">
                  <c:v>3.8</c:v>
                </c:pt>
                <c:pt idx="2">
                  <c:v>4.2</c:v>
                </c:pt>
                <c:pt idx="3">
                  <c:v>4.5999999999999996</c:v>
                </c:pt>
                <c:pt idx="4">
                  <c:v>5</c:v>
                </c:pt>
                <c:pt idx="5">
                  <c:v>5.4</c:v>
                </c:pt>
                <c:pt idx="6">
                  <c:v>5.8</c:v>
                </c:pt>
                <c:pt idx="7">
                  <c:v>6.1999999999999993</c:v>
                </c:pt>
                <c:pt idx="8">
                  <c:v>6.6</c:v>
                </c:pt>
                <c:pt idx="9">
                  <c:v>7</c:v>
                </c:pt>
              </c:numCache>
            </c:numRef>
          </c:val>
          <c:extLst>
            <c:ext xmlns:c16="http://schemas.microsoft.com/office/drawing/2014/chart" uri="{C3380CC4-5D6E-409C-BE32-E72D297353CC}">
              <c16:uniqueId val="{00000006-0DDE-492F-A7E4-FEBC399D369D}"/>
            </c:ext>
          </c:extLst>
        </c:ser>
        <c:ser>
          <c:idx val="7"/>
          <c:order val="7"/>
          <c:tx>
            <c:strRef>
              <c:f>lifespans_all!$B$146</c:f>
              <c:strCache>
                <c:ptCount val="1"/>
                <c:pt idx="0">
                  <c:v>Terrestrial &amp; Aerial</c:v>
                </c:pt>
              </c:strCache>
            </c:strRef>
          </c:tx>
          <c:spPr>
            <a:solidFill>
              <a:schemeClr val="accent2">
                <a:lumMod val="60000"/>
              </a:schemeClr>
            </a:solidFill>
            <a:ln w="25400">
              <a:noFill/>
            </a:ln>
            <a:effectLst/>
          </c:spPr>
          <c:cat>
            <c:numRef>
              <c:f>lifespans_all!$D$138:$M$138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lifespans_all!$D$146:$M$146</c:f>
              <c:numCache>
                <c:formatCode>0</c:formatCode>
                <c:ptCount val="10"/>
                <c:pt idx="0">
                  <c:v>3.2</c:v>
                </c:pt>
                <c:pt idx="1">
                  <c:v>3.4</c:v>
                </c:pt>
                <c:pt idx="2">
                  <c:v>3.6</c:v>
                </c:pt>
                <c:pt idx="3">
                  <c:v>3.8</c:v>
                </c:pt>
                <c:pt idx="4">
                  <c:v>4</c:v>
                </c:pt>
                <c:pt idx="5">
                  <c:v>4.2</c:v>
                </c:pt>
                <c:pt idx="6">
                  <c:v>4.4000000000000004</c:v>
                </c:pt>
                <c:pt idx="7">
                  <c:v>4.5999999999999996</c:v>
                </c:pt>
                <c:pt idx="8">
                  <c:v>4.8</c:v>
                </c:pt>
                <c:pt idx="9">
                  <c:v>5</c:v>
                </c:pt>
              </c:numCache>
            </c:numRef>
          </c:val>
          <c:extLst>
            <c:ext xmlns:c16="http://schemas.microsoft.com/office/drawing/2014/chart" uri="{C3380CC4-5D6E-409C-BE32-E72D297353CC}">
              <c16:uniqueId val="{00000007-0DDE-492F-A7E4-FEBC399D369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Missions</a:t>
                </a:r>
                <a:endParaRPr lang="en-US" sz="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036687850764268"/>
          <c:w val="0.90748717991544758"/>
          <c:h val="0.15247613775457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589357078500379E-2"/>
          <c:y val="0.10605799289048519"/>
          <c:w val="0.87088648631017185"/>
          <c:h val="0.63030185267075134"/>
        </c:manualLayout>
      </c:layout>
      <c:areaChart>
        <c:grouping val="stacked"/>
        <c:varyColors val="0"/>
        <c:ser>
          <c:idx val="0"/>
          <c:order val="0"/>
          <c:tx>
            <c:strRef>
              <c:f>lifespans_all!$B$217</c:f>
              <c:strCache>
                <c:ptCount val="1"/>
                <c:pt idx="0">
                  <c:v>Human Space Flight</c:v>
                </c:pt>
              </c:strCache>
            </c:strRef>
          </c:tx>
          <c:spPr>
            <a:solidFill>
              <a:schemeClr val="accent1"/>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lifespans_all!$D$217:$M$217</c:f>
              <c:numCache>
                <c:formatCode>0</c:formatCode>
                <c:ptCount val="10"/>
                <c:pt idx="0">
                  <c:v>6.6</c:v>
                </c:pt>
                <c:pt idx="1">
                  <c:v>7.2</c:v>
                </c:pt>
                <c:pt idx="2">
                  <c:v>7.8</c:v>
                </c:pt>
                <c:pt idx="3">
                  <c:v>8.4</c:v>
                </c:pt>
                <c:pt idx="4">
                  <c:v>9</c:v>
                </c:pt>
                <c:pt idx="5">
                  <c:v>9.6</c:v>
                </c:pt>
                <c:pt idx="6">
                  <c:v>10.199999999999999</c:v>
                </c:pt>
                <c:pt idx="7">
                  <c:v>10.8</c:v>
                </c:pt>
                <c:pt idx="8">
                  <c:v>11.399999999999999</c:v>
                </c:pt>
                <c:pt idx="9">
                  <c:v>12</c:v>
                </c:pt>
              </c:numCache>
            </c:numRef>
          </c:val>
          <c:extLst>
            <c:ext xmlns:c16="http://schemas.microsoft.com/office/drawing/2014/chart" uri="{C3380CC4-5D6E-409C-BE32-E72D297353CC}">
              <c16:uniqueId val="{00000000-ABAB-4E10-9550-C36C6B8CDD38}"/>
            </c:ext>
          </c:extLst>
        </c:ser>
        <c:ser>
          <c:idx val="1"/>
          <c:order val="1"/>
          <c:tx>
            <c:strRef>
              <c:f>lifespans_all!$B$218</c:f>
              <c:strCache>
                <c:ptCount val="1"/>
                <c:pt idx="0">
                  <c:v>Near Earth Robotic - LEO Science</c:v>
                </c:pt>
              </c:strCache>
            </c:strRef>
          </c:tx>
          <c:spPr>
            <a:solidFill>
              <a:schemeClr val="accent2"/>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lifespans_all!$D$218:$M$218</c:f>
              <c:numCache>
                <c:formatCode>0</c:formatCode>
                <c:ptCount val="10"/>
                <c:pt idx="0">
                  <c:v>19.2</c:v>
                </c:pt>
                <c:pt idx="1">
                  <c:v>21.4</c:v>
                </c:pt>
                <c:pt idx="2">
                  <c:v>23.6</c:v>
                </c:pt>
                <c:pt idx="3">
                  <c:v>25.8</c:v>
                </c:pt>
                <c:pt idx="4">
                  <c:v>28</c:v>
                </c:pt>
                <c:pt idx="5">
                  <c:v>30.2</c:v>
                </c:pt>
                <c:pt idx="6">
                  <c:v>32.4</c:v>
                </c:pt>
                <c:pt idx="7">
                  <c:v>34.599999999999994</c:v>
                </c:pt>
                <c:pt idx="8">
                  <c:v>36.799999999999997</c:v>
                </c:pt>
                <c:pt idx="9">
                  <c:v>39</c:v>
                </c:pt>
              </c:numCache>
            </c:numRef>
          </c:val>
          <c:extLst>
            <c:ext xmlns:c16="http://schemas.microsoft.com/office/drawing/2014/chart" uri="{C3380CC4-5D6E-409C-BE32-E72D297353CC}">
              <c16:uniqueId val="{00000001-ABAB-4E10-9550-C36C6B8CDD38}"/>
            </c:ext>
          </c:extLst>
        </c:ser>
        <c:ser>
          <c:idx val="2"/>
          <c:order val="2"/>
          <c:tx>
            <c:strRef>
              <c:f>lifespans_all!$B$219</c:f>
              <c:strCache>
                <c:ptCount val="1"/>
                <c:pt idx="0">
                  <c:v>Near Earth Robotic - GEO and Near Earth</c:v>
                </c:pt>
              </c:strCache>
            </c:strRef>
          </c:tx>
          <c:spPr>
            <a:solidFill>
              <a:schemeClr val="accent3"/>
            </a:solidFill>
            <a:ln>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lifespans_all!$D$219:$M$219</c:f>
              <c:numCache>
                <c:formatCode>0</c:formatCode>
                <c:ptCount val="10"/>
                <c:pt idx="0">
                  <c:v>8.9</c:v>
                </c:pt>
                <c:pt idx="1">
                  <c:v>9.8000000000000007</c:v>
                </c:pt>
                <c:pt idx="2">
                  <c:v>10.7</c:v>
                </c:pt>
                <c:pt idx="3">
                  <c:v>11.6</c:v>
                </c:pt>
                <c:pt idx="4">
                  <c:v>12.5</c:v>
                </c:pt>
                <c:pt idx="5">
                  <c:v>13.4</c:v>
                </c:pt>
                <c:pt idx="6">
                  <c:v>14.3</c:v>
                </c:pt>
                <c:pt idx="7">
                  <c:v>15.200000000000001</c:v>
                </c:pt>
                <c:pt idx="8">
                  <c:v>16.100000000000001</c:v>
                </c:pt>
                <c:pt idx="9">
                  <c:v>17</c:v>
                </c:pt>
              </c:numCache>
            </c:numRef>
          </c:val>
          <c:extLst>
            <c:ext xmlns:c16="http://schemas.microsoft.com/office/drawing/2014/chart" uri="{C3380CC4-5D6E-409C-BE32-E72D297353CC}">
              <c16:uniqueId val="{00000002-ABAB-4E10-9550-C36C6B8CDD38}"/>
            </c:ext>
          </c:extLst>
        </c:ser>
        <c:ser>
          <c:idx val="3"/>
          <c:order val="3"/>
          <c:tx>
            <c:strRef>
              <c:f>lifespans_all!$B$220</c:f>
              <c:strCache>
                <c:ptCount val="1"/>
                <c:pt idx="0">
                  <c:v>Deep Space Robotic</c:v>
                </c:pt>
              </c:strCache>
            </c:strRef>
          </c:tx>
          <c:spPr>
            <a:solidFill>
              <a:schemeClr val="accent4"/>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lifespans_all!$D$220:$M$220</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BAB-4E10-9550-C36C6B8CDD38}"/>
            </c:ext>
          </c:extLst>
        </c:ser>
        <c:ser>
          <c:idx val="4"/>
          <c:order val="4"/>
          <c:tx>
            <c:strRef>
              <c:f>lifespans_all!$B$221</c:f>
              <c:strCache>
                <c:ptCount val="1"/>
                <c:pt idx="0">
                  <c:v>Near Earth Robotic - Low Latency &amp; Complex Needs</c:v>
                </c:pt>
              </c:strCache>
            </c:strRef>
          </c:tx>
          <c:spPr>
            <a:solidFill>
              <a:schemeClr val="accent5"/>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lifespans_all!$D$221:$M$221</c:f>
              <c:numCache>
                <c:formatCode>0</c:formatCode>
                <c:ptCount val="10"/>
                <c:pt idx="0">
                  <c:v>1.2</c:v>
                </c:pt>
                <c:pt idx="1">
                  <c:v>1.4</c:v>
                </c:pt>
                <c:pt idx="2">
                  <c:v>1.6</c:v>
                </c:pt>
                <c:pt idx="3">
                  <c:v>1.8</c:v>
                </c:pt>
                <c:pt idx="4">
                  <c:v>2</c:v>
                </c:pt>
                <c:pt idx="5">
                  <c:v>2.2000000000000002</c:v>
                </c:pt>
                <c:pt idx="6">
                  <c:v>2.4</c:v>
                </c:pt>
                <c:pt idx="7">
                  <c:v>2.5999999999999996</c:v>
                </c:pt>
                <c:pt idx="8">
                  <c:v>2.8</c:v>
                </c:pt>
                <c:pt idx="9">
                  <c:v>3</c:v>
                </c:pt>
              </c:numCache>
            </c:numRef>
          </c:val>
          <c:extLst>
            <c:ext xmlns:c16="http://schemas.microsoft.com/office/drawing/2014/chart" uri="{C3380CC4-5D6E-409C-BE32-E72D297353CC}">
              <c16:uniqueId val="{00000004-ABAB-4E10-9550-C36C6B8CDD38}"/>
            </c:ext>
          </c:extLst>
        </c:ser>
        <c:ser>
          <c:idx val="5"/>
          <c:order val="5"/>
          <c:tx>
            <c:strRef>
              <c:f>lifespans_all!$B$222</c:f>
              <c:strCache>
                <c:ptCount val="1"/>
                <c:pt idx="0">
                  <c:v>Mission Operations</c:v>
                </c:pt>
              </c:strCache>
            </c:strRef>
          </c:tx>
          <c:spPr>
            <a:solidFill>
              <a:schemeClr val="accent6"/>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lifespans_all!$D$222:$M$222</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BAB-4E10-9550-C36C6B8CDD38}"/>
            </c:ext>
          </c:extLst>
        </c:ser>
        <c:ser>
          <c:idx val="6"/>
          <c:order val="6"/>
          <c:tx>
            <c:strRef>
              <c:f>lifespans_all!$B$223</c:f>
              <c:strCache>
                <c:ptCount val="1"/>
                <c:pt idx="0">
                  <c:v>Launch Events</c:v>
                </c:pt>
              </c:strCache>
            </c:strRef>
          </c:tx>
          <c:spPr>
            <a:solidFill>
              <a:schemeClr val="accent1">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lifespans_all!$D$223:$M$223</c:f>
              <c:numCache>
                <c:formatCode>0</c:formatCode>
                <c:ptCount val="10"/>
                <c:pt idx="0">
                  <c:v>3.5</c:v>
                </c:pt>
                <c:pt idx="1">
                  <c:v>4</c:v>
                </c:pt>
                <c:pt idx="2">
                  <c:v>4.5</c:v>
                </c:pt>
                <c:pt idx="3">
                  <c:v>5</c:v>
                </c:pt>
                <c:pt idx="4">
                  <c:v>5.5</c:v>
                </c:pt>
                <c:pt idx="5">
                  <c:v>6</c:v>
                </c:pt>
                <c:pt idx="6">
                  <c:v>6.5</c:v>
                </c:pt>
                <c:pt idx="7">
                  <c:v>7</c:v>
                </c:pt>
                <c:pt idx="8">
                  <c:v>7.5</c:v>
                </c:pt>
                <c:pt idx="9">
                  <c:v>8</c:v>
                </c:pt>
              </c:numCache>
            </c:numRef>
          </c:val>
          <c:extLst>
            <c:ext xmlns:c16="http://schemas.microsoft.com/office/drawing/2014/chart" uri="{C3380CC4-5D6E-409C-BE32-E72D297353CC}">
              <c16:uniqueId val="{00000006-ABAB-4E10-9550-C36C6B8CDD38}"/>
            </c:ext>
          </c:extLst>
        </c:ser>
        <c:ser>
          <c:idx val="7"/>
          <c:order val="7"/>
          <c:tx>
            <c:strRef>
              <c:f>lifespans_all!$B$224</c:f>
              <c:strCache>
                <c:ptCount val="1"/>
                <c:pt idx="0">
                  <c:v>Terrestrial &amp; Aerial</c:v>
                </c:pt>
              </c:strCache>
            </c:strRef>
          </c:tx>
          <c:spPr>
            <a:solidFill>
              <a:schemeClr val="accent2">
                <a:lumMod val="60000"/>
              </a:schemeClr>
            </a:solidFill>
            <a:ln w="25400">
              <a:noFill/>
            </a:ln>
            <a:effectLst/>
          </c:spPr>
          <c:cat>
            <c:numRef>
              <c:f>lifespans_all!$D$216:$M$216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lifespans_all!$D$224:$M$224</c:f>
              <c:numCache>
                <c:formatCode>0</c:formatCode>
                <c:ptCount val="10"/>
                <c:pt idx="0">
                  <c:v>3.3</c:v>
                </c:pt>
                <c:pt idx="1">
                  <c:v>3.6</c:v>
                </c:pt>
                <c:pt idx="2">
                  <c:v>3.9</c:v>
                </c:pt>
                <c:pt idx="3">
                  <c:v>4.2</c:v>
                </c:pt>
                <c:pt idx="4">
                  <c:v>4.5</c:v>
                </c:pt>
                <c:pt idx="5">
                  <c:v>4.8</c:v>
                </c:pt>
                <c:pt idx="6">
                  <c:v>5.0999999999999996</c:v>
                </c:pt>
                <c:pt idx="7">
                  <c:v>5.4</c:v>
                </c:pt>
                <c:pt idx="8">
                  <c:v>5.6999999999999993</c:v>
                </c:pt>
                <c:pt idx="9">
                  <c:v>6</c:v>
                </c:pt>
              </c:numCache>
            </c:numRef>
          </c:val>
          <c:extLst>
            <c:ext xmlns:c16="http://schemas.microsoft.com/office/drawing/2014/chart" uri="{C3380CC4-5D6E-409C-BE32-E72D297353CC}">
              <c16:uniqueId val="{00000007-ABAB-4E10-9550-C36C6B8CDD3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3619883861336186"/>
          <c:w val="0.90748717991544758"/>
          <c:h val="0.14664417764885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091211213008509E-2"/>
          <c:y val="0.17336106857221301"/>
          <c:w val="0.861110990145874"/>
          <c:h val="0.56358991741626518"/>
        </c:manualLayout>
      </c:layout>
      <c:areaChart>
        <c:grouping val="stacked"/>
        <c:varyColors val="0"/>
        <c:ser>
          <c:idx val="0"/>
          <c:order val="0"/>
          <c:tx>
            <c:strRef>
              <c:f>lifespans_all!$B$74</c:f>
              <c:strCache>
                <c:ptCount val="1"/>
                <c:pt idx="0">
                  <c:v>Existing</c:v>
                </c:pt>
              </c:strCache>
            </c:strRef>
          </c:tx>
          <c:spPr>
            <a:solidFill>
              <a:schemeClr val="accent1"/>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lifespans_all!$D$74:$M$74</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9963-4133-BA4C-9A3BE9DDE159}"/>
            </c:ext>
          </c:extLst>
        </c:ser>
        <c:ser>
          <c:idx val="1"/>
          <c:order val="1"/>
          <c:tx>
            <c:strRef>
              <c:f>lifespans_all!$B$75</c:f>
              <c:strCache>
                <c:ptCount val="1"/>
                <c:pt idx="0">
                  <c:v>Replacement</c:v>
                </c:pt>
              </c:strCache>
            </c:strRef>
          </c:tx>
          <c:spPr>
            <a:solidFill>
              <a:schemeClr val="accent2"/>
            </a:solidFill>
            <a:ln>
              <a:noFill/>
            </a:ln>
            <a:effectLst/>
          </c:spPr>
          <c:cat>
            <c:numRef>
              <c:f>lifespans_all!$D$73:$M$73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lifespans_all!$D$75:$M$75</c:f>
              <c:numCache>
                <c:formatCode>0</c:formatCode>
                <c:ptCount val="10"/>
                <c:pt idx="0">
                  <c:v>1.2</c:v>
                </c:pt>
                <c:pt idx="1">
                  <c:v>5.4</c:v>
                </c:pt>
                <c:pt idx="2">
                  <c:v>11.6</c:v>
                </c:pt>
                <c:pt idx="3">
                  <c:v>14.800000000000002</c:v>
                </c:pt>
                <c:pt idx="4">
                  <c:v>21</c:v>
                </c:pt>
                <c:pt idx="5">
                  <c:v>26.2</c:v>
                </c:pt>
                <c:pt idx="6">
                  <c:v>30.399999999999995</c:v>
                </c:pt>
                <c:pt idx="7">
                  <c:v>33.6</c:v>
                </c:pt>
                <c:pt idx="8">
                  <c:v>34.799999999999997</c:v>
                </c:pt>
                <c:pt idx="9">
                  <c:v>36</c:v>
                </c:pt>
              </c:numCache>
            </c:numRef>
          </c:val>
          <c:extLst>
            <c:ext xmlns:c16="http://schemas.microsoft.com/office/drawing/2014/chart" uri="{C3380CC4-5D6E-409C-BE32-E72D297353CC}">
              <c16:uniqueId val="{00000001-9963-4133-BA4C-9A3BE9DDE159}"/>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834501937446789E-2"/>
          <c:y val="0.17045203298868497"/>
          <c:w val="0.86148203445526572"/>
          <c:h val="0.57550860450885888"/>
        </c:manualLayout>
      </c:layout>
      <c:areaChart>
        <c:grouping val="stacked"/>
        <c:varyColors val="0"/>
        <c:ser>
          <c:idx val="0"/>
          <c:order val="0"/>
          <c:tx>
            <c:strRef>
              <c:f>lifespans_all!$B$152</c:f>
              <c:strCache>
                <c:ptCount val="1"/>
                <c:pt idx="0">
                  <c:v>Existing</c:v>
                </c:pt>
              </c:strCache>
            </c:strRef>
          </c:tx>
          <c:spPr>
            <a:solidFill>
              <a:schemeClr val="accent1"/>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lifespans_all!$D$152:$M$152</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4ED5-4400-BEC1-AB7220960A9F}"/>
            </c:ext>
          </c:extLst>
        </c:ser>
        <c:ser>
          <c:idx val="1"/>
          <c:order val="1"/>
          <c:tx>
            <c:strRef>
              <c:f>lifespans_all!$B$153</c:f>
              <c:strCache>
                <c:ptCount val="1"/>
                <c:pt idx="0">
                  <c:v>Replacement</c:v>
                </c:pt>
              </c:strCache>
            </c:strRef>
          </c:tx>
          <c:spPr>
            <a:solidFill>
              <a:schemeClr val="accent2"/>
            </a:solidFill>
            <a:ln>
              <a:noFill/>
            </a:ln>
            <a:effectLst/>
          </c:spPr>
          <c:cat>
            <c:numRef>
              <c:f>lifespans_all!$D$151:$M$151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lifespans_all!$D$153:$M$153</c:f>
              <c:numCache>
                <c:formatCode>0</c:formatCode>
                <c:ptCount val="10"/>
                <c:pt idx="0">
                  <c:v>3</c:v>
                </c:pt>
                <c:pt idx="1">
                  <c:v>9</c:v>
                </c:pt>
                <c:pt idx="2">
                  <c:v>17</c:v>
                </c:pt>
                <c:pt idx="3">
                  <c:v>22</c:v>
                </c:pt>
                <c:pt idx="4">
                  <c:v>30</c:v>
                </c:pt>
                <c:pt idx="5">
                  <c:v>37</c:v>
                </c:pt>
                <c:pt idx="6">
                  <c:v>43</c:v>
                </c:pt>
                <c:pt idx="7">
                  <c:v>48.000000000000007</c:v>
                </c:pt>
                <c:pt idx="8">
                  <c:v>51</c:v>
                </c:pt>
                <c:pt idx="9">
                  <c:v>54</c:v>
                </c:pt>
              </c:numCache>
            </c:numRef>
          </c:val>
          <c:extLst>
            <c:ext xmlns:c16="http://schemas.microsoft.com/office/drawing/2014/chart" uri="{C3380CC4-5D6E-409C-BE32-E72D297353CC}">
              <c16:uniqueId val="{00000001-4ED5-4400-BEC1-AB7220960A9F}"/>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30414709722132E-2"/>
          <c:y val="0.16999577756044043"/>
          <c:w val="0.86224860257008495"/>
          <c:h val="0.58122818857342884"/>
        </c:manualLayout>
      </c:layout>
      <c:areaChart>
        <c:grouping val="stacked"/>
        <c:varyColors val="0"/>
        <c:ser>
          <c:idx val="0"/>
          <c:order val="0"/>
          <c:tx>
            <c:strRef>
              <c:f>lifespans_all!$B$230</c:f>
              <c:strCache>
                <c:ptCount val="1"/>
                <c:pt idx="0">
                  <c:v>Existing</c:v>
                </c:pt>
              </c:strCache>
            </c:strRef>
          </c:tx>
          <c:spPr>
            <a:solidFill>
              <a:schemeClr val="accent1"/>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lifespans_all!$D$230:$M$230</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5C63-408C-814F-D7B36A4CA76A}"/>
            </c:ext>
          </c:extLst>
        </c:ser>
        <c:ser>
          <c:idx val="1"/>
          <c:order val="1"/>
          <c:tx>
            <c:strRef>
              <c:f>lifespans_all!$B$231</c:f>
              <c:strCache>
                <c:ptCount val="1"/>
                <c:pt idx="0">
                  <c:v>Replacement</c:v>
                </c:pt>
              </c:strCache>
            </c:strRef>
          </c:tx>
          <c:spPr>
            <a:solidFill>
              <a:schemeClr val="accent2"/>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lifespans_all!$D$231:$M$231</c:f>
              <c:numCache>
                <c:formatCode>0</c:formatCode>
                <c:ptCount val="10"/>
                <c:pt idx="0">
                  <c:v>4.7</c:v>
                </c:pt>
                <c:pt idx="1">
                  <c:v>12.4</c:v>
                </c:pt>
                <c:pt idx="2">
                  <c:v>22.1</c:v>
                </c:pt>
                <c:pt idx="3">
                  <c:v>28.799999999999997</c:v>
                </c:pt>
                <c:pt idx="4">
                  <c:v>38.5</c:v>
                </c:pt>
                <c:pt idx="5">
                  <c:v>47.2</c:v>
                </c:pt>
                <c:pt idx="6">
                  <c:v>54.900000000000006</c:v>
                </c:pt>
                <c:pt idx="7">
                  <c:v>61.599999999999994</c:v>
                </c:pt>
                <c:pt idx="8">
                  <c:v>66.3</c:v>
                </c:pt>
                <c:pt idx="9">
                  <c:v>71</c:v>
                </c:pt>
              </c:numCache>
            </c:numRef>
          </c:val>
          <c:extLst>
            <c:ext xmlns:c16="http://schemas.microsoft.com/office/drawing/2014/chart" uri="{C3380CC4-5D6E-409C-BE32-E72D297353CC}">
              <c16:uniqueId val="{00000001-5C63-408C-814F-D7B36A4CA76A}"/>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DTE Demand Forecast</a:t>
            </a:r>
            <a:r>
              <a:rPr lang="en-US" baseline="0"/>
              <a:t> by Use Case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2655687866396"/>
          <c:y val="0.10605799289048519"/>
          <c:w val="0.84501691986272398"/>
          <c:h val="0.60682971253468532"/>
        </c:manualLayout>
      </c:layout>
      <c:areaChart>
        <c:grouping val="stacked"/>
        <c:varyColors val="0"/>
        <c:ser>
          <c:idx val="0"/>
          <c:order val="0"/>
          <c:tx>
            <c:strRef>
              <c:f>DTE_demand_forecast!$B$62</c:f>
              <c:strCache>
                <c:ptCount val="1"/>
                <c:pt idx="0">
                  <c:v>Human Space Flight</c:v>
                </c:pt>
              </c:strCache>
            </c:strRef>
          </c:tx>
          <c:spPr>
            <a:solidFill>
              <a:schemeClr val="accent1"/>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DTE_demand_forecast!$C$62:$L$62</c:f>
              <c:numCache>
                <c:formatCode>0</c:formatCode>
                <c:ptCount val="10"/>
                <c:pt idx="0">
                  <c:v>712382.49858094449</c:v>
                </c:pt>
                <c:pt idx="1">
                  <c:v>729953.40292672673</c:v>
                </c:pt>
                <c:pt idx="2">
                  <c:v>747255.61230061948</c:v>
                </c:pt>
                <c:pt idx="3">
                  <c:v>767739.76704890921</c:v>
                </c:pt>
                <c:pt idx="4">
                  <c:v>787767.89526501205</c:v>
                </c:pt>
                <c:pt idx="5">
                  <c:v>808568.01678689918</c:v>
                </c:pt>
                <c:pt idx="6">
                  <c:v>830163.00009551563</c:v>
                </c:pt>
                <c:pt idx="7">
                  <c:v>852576.31961372169</c:v>
                </c:pt>
                <c:pt idx="8">
                  <c:v>875832.07079657761</c:v>
                </c:pt>
                <c:pt idx="9">
                  <c:v>899954.98558286205</c:v>
                </c:pt>
              </c:numCache>
            </c:numRef>
          </c:val>
          <c:extLst>
            <c:ext xmlns:c16="http://schemas.microsoft.com/office/drawing/2014/chart" uri="{C3380CC4-5D6E-409C-BE32-E72D297353CC}">
              <c16:uniqueId val="{00000000-E872-4F61-8DFE-34B643198BBD}"/>
            </c:ext>
          </c:extLst>
        </c:ser>
        <c:ser>
          <c:idx val="1"/>
          <c:order val="1"/>
          <c:tx>
            <c:strRef>
              <c:f>DTE_demand_forecast!$B$63</c:f>
              <c:strCache>
                <c:ptCount val="1"/>
                <c:pt idx="0">
                  <c:v>Near Earth Robotic - LEO Science</c:v>
                </c:pt>
              </c:strCache>
            </c:strRef>
          </c:tx>
          <c:spPr>
            <a:solidFill>
              <a:schemeClr val="accent2"/>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DTE_demand_forecast!$C$63:$L$63</c:f>
              <c:numCache>
                <c:formatCode>0</c:formatCode>
                <c:ptCount val="10"/>
                <c:pt idx="0">
                  <c:v>965113.88613833301</c:v>
                </c:pt>
                <c:pt idx="1">
                  <c:v>763399.6963037838</c:v>
                </c:pt>
                <c:pt idx="2">
                  <c:v>654738.30399800662</c:v>
                </c:pt>
                <c:pt idx="3">
                  <c:v>490495.70815792494</c:v>
                </c:pt>
                <c:pt idx="4">
                  <c:v>596241.49548878346</c:v>
                </c:pt>
                <c:pt idx="5">
                  <c:v>571551.65276346111</c:v>
                </c:pt>
                <c:pt idx="6">
                  <c:v>552974.98461692187</c:v>
                </c:pt>
                <c:pt idx="7">
                  <c:v>639664.78835458949</c:v>
                </c:pt>
                <c:pt idx="8">
                  <c:v>671123.90211900685</c:v>
                </c:pt>
                <c:pt idx="9">
                  <c:v>703586.76970781432</c:v>
                </c:pt>
              </c:numCache>
            </c:numRef>
          </c:val>
          <c:extLst>
            <c:ext xmlns:c16="http://schemas.microsoft.com/office/drawing/2014/chart" uri="{C3380CC4-5D6E-409C-BE32-E72D297353CC}">
              <c16:uniqueId val="{00000001-E872-4F61-8DFE-34B643198BBD}"/>
            </c:ext>
          </c:extLst>
        </c:ser>
        <c:ser>
          <c:idx val="2"/>
          <c:order val="2"/>
          <c:tx>
            <c:strRef>
              <c:f>DTE_demand_forecast!$B$64</c:f>
              <c:strCache>
                <c:ptCount val="1"/>
                <c:pt idx="0">
                  <c:v>Near Earth Robotic - GEO and Near Earth</c:v>
                </c:pt>
              </c:strCache>
            </c:strRef>
          </c:tx>
          <c:spPr>
            <a:solidFill>
              <a:schemeClr val="accent3"/>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DTE_demand_forecast!$C$64:$L$64</c:f>
              <c:numCache>
                <c:formatCode>0</c:formatCode>
                <c:ptCount val="10"/>
                <c:pt idx="0">
                  <c:v>15632.417319650789</c:v>
                </c:pt>
                <c:pt idx="1">
                  <c:v>16100.367785465394</c:v>
                </c:pt>
                <c:pt idx="2">
                  <c:v>18805.511566613863</c:v>
                </c:pt>
                <c:pt idx="3">
                  <c:v>19464.676228528479</c:v>
                </c:pt>
                <c:pt idx="4">
                  <c:v>20146.109966859127</c:v>
                </c:pt>
                <c:pt idx="5">
                  <c:v>20850.43987879769</c:v>
                </c:pt>
                <c:pt idx="6">
                  <c:v>21578.309237793143</c:v>
                </c:pt>
                <c:pt idx="7">
                  <c:v>22330.377889762982</c:v>
                </c:pt>
                <c:pt idx="8">
                  <c:v>23107.322658682606</c:v>
                </c:pt>
                <c:pt idx="9">
                  <c:v>23909.837761769199</c:v>
                </c:pt>
              </c:numCache>
            </c:numRef>
          </c:val>
          <c:extLst>
            <c:ext xmlns:c16="http://schemas.microsoft.com/office/drawing/2014/chart" uri="{C3380CC4-5D6E-409C-BE32-E72D297353CC}">
              <c16:uniqueId val="{00000002-E872-4F61-8DFE-34B643198BBD}"/>
            </c:ext>
          </c:extLst>
        </c:ser>
        <c:ser>
          <c:idx val="3"/>
          <c:order val="3"/>
          <c:tx>
            <c:strRef>
              <c:f>DTE_demand_forecast!$B$65</c:f>
              <c:strCache>
                <c:ptCount val="1"/>
                <c:pt idx="0">
                  <c:v>Deep Space Robotic</c:v>
                </c:pt>
              </c:strCache>
            </c:strRef>
          </c:tx>
          <c:spPr>
            <a:solidFill>
              <a:schemeClr val="accent4"/>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DTE_demand_forecast!$C$65:$L$65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872-4F61-8DFE-34B643198BBD}"/>
            </c:ext>
          </c:extLst>
        </c:ser>
        <c:ser>
          <c:idx val="4"/>
          <c:order val="4"/>
          <c:tx>
            <c:strRef>
              <c:f>DTE_demand_forecast!$B$66</c:f>
              <c:strCache>
                <c:ptCount val="1"/>
                <c:pt idx="0">
                  <c:v>Near Earth Robotic - Low Latency &amp; Complex Needs</c:v>
                </c:pt>
              </c:strCache>
            </c:strRef>
          </c:tx>
          <c:spPr>
            <a:solidFill>
              <a:schemeClr val="accent5"/>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DTE_demand_forecast!$C$66:$L$66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872-4F61-8DFE-34B643198BBD}"/>
            </c:ext>
          </c:extLst>
        </c:ser>
        <c:ser>
          <c:idx val="5"/>
          <c:order val="5"/>
          <c:tx>
            <c:strRef>
              <c:f>DTE_demand_forecast!$B$67</c:f>
              <c:strCache>
                <c:ptCount val="1"/>
                <c:pt idx="0">
                  <c:v>Mission Operations</c:v>
                </c:pt>
              </c:strCache>
            </c:strRef>
          </c:tx>
          <c:spPr>
            <a:solidFill>
              <a:schemeClr val="accent6"/>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DTE_demand_forecast!$C$67:$L$67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872-4F61-8DFE-34B643198BBD}"/>
            </c:ext>
          </c:extLst>
        </c:ser>
        <c:ser>
          <c:idx val="6"/>
          <c:order val="6"/>
          <c:tx>
            <c:strRef>
              <c:f>DTE_demand_forecast!$B$68</c:f>
              <c:strCache>
                <c:ptCount val="1"/>
                <c:pt idx="0">
                  <c:v>Launch Events</c:v>
                </c:pt>
              </c:strCache>
            </c:strRef>
          </c:tx>
          <c:spPr>
            <a:solidFill>
              <a:schemeClr val="accent1">
                <a:lumMod val="60000"/>
              </a:schemeClr>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DTE_demand_forecast!$C$68:$L$68</c:f>
              <c:numCache>
                <c:formatCode>0</c:formatCode>
                <c:ptCount val="10"/>
                <c:pt idx="0">
                  <c:v>1617.0089704444445</c:v>
                </c:pt>
                <c:pt idx="1">
                  <c:v>1806.2155307511111</c:v>
                </c:pt>
                <c:pt idx="2">
                  <c:v>1910.6642664991998</c:v>
                </c:pt>
                <c:pt idx="3">
                  <c:v>2089.868838950023</c:v>
                </c:pt>
                <c:pt idx="4">
                  <c:v>3003.339988628114</c:v>
                </c:pt>
                <c:pt idx="5">
                  <c:v>3193.7957672762996</c:v>
                </c:pt>
                <c:pt idx="6">
                  <c:v>3391.2453318945172</c:v>
                </c:pt>
                <c:pt idx="7">
                  <c:v>3595.8922516101075</c:v>
                </c:pt>
                <c:pt idx="8">
                  <c:v>3807.9454408011197</c:v>
                </c:pt>
                <c:pt idx="9">
                  <c:v>4027.6192914786843</c:v>
                </c:pt>
              </c:numCache>
            </c:numRef>
          </c:val>
          <c:extLst>
            <c:ext xmlns:c16="http://schemas.microsoft.com/office/drawing/2014/chart" uri="{C3380CC4-5D6E-409C-BE32-E72D297353CC}">
              <c16:uniqueId val="{00000006-E872-4F61-8DFE-34B643198BBD}"/>
            </c:ext>
          </c:extLst>
        </c:ser>
        <c:ser>
          <c:idx val="7"/>
          <c:order val="7"/>
          <c:tx>
            <c:strRef>
              <c:f>DTE_demand_forecast!$B$69</c:f>
              <c:strCache>
                <c:ptCount val="1"/>
                <c:pt idx="0">
                  <c:v>Terrestrial &amp; Aerial</c:v>
                </c:pt>
              </c:strCache>
            </c:strRef>
          </c:tx>
          <c:spPr>
            <a:solidFill>
              <a:schemeClr val="accent2">
                <a:lumMod val="60000"/>
              </a:schemeClr>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DTE_demand_forecast!$C$69:$L$69</c:f>
              <c:numCache>
                <c:formatCode>0</c:formatCode>
                <c:ptCount val="10"/>
                <c:pt idx="0">
                  <c:v>99785.872453666685</c:v>
                </c:pt>
                <c:pt idx="1">
                  <c:v>200395.51757096895</c:v>
                </c:pt>
                <c:pt idx="2">
                  <c:v>211828.18786529289</c:v>
                </c:pt>
                <c:pt idx="3">
                  <c:v>223748.34307238497</c:v>
                </c:pt>
                <c:pt idx="4">
                  <c:v>236089.12975697152</c:v>
                </c:pt>
                <c:pt idx="5">
                  <c:v>346240.9271695434</c:v>
                </c:pt>
                <c:pt idx="6">
                  <c:v>361450.62399925996</c:v>
                </c:pt>
                <c:pt idx="7">
                  <c:v>377165.99386643193</c:v>
                </c:pt>
                <c:pt idx="8">
                  <c:v>393401.17981382587</c:v>
                </c:pt>
                <c:pt idx="9">
                  <c:v>410170.68833670364</c:v>
                </c:pt>
              </c:numCache>
            </c:numRef>
          </c:val>
          <c:extLst>
            <c:ext xmlns:c16="http://schemas.microsoft.com/office/drawing/2014/chart" uri="{C3380CC4-5D6E-409C-BE32-E72D297353CC}">
              <c16:uniqueId val="{00000007-E872-4F61-8DFE-34B643198BB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Use Case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32365848471122"/>
          <c:y val="0.10605799289048519"/>
          <c:w val="0.84171981825667663"/>
          <c:h val="0.61211338044219699"/>
        </c:manualLayout>
      </c:layout>
      <c:areaChart>
        <c:grouping val="stacked"/>
        <c:varyColors val="0"/>
        <c:ser>
          <c:idx val="0"/>
          <c:order val="0"/>
          <c:tx>
            <c:strRef>
              <c:f>DTE_demand_forecast!$B$141</c:f>
              <c:strCache>
                <c:ptCount val="1"/>
                <c:pt idx="0">
                  <c:v>Human Space Flight</c:v>
                </c:pt>
              </c:strCache>
            </c:strRef>
          </c:tx>
          <c:spPr>
            <a:solidFill>
              <a:schemeClr val="accent1"/>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DTE_demand_forecast!$C$141:$L$141</c:f>
              <c:numCache>
                <c:formatCode>0</c:formatCode>
                <c:ptCount val="10"/>
                <c:pt idx="0">
                  <c:v>763854.18731877778</c:v>
                </c:pt>
                <c:pt idx="1">
                  <c:v>834955.64795190666</c:v>
                </c:pt>
                <c:pt idx="2">
                  <c:v>907909.04718914488</c:v>
                </c:pt>
                <c:pt idx="3">
                  <c:v>986228.43849730375</c:v>
                </c:pt>
                <c:pt idx="4">
                  <c:v>1066340.9513617151</c:v>
                </c:pt>
                <c:pt idx="5">
                  <c:v>1149541.4374492636</c:v>
                </c:pt>
                <c:pt idx="6">
                  <c:v>1235921.3706837294</c:v>
                </c:pt>
                <c:pt idx="7">
                  <c:v>1325574.6487565534</c:v>
                </c:pt>
                <c:pt idx="8">
                  <c:v>1418597.6534879771</c:v>
                </c:pt>
                <c:pt idx="9">
                  <c:v>1515089.3126331149</c:v>
                </c:pt>
              </c:numCache>
            </c:numRef>
          </c:val>
          <c:extLst>
            <c:ext xmlns:c16="http://schemas.microsoft.com/office/drawing/2014/chart" uri="{C3380CC4-5D6E-409C-BE32-E72D297353CC}">
              <c16:uniqueId val="{00000000-913C-4311-8A91-9296C3F0C1DB}"/>
            </c:ext>
          </c:extLst>
        </c:ser>
        <c:ser>
          <c:idx val="1"/>
          <c:order val="1"/>
          <c:tx>
            <c:strRef>
              <c:f>DTE_demand_forecast!$B$142</c:f>
              <c:strCache>
                <c:ptCount val="1"/>
                <c:pt idx="0">
                  <c:v>Near Earth Robotic - LEO Science</c:v>
                </c:pt>
              </c:strCache>
            </c:strRef>
          </c:tx>
          <c:spPr>
            <a:solidFill>
              <a:schemeClr val="accent2"/>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DTE_demand_forecast!$C$142:$L$142</c:f>
              <c:numCache>
                <c:formatCode>0</c:formatCode>
                <c:ptCount val="10"/>
                <c:pt idx="0">
                  <c:v>986279.4678849997</c:v>
                </c:pt>
                <c:pt idx="1">
                  <c:v>804413.26370885037</c:v>
                </c:pt>
                <c:pt idx="2">
                  <c:v>709092.30414843862</c:v>
                </c:pt>
                <c:pt idx="3">
                  <c:v>580965.3061598076</c:v>
                </c:pt>
                <c:pt idx="4">
                  <c:v>711590.23294118373</c:v>
                </c:pt>
                <c:pt idx="5">
                  <c:v>712738.50740519911</c:v>
                </c:pt>
                <c:pt idx="6">
                  <c:v>720987.34164059022</c:v>
                </c:pt>
                <c:pt idx="7">
                  <c:v>835519.19311360852</c:v>
                </c:pt>
                <c:pt idx="8">
                  <c:v>895866.83157998126</c:v>
                </c:pt>
                <c:pt idx="9">
                  <c:v>958295.4230969185</c:v>
                </c:pt>
              </c:numCache>
            </c:numRef>
          </c:val>
          <c:extLst>
            <c:ext xmlns:c16="http://schemas.microsoft.com/office/drawing/2014/chart" uri="{C3380CC4-5D6E-409C-BE32-E72D297353CC}">
              <c16:uniqueId val="{00000001-913C-4311-8A91-9296C3F0C1DB}"/>
            </c:ext>
          </c:extLst>
        </c:ser>
        <c:ser>
          <c:idx val="2"/>
          <c:order val="2"/>
          <c:tx>
            <c:strRef>
              <c:f>DTE_demand_forecast!$B$143</c:f>
              <c:strCache>
                <c:ptCount val="1"/>
                <c:pt idx="0">
                  <c:v>Near Earth Robotic - GEO and Near Earth</c:v>
                </c:pt>
              </c:strCache>
            </c:strRef>
          </c:tx>
          <c:spPr>
            <a:solidFill>
              <a:schemeClr val="accent3"/>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DTE_demand_forecast!$C$143:$L$143</c:f>
              <c:numCache>
                <c:formatCode>0</c:formatCode>
                <c:ptCount val="10"/>
                <c:pt idx="0">
                  <c:v>16274.547550793646</c:v>
                </c:pt>
                <c:pt idx="1">
                  <c:v>17410.313456996824</c:v>
                </c:pt>
                <c:pt idx="2">
                  <c:v>20809.728444056949</c:v>
                </c:pt>
                <c:pt idx="3">
                  <c:v>22190.411181851072</c:v>
                </c:pt>
                <c:pt idx="4">
                  <c:v>23621.422032345436</c:v>
                </c:pt>
                <c:pt idx="5">
                  <c:v>25104.221846952933</c:v>
                </c:pt>
                <c:pt idx="6">
                  <c:v>26640.309779897882</c:v>
                </c:pt>
                <c:pt idx="7">
                  <c:v>28231.224235987938</c:v>
                </c:pt>
                <c:pt idx="8">
                  <c:v>29878.543840975737</c:v>
                </c:pt>
                <c:pt idx="9">
                  <c:v>31583.888435034751</c:v>
                </c:pt>
              </c:numCache>
            </c:numRef>
          </c:val>
          <c:extLst>
            <c:ext xmlns:c16="http://schemas.microsoft.com/office/drawing/2014/chart" uri="{C3380CC4-5D6E-409C-BE32-E72D297353CC}">
              <c16:uniqueId val="{00000002-913C-4311-8A91-9296C3F0C1DB}"/>
            </c:ext>
          </c:extLst>
        </c:ser>
        <c:ser>
          <c:idx val="3"/>
          <c:order val="3"/>
          <c:tx>
            <c:strRef>
              <c:f>DTE_demand_forecast!$B$144</c:f>
              <c:strCache>
                <c:ptCount val="1"/>
                <c:pt idx="0">
                  <c:v>Deep Space Robotic</c:v>
                </c:pt>
              </c:strCache>
            </c:strRef>
          </c:tx>
          <c:spPr>
            <a:solidFill>
              <a:schemeClr val="accent4"/>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DTE_demand_forecast!$C$144:$L$144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913C-4311-8A91-9296C3F0C1DB}"/>
            </c:ext>
          </c:extLst>
        </c:ser>
        <c:ser>
          <c:idx val="4"/>
          <c:order val="4"/>
          <c:tx>
            <c:strRef>
              <c:f>DTE_demand_forecast!$B$145</c:f>
              <c:strCache>
                <c:ptCount val="1"/>
                <c:pt idx="0">
                  <c:v>Near Earth Robotic - Low Latency &amp; Complex Needs</c:v>
                </c:pt>
              </c:strCache>
            </c:strRef>
          </c:tx>
          <c:spPr>
            <a:solidFill>
              <a:schemeClr val="accent5"/>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DTE_demand_forecast!$C$145:$L$145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913C-4311-8A91-9296C3F0C1DB}"/>
            </c:ext>
          </c:extLst>
        </c:ser>
        <c:ser>
          <c:idx val="5"/>
          <c:order val="5"/>
          <c:tx>
            <c:strRef>
              <c:f>DTE_demand_forecast!$B$146</c:f>
              <c:strCache>
                <c:ptCount val="1"/>
                <c:pt idx="0">
                  <c:v>Mission Operations</c:v>
                </c:pt>
              </c:strCache>
            </c:strRef>
          </c:tx>
          <c:spPr>
            <a:solidFill>
              <a:schemeClr val="accent6"/>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DTE_demand_forecast!$C$146:$L$146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913C-4311-8A91-9296C3F0C1DB}"/>
            </c:ext>
          </c:extLst>
        </c:ser>
        <c:ser>
          <c:idx val="6"/>
          <c:order val="6"/>
          <c:tx>
            <c:strRef>
              <c:f>DTE_demand_forecast!$B$147</c:f>
              <c:strCache>
                <c:ptCount val="1"/>
                <c:pt idx="0">
                  <c:v>Launch Events</c:v>
                </c:pt>
              </c:strCache>
            </c:strRef>
          </c:tx>
          <c:spPr>
            <a:solidFill>
              <a:schemeClr val="accent1">
                <a:lumMod val="60000"/>
              </a:schemeClr>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DTE_demand_forecast!$C$147:$L$147</c:f>
              <c:numCache>
                <c:formatCode>0</c:formatCode>
                <c:ptCount val="10"/>
                <c:pt idx="0">
                  <c:v>1761.2316753333332</c:v>
                </c:pt>
                <c:pt idx="1">
                  <c:v>2100.4298487244441</c:v>
                </c:pt>
                <c:pt idx="2">
                  <c:v>2360.8121729984</c:v>
                </c:pt>
                <c:pt idx="3">
                  <c:v>2702.0699917889347</c:v>
                </c:pt>
                <c:pt idx="4">
                  <c:v>3783.8964584977266</c:v>
                </c:pt>
                <c:pt idx="5">
                  <c:v>4149.1968863967058</c:v>
                </c:pt>
                <c:pt idx="6">
                  <c:v>4528.1726636477997</c:v>
                </c:pt>
                <c:pt idx="7">
                  <c:v>4921.2246840539337</c:v>
                </c:pt>
                <c:pt idx="8">
                  <c:v>5328.7644070304113</c:v>
                </c:pt>
                <c:pt idx="9">
                  <c:v>5751.2141198718818</c:v>
                </c:pt>
              </c:numCache>
            </c:numRef>
          </c:val>
          <c:extLst>
            <c:ext xmlns:c16="http://schemas.microsoft.com/office/drawing/2014/chart" uri="{C3380CC4-5D6E-409C-BE32-E72D297353CC}">
              <c16:uniqueId val="{00000006-913C-4311-8A91-9296C3F0C1DB}"/>
            </c:ext>
          </c:extLst>
        </c:ser>
        <c:ser>
          <c:idx val="7"/>
          <c:order val="7"/>
          <c:tx>
            <c:strRef>
              <c:f>DTE_demand_forecast!$B$148</c:f>
              <c:strCache>
                <c:ptCount val="1"/>
                <c:pt idx="0">
                  <c:v>Terrestrial &amp; Aerial</c:v>
                </c:pt>
              </c:strCache>
            </c:strRef>
          </c:tx>
          <c:spPr>
            <a:solidFill>
              <a:schemeClr val="accent2">
                <a:lumMod val="60000"/>
              </a:schemeClr>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DTE_demand_forecast!$C$148:$L$148</c:f>
              <c:numCache>
                <c:formatCode>0</c:formatCode>
                <c:ptCount val="10"/>
                <c:pt idx="0">
                  <c:v>108731.25623733336</c:v>
                </c:pt>
                <c:pt idx="1">
                  <c:v>218644.10048964893</c:v>
                </c:pt>
                <c:pt idx="2">
                  <c:v>239748.51973087335</c:v>
                </c:pt>
                <c:pt idx="3">
                  <c:v>261719.99440957434</c:v>
                </c:pt>
                <c:pt idx="4">
                  <c:v>284502.98521188798</c:v>
                </c:pt>
                <c:pt idx="5">
                  <c:v>405499.48624636116</c:v>
                </c:pt>
                <c:pt idx="6">
                  <c:v>431968.30930067302</c:v>
                </c:pt>
                <c:pt idx="7">
                  <c:v>459369.46701779339</c:v>
                </c:pt>
                <c:pt idx="8">
                  <c:v>487729.66525501315</c:v>
                </c:pt>
                <c:pt idx="9">
                  <c:v>517076.30517004925</c:v>
                </c:pt>
              </c:numCache>
            </c:numRef>
          </c:val>
          <c:extLst>
            <c:ext xmlns:c16="http://schemas.microsoft.com/office/drawing/2014/chart" uri="{C3380CC4-5D6E-409C-BE32-E72D297353CC}">
              <c16:uniqueId val="{00000007-913C-4311-8A91-9296C3F0C1DB}"/>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Use Case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55071182579744"/>
          <c:y val="0.10605799289048519"/>
          <c:w val="0.83749276491559022"/>
          <c:h val="0.59813085403477473"/>
        </c:manualLayout>
      </c:layout>
      <c:areaChart>
        <c:grouping val="stacked"/>
        <c:varyColors val="0"/>
        <c:ser>
          <c:idx val="0"/>
          <c:order val="0"/>
          <c:tx>
            <c:strRef>
              <c:f>DTE_demand_forecast!$B$220</c:f>
              <c:strCache>
                <c:ptCount val="1"/>
                <c:pt idx="0">
                  <c:v>Human Space Flight</c:v>
                </c:pt>
              </c:strCache>
            </c:strRef>
          </c:tx>
          <c:spPr>
            <a:solidFill>
              <a:schemeClr val="accent1"/>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DTE_demand_forecast!$C$220:$L$220</c:f>
              <c:numCache>
                <c:formatCode>0</c:formatCode>
                <c:ptCount val="10"/>
                <c:pt idx="0">
                  <c:v>798168.64647733339</c:v>
                </c:pt>
                <c:pt idx="1">
                  <c:v>904957.14463535999</c:v>
                </c:pt>
                <c:pt idx="2">
                  <c:v>1015011.3371148284</c:v>
                </c:pt>
                <c:pt idx="3">
                  <c:v>1131887.5527962334</c:v>
                </c:pt>
                <c:pt idx="4">
                  <c:v>1252056.3220928502</c:v>
                </c:pt>
                <c:pt idx="5">
                  <c:v>1376857.0512241735</c:v>
                </c:pt>
                <c:pt idx="6">
                  <c:v>1506426.9510758719</c:v>
                </c:pt>
                <c:pt idx="7">
                  <c:v>1640906.8681851081</c:v>
                </c:pt>
                <c:pt idx="8">
                  <c:v>1780441.3752822436</c:v>
                </c:pt>
                <c:pt idx="9">
                  <c:v>1925178.8639999502</c:v>
                </c:pt>
              </c:numCache>
            </c:numRef>
          </c:val>
          <c:extLst>
            <c:ext xmlns:c16="http://schemas.microsoft.com/office/drawing/2014/chart" uri="{C3380CC4-5D6E-409C-BE32-E72D297353CC}">
              <c16:uniqueId val="{00000000-1732-4A95-A67F-761C6DAD399F}"/>
            </c:ext>
          </c:extLst>
        </c:ser>
        <c:ser>
          <c:idx val="1"/>
          <c:order val="1"/>
          <c:tx>
            <c:strRef>
              <c:f>DTE_demand_forecast!$B$221</c:f>
              <c:strCache>
                <c:ptCount val="1"/>
                <c:pt idx="0">
                  <c:v>Near Earth Robotic - LEO Science</c:v>
                </c:pt>
              </c:strCache>
            </c:strRef>
          </c:tx>
          <c:spPr>
            <a:solidFill>
              <a:schemeClr val="accent2"/>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DTE_demand_forecast!$C$221:$L$221</c:f>
              <c:numCache>
                <c:formatCode>0</c:formatCode>
                <c:ptCount val="10"/>
                <c:pt idx="0">
                  <c:v>1007445.0496316664</c:v>
                </c:pt>
                <c:pt idx="1">
                  <c:v>845426.83111391705</c:v>
                </c:pt>
                <c:pt idx="2">
                  <c:v>763446.30429887061</c:v>
                </c:pt>
                <c:pt idx="3">
                  <c:v>671434.90416169027</c:v>
                </c:pt>
                <c:pt idx="4">
                  <c:v>826938.97039358411</c:v>
                </c:pt>
                <c:pt idx="5">
                  <c:v>853925.36204693723</c:v>
                </c:pt>
                <c:pt idx="6">
                  <c:v>888999.69866425835</c:v>
                </c:pt>
                <c:pt idx="7">
                  <c:v>1031373.5978726272</c:v>
                </c:pt>
                <c:pt idx="8">
                  <c:v>1120609.7610409555</c:v>
                </c:pt>
                <c:pt idx="9">
                  <c:v>1213004.0764860227</c:v>
                </c:pt>
              </c:numCache>
            </c:numRef>
          </c:val>
          <c:extLst>
            <c:ext xmlns:c16="http://schemas.microsoft.com/office/drawing/2014/chart" uri="{C3380CC4-5D6E-409C-BE32-E72D297353CC}">
              <c16:uniqueId val="{00000001-1732-4A95-A67F-761C6DAD399F}"/>
            </c:ext>
          </c:extLst>
        </c:ser>
        <c:ser>
          <c:idx val="2"/>
          <c:order val="2"/>
          <c:tx>
            <c:strRef>
              <c:f>DTE_demand_forecast!$B$222</c:f>
              <c:strCache>
                <c:ptCount val="1"/>
                <c:pt idx="0">
                  <c:v>Near Earth Robotic - GEO and Near Earth</c:v>
                </c:pt>
              </c:strCache>
            </c:strRef>
          </c:tx>
          <c:spPr>
            <a:solidFill>
              <a:schemeClr val="accent3"/>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DTE_demand_forecast!$C$222:$L$222</c:f>
              <c:numCache>
                <c:formatCode>0</c:formatCode>
                <c:ptCount val="10"/>
                <c:pt idx="0">
                  <c:v>17130.721192317455</c:v>
                </c:pt>
                <c:pt idx="1">
                  <c:v>19156.907685705395</c:v>
                </c:pt>
                <c:pt idx="2">
                  <c:v>23482.017613981065</c:v>
                </c:pt>
                <c:pt idx="3">
                  <c:v>25824.724452947867</c:v>
                </c:pt>
                <c:pt idx="4">
                  <c:v>28255.171452993851</c:v>
                </c:pt>
                <c:pt idx="5">
                  <c:v>30775.931137826592</c:v>
                </c:pt>
                <c:pt idx="6">
                  <c:v>33389.643836037532</c:v>
                </c:pt>
                <c:pt idx="7">
                  <c:v>36099.019364287873</c:v>
                </c:pt>
                <c:pt idx="8">
                  <c:v>38906.838750699928</c:v>
                </c:pt>
                <c:pt idx="9">
                  <c:v>41815.955999388825</c:v>
                </c:pt>
              </c:numCache>
            </c:numRef>
          </c:val>
          <c:extLst>
            <c:ext xmlns:c16="http://schemas.microsoft.com/office/drawing/2014/chart" uri="{C3380CC4-5D6E-409C-BE32-E72D297353CC}">
              <c16:uniqueId val="{00000002-1732-4A95-A67F-761C6DAD399F}"/>
            </c:ext>
          </c:extLst>
        </c:ser>
        <c:ser>
          <c:idx val="3"/>
          <c:order val="3"/>
          <c:tx>
            <c:strRef>
              <c:f>DTE_demand_forecast!$B$223</c:f>
              <c:strCache>
                <c:ptCount val="1"/>
                <c:pt idx="0">
                  <c:v>Deep Space Robotic</c:v>
                </c:pt>
              </c:strCache>
            </c:strRef>
          </c:tx>
          <c:spPr>
            <a:solidFill>
              <a:schemeClr val="accent4"/>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DTE_demand_forecast!$C$223:$L$223</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732-4A95-A67F-761C6DAD399F}"/>
            </c:ext>
          </c:extLst>
        </c:ser>
        <c:ser>
          <c:idx val="4"/>
          <c:order val="4"/>
          <c:tx>
            <c:strRef>
              <c:f>DTE_demand_forecast!$B$224</c:f>
              <c:strCache>
                <c:ptCount val="1"/>
                <c:pt idx="0">
                  <c:v>Near Earth Robotic - Low Latency &amp; Complex Needs</c:v>
                </c:pt>
              </c:strCache>
            </c:strRef>
          </c:tx>
          <c:spPr>
            <a:solidFill>
              <a:schemeClr val="accent5"/>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DTE_demand_forecast!$C$224:$L$224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732-4A95-A67F-761C6DAD399F}"/>
            </c:ext>
          </c:extLst>
        </c:ser>
        <c:ser>
          <c:idx val="5"/>
          <c:order val="5"/>
          <c:tx>
            <c:strRef>
              <c:f>DTE_demand_forecast!$B$225</c:f>
              <c:strCache>
                <c:ptCount val="1"/>
                <c:pt idx="0">
                  <c:v>Mission Operations</c:v>
                </c:pt>
              </c:strCache>
            </c:strRef>
          </c:tx>
          <c:spPr>
            <a:solidFill>
              <a:schemeClr val="accent6"/>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DTE_demand_forecast!$C$225:$L$225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732-4A95-A67F-761C6DAD399F}"/>
            </c:ext>
          </c:extLst>
        </c:ser>
        <c:ser>
          <c:idx val="6"/>
          <c:order val="6"/>
          <c:tx>
            <c:strRef>
              <c:f>DTE_demand_forecast!$B$226</c:f>
              <c:strCache>
                <c:ptCount val="1"/>
                <c:pt idx="0">
                  <c:v>Launch Events</c:v>
                </c:pt>
              </c:strCache>
            </c:strRef>
          </c:tx>
          <c:spPr>
            <a:solidFill>
              <a:schemeClr val="accent1">
                <a:lumMod val="60000"/>
              </a:schemeClr>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DTE_demand_forecast!$C$226:$L$226</c:f>
              <c:numCache>
                <c:formatCode>0</c:formatCode>
                <c:ptCount val="10"/>
                <c:pt idx="0">
                  <c:v>1833.3430277777777</c:v>
                </c:pt>
                <c:pt idx="1">
                  <c:v>2247.5370077111111</c:v>
                </c:pt>
                <c:pt idx="2">
                  <c:v>2585.8861262479995</c:v>
                </c:pt>
                <c:pt idx="3">
                  <c:v>3008.1705682083907</c:v>
                </c:pt>
                <c:pt idx="4">
                  <c:v>4174.1746934325329</c:v>
                </c:pt>
                <c:pt idx="5">
                  <c:v>4626.897445956909</c:v>
                </c:pt>
                <c:pt idx="6">
                  <c:v>5096.6363295244419</c:v>
                </c:pt>
                <c:pt idx="7">
                  <c:v>5583.8909002758483</c:v>
                </c:pt>
                <c:pt idx="8">
                  <c:v>6089.1738901450572</c:v>
                </c:pt>
                <c:pt idx="9">
                  <c:v>6613.0115340684797</c:v>
                </c:pt>
              </c:numCache>
            </c:numRef>
          </c:val>
          <c:extLst>
            <c:ext xmlns:c16="http://schemas.microsoft.com/office/drawing/2014/chart" uri="{C3380CC4-5D6E-409C-BE32-E72D297353CC}">
              <c16:uniqueId val="{00000006-1732-4A95-A67F-761C6DAD399F}"/>
            </c:ext>
          </c:extLst>
        </c:ser>
        <c:ser>
          <c:idx val="7"/>
          <c:order val="7"/>
          <c:tx>
            <c:strRef>
              <c:f>DTE_demand_forecast!$B$227</c:f>
              <c:strCache>
                <c:ptCount val="1"/>
                <c:pt idx="0">
                  <c:v>Terrestrial &amp; Aerial</c:v>
                </c:pt>
              </c:strCache>
            </c:strRef>
          </c:tx>
          <c:spPr>
            <a:solidFill>
              <a:schemeClr val="accent2">
                <a:lumMod val="60000"/>
              </a:schemeClr>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DTE_demand_forecast!$C$227:$L$227</c:f>
              <c:numCache>
                <c:formatCode>0</c:formatCode>
                <c:ptCount val="10"/>
                <c:pt idx="0">
                  <c:v>117676.64002100003</c:v>
                </c:pt>
                <c:pt idx="1">
                  <c:v>236892.68340832897</c:v>
                </c:pt>
                <c:pt idx="2">
                  <c:v>267668.85159645369</c:v>
                </c:pt>
                <c:pt idx="3">
                  <c:v>299691.64574676368</c:v>
                </c:pt>
                <c:pt idx="4">
                  <c:v>332916.84066680435</c:v>
                </c:pt>
                <c:pt idx="5">
                  <c:v>464758.04532317875</c:v>
                </c:pt>
                <c:pt idx="6">
                  <c:v>502485.99460208608</c:v>
                </c:pt>
                <c:pt idx="7">
                  <c:v>541572.94016915502</c:v>
                </c:pt>
                <c:pt idx="8">
                  <c:v>582058.15069620044</c:v>
                </c:pt>
                <c:pt idx="9">
                  <c:v>623981.92200339492</c:v>
                </c:pt>
              </c:numCache>
            </c:numRef>
          </c:val>
          <c:extLst>
            <c:ext xmlns:c16="http://schemas.microsoft.com/office/drawing/2014/chart" uri="{C3380CC4-5D6E-409C-BE32-E72D297353CC}">
              <c16:uniqueId val="{00000007-1732-4A95-A67F-761C6DAD399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Lifespans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lifespans_all!$B$230</c:f>
              <c:strCache>
                <c:ptCount val="1"/>
                <c:pt idx="0">
                  <c:v>Existing</c:v>
                </c:pt>
              </c:strCache>
            </c:strRef>
          </c:tx>
          <c:spPr>
            <a:solidFill>
              <a:schemeClr val="accent1"/>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lifespans_all!$D$230:$M$230</c:f>
              <c:numCache>
                <c:formatCode>General</c:formatCode>
                <c:ptCount val="10"/>
                <c:pt idx="0">
                  <c:v>42</c:v>
                </c:pt>
                <c:pt idx="1">
                  <c:v>38</c:v>
                </c:pt>
                <c:pt idx="2">
                  <c:v>32</c:v>
                </c:pt>
                <c:pt idx="3">
                  <c:v>29</c:v>
                </c:pt>
                <c:pt idx="4">
                  <c:v>24</c:v>
                </c:pt>
                <c:pt idx="5">
                  <c:v>20</c:v>
                </c:pt>
                <c:pt idx="6">
                  <c:v>17</c:v>
                </c:pt>
                <c:pt idx="7">
                  <c:v>15</c:v>
                </c:pt>
                <c:pt idx="8">
                  <c:v>15</c:v>
                </c:pt>
                <c:pt idx="9">
                  <c:v>15</c:v>
                </c:pt>
              </c:numCache>
            </c:numRef>
          </c:val>
          <c:extLst>
            <c:ext xmlns:c16="http://schemas.microsoft.com/office/drawing/2014/chart" uri="{C3380CC4-5D6E-409C-BE32-E72D297353CC}">
              <c16:uniqueId val="{00000000-6313-4077-A941-8E2C5279F66D}"/>
            </c:ext>
          </c:extLst>
        </c:ser>
        <c:ser>
          <c:idx val="1"/>
          <c:order val="1"/>
          <c:tx>
            <c:strRef>
              <c:f>lifespans_all!$B$231</c:f>
              <c:strCache>
                <c:ptCount val="1"/>
                <c:pt idx="0">
                  <c:v>Replacement</c:v>
                </c:pt>
              </c:strCache>
            </c:strRef>
          </c:tx>
          <c:spPr>
            <a:solidFill>
              <a:schemeClr val="accent2"/>
            </a:solidFill>
            <a:ln>
              <a:noFill/>
            </a:ln>
            <a:effectLst/>
          </c:spPr>
          <c:cat>
            <c:numRef>
              <c:f>lifespans_all!$D$229:$M$229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lifespans_all!$D$231:$M$231</c:f>
              <c:numCache>
                <c:formatCode>0</c:formatCode>
                <c:ptCount val="10"/>
                <c:pt idx="0">
                  <c:v>4.7</c:v>
                </c:pt>
                <c:pt idx="1">
                  <c:v>12.4</c:v>
                </c:pt>
                <c:pt idx="2">
                  <c:v>22.1</c:v>
                </c:pt>
                <c:pt idx="3">
                  <c:v>28.799999999999997</c:v>
                </c:pt>
                <c:pt idx="4">
                  <c:v>38.5</c:v>
                </c:pt>
                <c:pt idx="5">
                  <c:v>47.2</c:v>
                </c:pt>
                <c:pt idx="6">
                  <c:v>54.900000000000006</c:v>
                </c:pt>
                <c:pt idx="7">
                  <c:v>61.599999999999994</c:v>
                </c:pt>
                <c:pt idx="8">
                  <c:v>66.3</c:v>
                </c:pt>
                <c:pt idx="9">
                  <c:v>71</c:v>
                </c:pt>
              </c:numCache>
            </c:numRef>
          </c:val>
          <c:extLst>
            <c:ext xmlns:c16="http://schemas.microsoft.com/office/drawing/2014/chart" uri="{C3380CC4-5D6E-409C-BE32-E72D297353CC}">
              <c16:uniqueId val="{00000001-6313-4077-A941-8E2C5279F66D}"/>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SR_demand_forecast!$B$56</c:f>
              <c:strCache>
                <c:ptCount val="1"/>
                <c:pt idx="0">
                  <c:v>Human Space Flight</c:v>
                </c:pt>
              </c:strCache>
            </c:strRef>
          </c:tx>
          <c:spPr>
            <a:solidFill>
              <a:schemeClr val="accent1"/>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SR_demand_forecast!$D$56:$M$56</c:f>
              <c:numCache>
                <c:formatCode>_(* #,##0_);_(* \(#,##0\);_(* "-"??_);_(@_)</c:formatCode>
                <c:ptCount val="10"/>
                <c:pt idx="0">
                  <c:v>471003.9</c:v>
                </c:pt>
                <c:pt idx="1">
                  <c:v>482951.31599999999</c:v>
                </c:pt>
                <c:pt idx="2">
                  <c:v>495372.03347999998</c:v>
                </c:pt>
                <c:pt idx="3">
                  <c:v>508280.2055328</c:v>
                </c:pt>
                <c:pt idx="4">
                  <c:v>521690.36205431999</c:v>
                </c:pt>
                <c:pt idx="5">
                  <c:v>535617.41915448767</c:v>
                </c:pt>
                <c:pt idx="6">
                  <c:v>550076.68879384035</c:v>
                </c:pt>
                <c:pt idx="7">
                  <c:v>565083.88865110534</c:v>
                </c:pt>
                <c:pt idx="8">
                  <c:v>580655.15222714329</c:v>
                </c:pt>
                <c:pt idx="9">
                  <c:v>596807.03919076244</c:v>
                </c:pt>
              </c:numCache>
            </c:numRef>
          </c:val>
          <c:extLst>
            <c:ext xmlns:c16="http://schemas.microsoft.com/office/drawing/2014/chart" uri="{C3380CC4-5D6E-409C-BE32-E72D297353CC}">
              <c16:uniqueId val="{00000000-812D-46C2-B8E9-BDC041A77361}"/>
            </c:ext>
          </c:extLst>
        </c:ser>
        <c:ser>
          <c:idx val="1"/>
          <c:order val="1"/>
          <c:tx>
            <c:strRef>
              <c:f>SR_demand_forecast!$B$57</c:f>
              <c:strCache>
                <c:ptCount val="1"/>
                <c:pt idx="0">
                  <c:v>Near Earth Robotic - LEO Science</c:v>
                </c:pt>
              </c:strCache>
            </c:strRef>
          </c:tx>
          <c:spPr>
            <a:solidFill>
              <a:schemeClr val="accent2"/>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SR_demand_forecast!$D$57:$M$57</c:f>
              <c:numCache>
                <c:formatCode>_(* #,##0_);_(* \(#,##0\);_(* "-"??_);_(@_)</c:formatCode>
                <c:ptCount val="10"/>
                <c:pt idx="0">
                  <c:v>1140965.7888888889</c:v>
                </c:pt>
                <c:pt idx="1">
                  <c:v>1118554.4582222223</c:v>
                </c:pt>
                <c:pt idx="2">
                  <c:v>1233940.7949688889</c:v>
                </c:pt>
                <c:pt idx="3">
                  <c:v>1291237.7096719111</c:v>
                </c:pt>
                <c:pt idx="4">
                  <c:v>1394488.6061962401</c:v>
                </c:pt>
                <c:pt idx="5">
                  <c:v>1475384.5698310065</c:v>
                </c:pt>
                <c:pt idx="6">
                  <c:v>1567202.7446353522</c:v>
                </c:pt>
                <c:pt idx="7">
                  <c:v>1660350.2283495278</c:v>
                </c:pt>
                <c:pt idx="8">
                  <c:v>1739113.30695364</c:v>
                </c:pt>
                <c:pt idx="9">
                  <c:v>1820389.4487661328</c:v>
                </c:pt>
              </c:numCache>
            </c:numRef>
          </c:val>
          <c:extLst>
            <c:ext xmlns:c16="http://schemas.microsoft.com/office/drawing/2014/chart" uri="{C3380CC4-5D6E-409C-BE32-E72D297353CC}">
              <c16:uniqueId val="{00000001-812D-46C2-B8E9-BDC041A77361}"/>
            </c:ext>
          </c:extLst>
        </c:ser>
        <c:ser>
          <c:idx val="2"/>
          <c:order val="2"/>
          <c:tx>
            <c:strRef>
              <c:f>SR_demand_forecast!$B$58</c:f>
              <c:strCache>
                <c:ptCount val="1"/>
                <c:pt idx="0">
                  <c:v>Near Earth Robotic - GEO and Near Earth</c:v>
                </c:pt>
              </c:strCache>
            </c:strRef>
          </c:tx>
          <c:spPr>
            <a:solidFill>
              <a:schemeClr val="accent3"/>
            </a:solidFill>
            <a:ln>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SR_demand_forecast!$D$58:$M$58</c:f>
              <c:numCache>
                <c:formatCode>_(* #,##0_);_(* \(#,##0\);_(* "-"??_);_(@_)</c:formatCode>
                <c:ptCount val="10"/>
                <c:pt idx="0">
                  <c:v>7565.7142857142862</c:v>
                </c:pt>
                <c:pt idx="1">
                  <c:v>8057.4857142857145</c:v>
                </c:pt>
                <c:pt idx="2">
                  <c:v>11315.093142857142</c:v>
                </c:pt>
                <c:pt idx="3">
                  <c:v>12043.194788571427</c:v>
                </c:pt>
                <c:pt idx="4">
                  <c:v>12795.894462857143</c:v>
                </c:pt>
                <c:pt idx="5">
                  <c:v>13573.884846198856</c:v>
                </c:pt>
                <c:pt idx="6">
                  <c:v>14377.876487089097</c:v>
                </c:pt>
                <c:pt idx="7">
                  <c:v>15208.598239676463</c:v>
                </c:pt>
                <c:pt idx="8">
                  <c:v>16066.797711772493</c:v>
                </c:pt>
                <c:pt idx="9">
                  <c:v>16953.241723456496</c:v>
                </c:pt>
              </c:numCache>
            </c:numRef>
          </c:val>
          <c:extLst>
            <c:ext xmlns:c16="http://schemas.microsoft.com/office/drawing/2014/chart" uri="{C3380CC4-5D6E-409C-BE32-E72D297353CC}">
              <c16:uniqueId val="{00000002-812D-46C2-B8E9-BDC041A77361}"/>
            </c:ext>
          </c:extLst>
        </c:ser>
        <c:ser>
          <c:idx val="3"/>
          <c:order val="3"/>
          <c:tx>
            <c:strRef>
              <c:f>SR_demand_forecast!$B$59</c:f>
              <c:strCache>
                <c:ptCount val="1"/>
                <c:pt idx="0">
                  <c:v>Deep Space Robotic</c:v>
                </c:pt>
              </c:strCache>
            </c:strRef>
          </c:tx>
          <c:spPr>
            <a:solidFill>
              <a:schemeClr val="accent4"/>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SR_demand_forecast!$D$59:$M$59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12D-46C2-B8E9-BDC041A77361}"/>
            </c:ext>
          </c:extLst>
        </c:ser>
        <c:ser>
          <c:idx val="4"/>
          <c:order val="4"/>
          <c:tx>
            <c:strRef>
              <c:f>SR_demand_forecast!$B$60</c:f>
              <c:strCache>
                <c:ptCount val="1"/>
                <c:pt idx="0">
                  <c:v>Near Earth Robotic - Low Latency &amp; Complex Needs</c:v>
                </c:pt>
              </c:strCache>
            </c:strRef>
          </c:tx>
          <c:spPr>
            <a:solidFill>
              <a:schemeClr val="accent5"/>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SR_demand_forecast!$D$60:$M$60</c:f>
              <c:numCache>
                <c:formatCode>_(* #,##0_);_(* \(#,##0\);_(* "-"??_);_(@_)</c:formatCode>
                <c:ptCount val="10"/>
                <c:pt idx="0">
                  <c:v>460.5</c:v>
                </c:pt>
                <c:pt idx="1">
                  <c:v>460.5</c:v>
                </c:pt>
                <c:pt idx="2">
                  <c:v>460.5</c:v>
                </c:pt>
                <c:pt idx="3">
                  <c:v>460.5</c:v>
                </c:pt>
                <c:pt idx="4">
                  <c:v>498.46000967999998</c:v>
                </c:pt>
                <c:pt idx="5">
                  <c:v>508.42920987360003</c:v>
                </c:pt>
                <c:pt idx="6">
                  <c:v>518.59779407107203</c:v>
                </c:pt>
                <c:pt idx="7">
                  <c:v>528.96974995249332</c:v>
                </c:pt>
                <c:pt idx="8">
                  <c:v>539.54914495154333</c:v>
                </c:pt>
                <c:pt idx="9">
                  <c:v>550.34012785057416</c:v>
                </c:pt>
              </c:numCache>
            </c:numRef>
          </c:val>
          <c:extLst>
            <c:ext xmlns:c16="http://schemas.microsoft.com/office/drawing/2014/chart" uri="{C3380CC4-5D6E-409C-BE32-E72D297353CC}">
              <c16:uniqueId val="{00000004-812D-46C2-B8E9-BDC041A77361}"/>
            </c:ext>
          </c:extLst>
        </c:ser>
        <c:ser>
          <c:idx val="5"/>
          <c:order val="5"/>
          <c:tx>
            <c:strRef>
              <c:f>SR_demand_forecast!$B$61</c:f>
              <c:strCache>
                <c:ptCount val="1"/>
                <c:pt idx="0">
                  <c:v>Mission Operations</c:v>
                </c:pt>
              </c:strCache>
            </c:strRef>
          </c:tx>
          <c:spPr>
            <a:solidFill>
              <a:schemeClr val="accent6"/>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SR_demand_forecast!$D$61:$M$61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12D-46C2-B8E9-BDC041A77361}"/>
            </c:ext>
          </c:extLst>
        </c:ser>
        <c:ser>
          <c:idx val="6"/>
          <c:order val="6"/>
          <c:tx>
            <c:strRef>
              <c:f>SR_demand_forecast!$B$62</c:f>
              <c:strCache>
                <c:ptCount val="1"/>
                <c:pt idx="0">
                  <c:v>Launch Events</c:v>
                </c:pt>
              </c:strCache>
            </c:strRef>
          </c:tx>
          <c:spPr>
            <a:solidFill>
              <a:schemeClr val="accent1">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SR_demand_forecast!$D$62:$M$62</c:f>
              <c:numCache>
                <c:formatCode>_(* #,##0_);_(* \(#,##0\);_(* "-"??_);_(@_)</c:formatCode>
                <c:ptCount val="10"/>
                <c:pt idx="0">
                  <c:v>7340.8</c:v>
                </c:pt>
                <c:pt idx="1">
                  <c:v>7817.9520000000002</c:v>
                </c:pt>
                <c:pt idx="2">
                  <c:v>8314.0065599999998</c:v>
                </c:pt>
                <c:pt idx="3">
                  <c:v>8829.5289216000001</c:v>
                </c:pt>
                <c:pt idx="4">
                  <c:v>9554.1987500799987</c:v>
                </c:pt>
                <c:pt idx="5">
                  <c:v>10160.07499758976</c:v>
                </c:pt>
                <c:pt idx="6">
                  <c:v>10788.199815499878</c:v>
                </c:pt>
                <c:pt idx="7">
                  <c:v>11439.220796127363</c:v>
                </c:pt>
                <c:pt idx="8">
                  <c:v>12113.80253605375</c:v>
                </c:pt>
                <c:pt idx="9">
                  <c:v>12812.627057258744</c:v>
                </c:pt>
              </c:numCache>
            </c:numRef>
          </c:val>
          <c:extLst>
            <c:ext xmlns:c16="http://schemas.microsoft.com/office/drawing/2014/chart" uri="{C3380CC4-5D6E-409C-BE32-E72D297353CC}">
              <c16:uniqueId val="{00000006-812D-46C2-B8E9-BDC041A77361}"/>
            </c:ext>
          </c:extLst>
        </c:ser>
        <c:ser>
          <c:idx val="7"/>
          <c:order val="7"/>
          <c:tx>
            <c:strRef>
              <c:f>SR_demand_forecast!$B$63</c:f>
              <c:strCache>
                <c:ptCount val="1"/>
                <c:pt idx="0">
                  <c:v>Terrestrial &amp; Aerial</c:v>
                </c:pt>
              </c:strCache>
            </c:strRef>
          </c:tx>
          <c:spPr>
            <a:solidFill>
              <a:schemeClr val="accent2">
                <a:lumMod val="60000"/>
              </a:schemeClr>
            </a:solidFill>
            <a:ln w="25400">
              <a:noFill/>
            </a:ln>
            <a:effectLst/>
          </c:spPr>
          <c:cat>
            <c:numRef>
              <c:f>SR_demand_forecast!$D$55:$M$55</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SR_demand_forecast!$D$63:$M$63</c:f>
              <c:numCache>
                <c:formatCode>_(* #,##0_);_(* \(#,##0\);_(* "-"??_);_(@_)</c:formatCode>
                <c:ptCount val="10"/>
                <c:pt idx="0">
                  <c:v>104591.93333333333</c:v>
                </c:pt>
                <c:pt idx="1">
                  <c:v>108775.61066666667</c:v>
                </c:pt>
                <c:pt idx="2">
                  <c:v>113111.78978666668</c:v>
                </c:pt>
                <c:pt idx="3">
                  <c:v>117604.89729386667</c:v>
                </c:pt>
                <c:pt idx="4">
                  <c:v>122259.47585210667</c:v>
                </c:pt>
                <c:pt idx="5">
                  <c:v>130591.80397319127</c:v>
                </c:pt>
                <c:pt idx="6">
                  <c:v>136328.45031109056</c:v>
                </c:pt>
                <c:pt idx="7">
                  <c:v>142255.82151424981</c:v>
                </c:pt>
                <c:pt idx="8">
                  <c:v>148379.25191874441</c:v>
                </c:pt>
                <c:pt idx="9">
                  <c:v>154704.21294414639</c:v>
                </c:pt>
              </c:numCache>
            </c:numRef>
          </c:val>
          <c:extLst>
            <c:ext xmlns:c16="http://schemas.microsoft.com/office/drawing/2014/chart" uri="{C3380CC4-5D6E-409C-BE32-E72D297353CC}">
              <c16:uniqueId val="{00000007-812D-46C2-B8E9-BDC041A77361}"/>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SR_demand_forecast!$B$129</c:f>
              <c:strCache>
                <c:ptCount val="1"/>
                <c:pt idx="0">
                  <c:v>Human Space Flight</c:v>
                </c:pt>
              </c:strCache>
            </c:strRef>
          </c:tx>
          <c:spPr>
            <a:solidFill>
              <a:schemeClr val="accent1"/>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SR_demand_forecast!$D$129:$M$129</c:f>
              <c:numCache>
                <c:formatCode>_(* #,##0_);_(* \(#,##0\);_(* "-"??_);_(@_)</c:formatCode>
                <c:ptCount val="10"/>
                <c:pt idx="0">
                  <c:v>505467.6</c:v>
                </c:pt>
                <c:pt idx="1">
                  <c:v>553257.26399999997</c:v>
                </c:pt>
                <c:pt idx="2">
                  <c:v>602940.13392000005</c:v>
                </c:pt>
                <c:pt idx="3">
                  <c:v>654572.8221312</c:v>
                </c:pt>
                <c:pt idx="4">
                  <c:v>708213.44821727998</c:v>
                </c:pt>
                <c:pt idx="5">
                  <c:v>763921.67661795067</c:v>
                </c:pt>
                <c:pt idx="6">
                  <c:v>821758.75517536141</c:v>
                </c:pt>
                <c:pt idx="7">
                  <c:v>881787.55460442114</c:v>
                </c:pt>
                <c:pt idx="8">
                  <c:v>944072.60890857328</c:v>
                </c:pt>
                <c:pt idx="9">
                  <c:v>1008680.1567630498</c:v>
                </c:pt>
              </c:numCache>
            </c:numRef>
          </c:val>
          <c:extLst>
            <c:ext xmlns:c16="http://schemas.microsoft.com/office/drawing/2014/chart" uri="{C3380CC4-5D6E-409C-BE32-E72D297353CC}">
              <c16:uniqueId val="{00000000-F0DD-4D54-A988-F5E7E318FB2A}"/>
            </c:ext>
          </c:extLst>
        </c:ser>
        <c:ser>
          <c:idx val="1"/>
          <c:order val="1"/>
          <c:tx>
            <c:strRef>
              <c:f>SR_demand_forecast!$B$130</c:f>
              <c:strCache>
                <c:ptCount val="1"/>
                <c:pt idx="0">
                  <c:v>Near Earth Robotic - LEO Science</c:v>
                </c:pt>
              </c:strCache>
            </c:strRef>
          </c:tx>
          <c:spPr>
            <a:solidFill>
              <a:schemeClr val="accent2"/>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SR_demand_forecast!$D$130:$M$130</c:f>
              <c:numCache>
                <c:formatCode>_(* #,##0_);_(* \(#,##0\);_(* "-"??_);_(@_)</c:formatCode>
                <c:ptCount val="10"/>
                <c:pt idx="0">
                  <c:v>1194326.0999999999</c:v>
                </c:pt>
                <c:pt idx="1">
                  <c:v>1227409.4928888888</c:v>
                </c:pt>
                <c:pt idx="2">
                  <c:v>1400488.9980088889</c:v>
                </c:pt>
                <c:pt idx="3">
                  <c:v>1517743.2658063113</c:v>
                </c:pt>
                <c:pt idx="4">
                  <c:v>1683283.1902676001</c:v>
                </c:pt>
                <c:pt idx="5">
                  <c:v>1828869.140734351</c:v>
                </c:pt>
                <c:pt idx="6">
                  <c:v>1987849.3840103326</c:v>
                </c:pt>
                <c:pt idx="7">
                  <c:v>2150704.0251066475</c:v>
                </c:pt>
                <c:pt idx="8">
                  <c:v>2301794.2887324351</c:v>
                </c:pt>
                <c:pt idx="9">
                  <c:v>2458094.5614487668</c:v>
                </c:pt>
              </c:numCache>
            </c:numRef>
          </c:val>
          <c:extLst>
            <c:ext xmlns:c16="http://schemas.microsoft.com/office/drawing/2014/chart" uri="{C3380CC4-5D6E-409C-BE32-E72D297353CC}">
              <c16:uniqueId val="{00000001-F0DD-4D54-A988-F5E7E318FB2A}"/>
            </c:ext>
          </c:extLst>
        </c:ser>
        <c:ser>
          <c:idx val="2"/>
          <c:order val="2"/>
          <c:tx>
            <c:strRef>
              <c:f>SR_demand_forecast!$B$131</c:f>
              <c:strCache>
                <c:ptCount val="1"/>
                <c:pt idx="0">
                  <c:v>Near Earth Robotic - GEO and Near Earth</c:v>
                </c:pt>
              </c:strCache>
            </c:strRef>
          </c:tx>
          <c:spPr>
            <a:solidFill>
              <a:schemeClr val="accent3"/>
            </a:solidFill>
            <a:ln>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SR_demand_forecast!$D$131:$M$131</c:f>
              <c:numCache>
                <c:formatCode>_(* #,##0_);_(* \(#,##0\);_(* "-"??_);_(@_)</c:formatCode>
                <c:ptCount val="10"/>
                <c:pt idx="0">
                  <c:v>8275</c:v>
                </c:pt>
                <c:pt idx="1">
                  <c:v>9504.4285714285725</c:v>
                </c:pt>
                <c:pt idx="2">
                  <c:v>13528.915714285713</c:v>
                </c:pt>
                <c:pt idx="3">
                  <c:v>15053.993485714285</c:v>
                </c:pt>
                <c:pt idx="4">
                  <c:v>16634.662801714287</c:v>
                </c:pt>
                <c:pt idx="5">
                  <c:v>18272.537292960002</c:v>
                </c:pt>
                <c:pt idx="6">
                  <c:v>19969.272898734856</c:v>
                </c:pt>
                <c:pt idx="7">
                  <c:v>21726.568913823521</c:v>
                </c:pt>
                <c:pt idx="8">
                  <c:v>23546.169060356246</c:v>
                </c:pt>
                <c:pt idx="9">
                  <c:v>25429.862585184743</c:v>
                </c:pt>
              </c:numCache>
            </c:numRef>
          </c:val>
          <c:extLst>
            <c:ext xmlns:c16="http://schemas.microsoft.com/office/drawing/2014/chart" uri="{C3380CC4-5D6E-409C-BE32-E72D297353CC}">
              <c16:uniqueId val="{00000002-F0DD-4D54-A988-F5E7E318FB2A}"/>
            </c:ext>
          </c:extLst>
        </c:ser>
        <c:ser>
          <c:idx val="3"/>
          <c:order val="3"/>
          <c:tx>
            <c:strRef>
              <c:f>SR_demand_forecast!$B$132</c:f>
              <c:strCache>
                <c:ptCount val="1"/>
                <c:pt idx="0">
                  <c:v>Deep Space Robotic</c:v>
                </c:pt>
              </c:strCache>
            </c:strRef>
          </c:tx>
          <c:spPr>
            <a:solidFill>
              <a:schemeClr val="accent4"/>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SR_demand_forecast!$D$132:$M$132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0DD-4D54-A988-F5E7E318FB2A}"/>
            </c:ext>
          </c:extLst>
        </c:ser>
        <c:ser>
          <c:idx val="4"/>
          <c:order val="4"/>
          <c:tx>
            <c:strRef>
              <c:f>SR_demand_forecast!$B$133</c:f>
              <c:strCache>
                <c:ptCount val="1"/>
                <c:pt idx="0">
                  <c:v>Near Earth Robotic - Low Latency &amp; Complex Needs</c:v>
                </c:pt>
              </c:strCache>
            </c:strRef>
          </c:tx>
          <c:spPr>
            <a:solidFill>
              <a:schemeClr val="accent5"/>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SR_demand_forecast!$D$133:$M$133</c:f>
              <c:numCache>
                <c:formatCode>_(* #,##0_);_(* \(#,##0\);_(* "-"??_);_(@_)</c:formatCode>
                <c:ptCount val="10"/>
                <c:pt idx="0">
                  <c:v>506.55</c:v>
                </c:pt>
                <c:pt idx="1">
                  <c:v>554.44200000000001</c:v>
                </c:pt>
                <c:pt idx="2">
                  <c:v>604.23126000000002</c:v>
                </c:pt>
                <c:pt idx="3">
                  <c:v>655.97451360000002</c:v>
                </c:pt>
                <c:pt idx="4">
                  <c:v>747.69001451999998</c:v>
                </c:pt>
                <c:pt idx="5">
                  <c:v>813.48673579776005</c:v>
                </c:pt>
                <c:pt idx="6">
                  <c:v>881.6162499208225</c:v>
                </c:pt>
                <c:pt idx="7">
                  <c:v>952.1455499144879</c:v>
                </c:pt>
                <c:pt idx="8">
                  <c:v>1025.1433754079321</c:v>
                </c:pt>
                <c:pt idx="9">
                  <c:v>1100.6802557011483</c:v>
                </c:pt>
              </c:numCache>
            </c:numRef>
          </c:val>
          <c:extLst>
            <c:ext xmlns:c16="http://schemas.microsoft.com/office/drawing/2014/chart" uri="{C3380CC4-5D6E-409C-BE32-E72D297353CC}">
              <c16:uniqueId val="{00000004-F0DD-4D54-A988-F5E7E318FB2A}"/>
            </c:ext>
          </c:extLst>
        </c:ser>
        <c:ser>
          <c:idx val="5"/>
          <c:order val="5"/>
          <c:tx>
            <c:strRef>
              <c:f>SR_demand_forecast!$B$134</c:f>
              <c:strCache>
                <c:ptCount val="1"/>
                <c:pt idx="0">
                  <c:v>Mission Operations</c:v>
                </c:pt>
              </c:strCache>
            </c:strRef>
          </c:tx>
          <c:spPr>
            <a:solidFill>
              <a:schemeClr val="accent6"/>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SR_demand_forecast!$D$134:$M$134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0DD-4D54-A988-F5E7E318FB2A}"/>
            </c:ext>
          </c:extLst>
        </c:ser>
        <c:ser>
          <c:idx val="6"/>
          <c:order val="6"/>
          <c:tx>
            <c:strRef>
              <c:f>SR_demand_forecast!$B$135</c:f>
              <c:strCache>
                <c:ptCount val="1"/>
                <c:pt idx="0">
                  <c:v>Launch Events</c:v>
                </c:pt>
              </c:strCache>
            </c:strRef>
          </c:tx>
          <c:spPr>
            <a:solidFill>
              <a:schemeClr val="accent1">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SR_demand_forecast!$D$135:$M$135</c:f>
              <c:numCache>
                <c:formatCode>_(* #,##0_);_(* \(#,##0\);_(* "-"??_);_(@_)</c:formatCode>
                <c:ptCount val="10"/>
                <c:pt idx="0">
                  <c:v>7799.6</c:v>
                </c:pt>
                <c:pt idx="1">
                  <c:v>8753.9040000000005</c:v>
                </c:pt>
                <c:pt idx="2">
                  <c:v>9746.0131199999996</c:v>
                </c:pt>
                <c:pt idx="3">
                  <c:v>10777.0578432</c:v>
                </c:pt>
                <c:pt idx="4">
                  <c:v>12037.29812512</c:v>
                </c:pt>
                <c:pt idx="5">
                  <c:v>13199.38863263872</c:v>
                </c:pt>
                <c:pt idx="6">
                  <c:v>14404.983041208141</c:v>
                </c:pt>
                <c:pt idx="7">
                  <c:v>15655.356670667281</c:v>
                </c:pt>
                <c:pt idx="8">
                  <c:v>16951.818452088308</c:v>
                </c:pt>
                <c:pt idx="9">
                  <c:v>18295.711762097904</c:v>
                </c:pt>
              </c:numCache>
            </c:numRef>
          </c:val>
          <c:extLst>
            <c:ext xmlns:c16="http://schemas.microsoft.com/office/drawing/2014/chart" uri="{C3380CC4-5D6E-409C-BE32-E72D297353CC}">
              <c16:uniqueId val="{00000006-F0DD-4D54-A988-F5E7E318FB2A}"/>
            </c:ext>
          </c:extLst>
        </c:ser>
        <c:ser>
          <c:idx val="7"/>
          <c:order val="7"/>
          <c:tx>
            <c:strRef>
              <c:f>SR_demand_forecast!$B$136</c:f>
              <c:strCache>
                <c:ptCount val="1"/>
                <c:pt idx="0">
                  <c:v>Terrestrial &amp; Aerial</c:v>
                </c:pt>
              </c:strCache>
            </c:strRef>
          </c:tx>
          <c:spPr>
            <a:solidFill>
              <a:schemeClr val="accent2">
                <a:lumMod val="60000"/>
              </a:schemeClr>
            </a:solidFill>
            <a:ln w="25400">
              <a:noFill/>
            </a:ln>
            <a:effectLst/>
          </c:spPr>
          <c:cat>
            <c:numRef>
              <c:f>SR_demand_forecast!$D$128:$M$128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SR_demand_forecast!$D$136:$M$136</c:f>
              <c:numCache>
                <c:formatCode>_(* #,##0_);_(* \(#,##0\);_(* "-"??_);_(@_)</c:formatCode>
                <c:ptCount val="10"/>
                <c:pt idx="0">
                  <c:v>107965.86666666667</c:v>
                </c:pt>
                <c:pt idx="1">
                  <c:v>115658.43466666667</c:v>
                </c:pt>
                <c:pt idx="2">
                  <c:v>123642.51050666667</c:v>
                </c:pt>
                <c:pt idx="3">
                  <c:v>131926.67747306667</c:v>
                </c:pt>
                <c:pt idx="4">
                  <c:v>140519.74558058666</c:v>
                </c:pt>
                <c:pt idx="5">
                  <c:v>152942.37412085079</c:v>
                </c:pt>
                <c:pt idx="6">
                  <c:v>162925.62878680538</c:v>
                </c:pt>
                <c:pt idx="7">
                  <c:v>173260.53242308309</c:v>
                </c:pt>
                <c:pt idx="8">
                  <c:v>183957.15768663061</c:v>
                </c:pt>
                <c:pt idx="9">
                  <c:v>195025.83948108411</c:v>
                </c:pt>
              </c:numCache>
            </c:numRef>
          </c:val>
          <c:extLst>
            <c:ext xmlns:c16="http://schemas.microsoft.com/office/drawing/2014/chart" uri="{C3380CC4-5D6E-409C-BE32-E72D297353CC}">
              <c16:uniqueId val="{00000007-F0DD-4D54-A988-F5E7E318FB2A}"/>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Use Case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48881531606909"/>
          <c:y val="0.10605799289048519"/>
          <c:w val="0.81755463596923572"/>
          <c:h val="0.60682971253468532"/>
        </c:manualLayout>
      </c:layout>
      <c:areaChart>
        <c:grouping val="stacked"/>
        <c:varyColors val="0"/>
        <c:ser>
          <c:idx val="0"/>
          <c:order val="0"/>
          <c:tx>
            <c:strRef>
              <c:f>SR_demand_forecast!$B$202</c:f>
              <c:strCache>
                <c:ptCount val="1"/>
                <c:pt idx="0">
                  <c:v>Human Space Flight</c:v>
                </c:pt>
              </c:strCache>
            </c:strRef>
          </c:tx>
          <c:spPr>
            <a:solidFill>
              <a:schemeClr val="accent1"/>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SR_demand_forecast!$D$202:$M$202</c:f>
              <c:numCache>
                <c:formatCode>_(* #,##0_);_(* \(#,##0\);_(* "-"??_);_(@_)</c:formatCode>
                <c:ptCount val="10"/>
                <c:pt idx="0">
                  <c:v>528443.4</c:v>
                </c:pt>
                <c:pt idx="1">
                  <c:v>600127.89599999995</c:v>
                </c:pt>
                <c:pt idx="2">
                  <c:v>674652.20088000002</c:v>
                </c:pt>
                <c:pt idx="3">
                  <c:v>752101.23319679988</c:v>
                </c:pt>
                <c:pt idx="4">
                  <c:v>832562.17232591996</c:v>
                </c:pt>
                <c:pt idx="5">
                  <c:v>916124.51492692612</c:v>
                </c:pt>
                <c:pt idx="6">
                  <c:v>1002880.1327630421</c:v>
                </c:pt>
                <c:pt idx="7">
                  <c:v>1092923.3319066316</c:v>
                </c:pt>
                <c:pt idx="8">
                  <c:v>1186350.91336286</c:v>
                </c:pt>
                <c:pt idx="9">
                  <c:v>1283262.2351445747</c:v>
                </c:pt>
              </c:numCache>
            </c:numRef>
          </c:val>
          <c:extLst>
            <c:ext xmlns:c16="http://schemas.microsoft.com/office/drawing/2014/chart" uri="{C3380CC4-5D6E-409C-BE32-E72D297353CC}">
              <c16:uniqueId val="{00000000-6A1B-43B0-AF7B-454660B689E0}"/>
            </c:ext>
          </c:extLst>
        </c:ser>
        <c:ser>
          <c:idx val="1"/>
          <c:order val="1"/>
          <c:tx>
            <c:strRef>
              <c:f>SR_demand_forecast!$B$203</c:f>
              <c:strCache>
                <c:ptCount val="1"/>
                <c:pt idx="0">
                  <c:v>Near Earth Robotic - LEO Science</c:v>
                </c:pt>
              </c:strCache>
            </c:strRef>
          </c:tx>
          <c:spPr>
            <a:solidFill>
              <a:schemeClr val="accent2"/>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SR_demand_forecast!$D$203:$M$203</c:f>
              <c:numCache>
                <c:formatCode>_(* #,##0_);_(* \(#,##0\);_(* "-"??_);_(@_)</c:formatCode>
                <c:ptCount val="10"/>
                <c:pt idx="0">
                  <c:v>1247686.4111111111</c:v>
                </c:pt>
                <c:pt idx="1">
                  <c:v>1336264.5275555556</c:v>
                </c:pt>
                <c:pt idx="2">
                  <c:v>1567037.201048889</c:v>
                </c:pt>
                <c:pt idx="3">
                  <c:v>1744248.8219407112</c:v>
                </c:pt>
                <c:pt idx="4">
                  <c:v>1972077.7743389602</c:v>
                </c:pt>
                <c:pt idx="5">
                  <c:v>2182353.7116376958</c:v>
                </c:pt>
                <c:pt idx="6">
                  <c:v>2408496.0233853124</c:v>
                </c:pt>
                <c:pt idx="7">
                  <c:v>2641057.8218637668</c:v>
                </c:pt>
                <c:pt idx="8">
                  <c:v>2864475.27051123</c:v>
                </c:pt>
                <c:pt idx="9">
                  <c:v>3095799.6741314013</c:v>
                </c:pt>
              </c:numCache>
            </c:numRef>
          </c:val>
          <c:extLst>
            <c:ext xmlns:c16="http://schemas.microsoft.com/office/drawing/2014/chart" uri="{C3380CC4-5D6E-409C-BE32-E72D297353CC}">
              <c16:uniqueId val="{00000001-6A1B-43B0-AF7B-454660B689E0}"/>
            </c:ext>
          </c:extLst>
        </c:ser>
        <c:ser>
          <c:idx val="2"/>
          <c:order val="2"/>
          <c:tx>
            <c:strRef>
              <c:f>SR_demand_forecast!$B$204</c:f>
              <c:strCache>
                <c:ptCount val="1"/>
                <c:pt idx="0">
                  <c:v>Near Earth Robotic - GEO and Near Earth</c:v>
                </c:pt>
              </c:strCache>
            </c:strRef>
          </c:tx>
          <c:spPr>
            <a:solidFill>
              <a:schemeClr val="accent3"/>
            </a:solidFill>
            <a:ln>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SR_demand_forecast!$D$204:$M$204</c:f>
              <c:numCache>
                <c:formatCode>_(* #,##0_);_(* \(#,##0\);_(* "-"??_);_(@_)</c:formatCode>
                <c:ptCount val="10"/>
                <c:pt idx="0">
                  <c:v>9220.7142857142862</c:v>
                </c:pt>
                <c:pt idx="1">
                  <c:v>11433.685714285715</c:v>
                </c:pt>
                <c:pt idx="2">
                  <c:v>16480.679142857145</c:v>
                </c:pt>
                <c:pt idx="3">
                  <c:v>19068.391748571426</c:v>
                </c:pt>
                <c:pt idx="4">
                  <c:v>21753.020586857143</c:v>
                </c:pt>
                <c:pt idx="5">
                  <c:v>24537.407221974856</c:v>
                </c:pt>
                <c:pt idx="6">
                  <c:v>27424.468114262541</c:v>
                </c:pt>
                <c:pt idx="7">
                  <c:v>30417.19647935293</c:v>
                </c:pt>
                <c:pt idx="8">
                  <c:v>33518.664191801239</c:v>
                </c:pt>
                <c:pt idx="9">
                  <c:v>36732.023734155744</c:v>
                </c:pt>
              </c:numCache>
            </c:numRef>
          </c:val>
          <c:extLst>
            <c:ext xmlns:c16="http://schemas.microsoft.com/office/drawing/2014/chart" uri="{C3380CC4-5D6E-409C-BE32-E72D297353CC}">
              <c16:uniqueId val="{00000002-6A1B-43B0-AF7B-454660B689E0}"/>
            </c:ext>
          </c:extLst>
        </c:ser>
        <c:ser>
          <c:idx val="3"/>
          <c:order val="3"/>
          <c:tx>
            <c:strRef>
              <c:f>SR_demand_forecast!$B$205</c:f>
              <c:strCache>
                <c:ptCount val="1"/>
                <c:pt idx="0">
                  <c:v>Deep Space Robotic</c:v>
                </c:pt>
              </c:strCache>
            </c:strRef>
          </c:tx>
          <c:spPr>
            <a:solidFill>
              <a:schemeClr val="accent4"/>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SR_demand_forecast!$D$205:$M$205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A1B-43B0-AF7B-454660B689E0}"/>
            </c:ext>
          </c:extLst>
        </c:ser>
        <c:ser>
          <c:idx val="4"/>
          <c:order val="4"/>
          <c:tx>
            <c:strRef>
              <c:f>SR_demand_forecast!$B$206</c:f>
              <c:strCache>
                <c:ptCount val="1"/>
                <c:pt idx="0">
                  <c:v>Near Earth Robotic - Low Latency &amp; Complex Needs</c:v>
                </c:pt>
              </c:strCache>
            </c:strRef>
          </c:tx>
          <c:spPr>
            <a:solidFill>
              <a:schemeClr val="accent5"/>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SR_demand_forecast!$D$206:$M$206</c:f>
              <c:numCache>
                <c:formatCode>_(* #,##0_);_(* \(#,##0\);_(* "-"??_);_(@_)</c:formatCode>
                <c:ptCount val="10"/>
                <c:pt idx="0">
                  <c:v>552.6</c:v>
                </c:pt>
                <c:pt idx="1">
                  <c:v>648.38400000000001</c:v>
                </c:pt>
                <c:pt idx="2">
                  <c:v>747.96252000000004</c:v>
                </c:pt>
                <c:pt idx="3">
                  <c:v>851.44902720000005</c:v>
                </c:pt>
                <c:pt idx="4">
                  <c:v>996.92001935999997</c:v>
                </c:pt>
                <c:pt idx="5">
                  <c:v>1118.5442617219201</c:v>
                </c:pt>
                <c:pt idx="6">
                  <c:v>1244.634705770573</c:v>
                </c:pt>
                <c:pt idx="7">
                  <c:v>1375.3213498764824</c:v>
                </c:pt>
                <c:pt idx="8">
                  <c:v>1510.737605864321</c:v>
                </c:pt>
                <c:pt idx="9">
                  <c:v>1651.0203835517225</c:v>
                </c:pt>
              </c:numCache>
            </c:numRef>
          </c:val>
          <c:extLst>
            <c:ext xmlns:c16="http://schemas.microsoft.com/office/drawing/2014/chart" uri="{C3380CC4-5D6E-409C-BE32-E72D297353CC}">
              <c16:uniqueId val="{00000004-6A1B-43B0-AF7B-454660B689E0}"/>
            </c:ext>
          </c:extLst>
        </c:ser>
        <c:ser>
          <c:idx val="5"/>
          <c:order val="5"/>
          <c:tx>
            <c:strRef>
              <c:f>SR_demand_forecast!$B$207</c:f>
              <c:strCache>
                <c:ptCount val="1"/>
                <c:pt idx="0">
                  <c:v>Mission Operations</c:v>
                </c:pt>
              </c:strCache>
            </c:strRef>
          </c:tx>
          <c:spPr>
            <a:solidFill>
              <a:schemeClr val="accent6"/>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SR_demand_forecast!$D$207:$M$207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A1B-43B0-AF7B-454660B689E0}"/>
            </c:ext>
          </c:extLst>
        </c:ser>
        <c:ser>
          <c:idx val="6"/>
          <c:order val="6"/>
          <c:tx>
            <c:strRef>
              <c:f>SR_demand_forecast!$B$208</c:f>
              <c:strCache>
                <c:ptCount val="1"/>
                <c:pt idx="0">
                  <c:v>Launch Events</c:v>
                </c:pt>
              </c:strCache>
            </c:strRef>
          </c:tx>
          <c:spPr>
            <a:solidFill>
              <a:schemeClr val="accent1">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SR_demand_forecast!$D$208:$M$208</c:f>
              <c:numCache>
                <c:formatCode>_(* #,##0_);_(* \(#,##0\);_(* "-"??_);_(@_)</c:formatCode>
                <c:ptCount val="10"/>
                <c:pt idx="0">
                  <c:v>8029</c:v>
                </c:pt>
                <c:pt idx="1">
                  <c:v>9221.880000000001</c:v>
                </c:pt>
                <c:pt idx="2">
                  <c:v>10462.0164</c:v>
                </c:pt>
                <c:pt idx="3">
                  <c:v>11750.822303999999</c:v>
                </c:pt>
                <c:pt idx="4">
                  <c:v>13278.84781264</c:v>
                </c:pt>
                <c:pt idx="5">
                  <c:v>14719.045450163199</c:v>
                </c:pt>
                <c:pt idx="6">
                  <c:v>16213.374654062272</c:v>
                </c:pt>
                <c:pt idx="7">
                  <c:v>17763.424607937239</c:v>
                </c:pt>
                <c:pt idx="8">
                  <c:v>19370.826410105583</c:v>
                </c:pt>
                <c:pt idx="9">
                  <c:v>21037.254114517487</c:v>
                </c:pt>
              </c:numCache>
            </c:numRef>
          </c:val>
          <c:extLst>
            <c:ext xmlns:c16="http://schemas.microsoft.com/office/drawing/2014/chart" uri="{C3380CC4-5D6E-409C-BE32-E72D297353CC}">
              <c16:uniqueId val="{00000006-6A1B-43B0-AF7B-454660B689E0}"/>
            </c:ext>
          </c:extLst>
        </c:ser>
        <c:ser>
          <c:idx val="7"/>
          <c:order val="7"/>
          <c:tx>
            <c:strRef>
              <c:f>SR_demand_forecast!$B$209</c:f>
              <c:strCache>
                <c:ptCount val="1"/>
                <c:pt idx="0">
                  <c:v>Terrestrial &amp; Aerial</c:v>
                </c:pt>
              </c:strCache>
            </c:strRef>
          </c:tx>
          <c:spPr>
            <a:solidFill>
              <a:schemeClr val="accent2">
                <a:lumMod val="60000"/>
              </a:schemeClr>
            </a:solidFill>
            <a:ln w="25400">
              <a:noFill/>
            </a:ln>
            <a:effectLst/>
          </c:spPr>
          <c:cat>
            <c:numRef>
              <c:f>SR_demand_forecast!$D$201:$M$201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SR_demand_forecast!$D$209:$M$209</c:f>
              <c:numCache>
                <c:formatCode>_(* #,##0_);_(* \(#,##0\);_(* "-"??_);_(@_)</c:formatCode>
                <c:ptCount val="10"/>
                <c:pt idx="0">
                  <c:v>111339.8</c:v>
                </c:pt>
                <c:pt idx="1">
                  <c:v>122541.25866666669</c:v>
                </c:pt>
                <c:pt idx="2">
                  <c:v>134173.23122666666</c:v>
                </c:pt>
                <c:pt idx="3">
                  <c:v>146248.45765226666</c:v>
                </c:pt>
                <c:pt idx="4">
                  <c:v>158780.01530906669</c:v>
                </c:pt>
                <c:pt idx="5">
                  <c:v>175292.94426851033</c:v>
                </c:pt>
                <c:pt idx="6">
                  <c:v>189522.80726252019</c:v>
                </c:pt>
                <c:pt idx="7">
                  <c:v>204265.2433319164</c:v>
                </c:pt>
                <c:pt idx="8">
                  <c:v>219535.06345451681</c:v>
                </c:pt>
                <c:pt idx="9">
                  <c:v>235347.46601802181</c:v>
                </c:pt>
              </c:numCache>
            </c:numRef>
          </c:val>
          <c:extLst>
            <c:ext xmlns:c16="http://schemas.microsoft.com/office/drawing/2014/chart" uri="{C3380CC4-5D6E-409C-BE32-E72D297353CC}">
              <c16:uniqueId val="{00000007-6A1B-43B0-AF7B-454660B689E0}"/>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2372709847445362"/>
          <c:w val="0.79973806443103357"/>
          <c:h val="0.62291329765118042"/>
        </c:manualLayout>
      </c:layout>
      <c:areaChart>
        <c:grouping val="stacked"/>
        <c:varyColors val="0"/>
        <c:ser>
          <c:idx val="0"/>
          <c:order val="0"/>
          <c:tx>
            <c:strRef>
              <c:f>DTE_demand_forecast!$B$75</c:f>
              <c:strCache>
                <c:ptCount val="1"/>
                <c:pt idx="0">
                  <c:v>Existing</c:v>
                </c:pt>
              </c:strCache>
            </c:strRef>
          </c:tx>
          <c:spPr>
            <a:solidFill>
              <a:schemeClr val="accent1"/>
            </a:solidFill>
            <a:ln>
              <a:noFill/>
            </a:ln>
            <a:effectLst/>
          </c:spPr>
          <c:cat>
            <c:numRef>
              <c:f>DTE_demand_forecast!$C$74:$L$74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DTE_demand_forecast!$C$75:$L$75</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E034-4B15-826E-CE5AEB312A10}"/>
            </c:ext>
          </c:extLst>
        </c:ser>
        <c:ser>
          <c:idx val="1"/>
          <c:order val="1"/>
          <c:tx>
            <c:strRef>
              <c:f>DTE_demand_forecast!$B$76</c:f>
              <c:strCache>
                <c:ptCount val="1"/>
                <c:pt idx="0">
                  <c:v>Replacement</c:v>
                </c:pt>
              </c:strCache>
            </c:strRef>
          </c:tx>
          <c:spPr>
            <a:solidFill>
              <a:schemeClr val="accent2"/>
            </a:solidFill>
            <a:ln>
              <a:noFill/>
            </a:ln>
            <a:effectLst/>
          </c:spPr>
          <c:cat>
            <c:numRef>
              <c:f>DTE_demand_forecast!$C$74:$L$74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DTE_demand_forecast!$C$76:$L$76</c:f>
              <c:numCache>
                <c:formatCode>0</c:formatCode>
                <c:ptCount val="10"/>
                <c:pt idx="0">
                  <c:v>42549.109198595244</c:v>
                </c:pt>
                <c:pt idx="1">
                  <c:v>227686.89209626763</c:v>
                </c:pt>
                <c:pt idx="2">
                  <c:v>293941.17307242914</c:v>
                </c:pt>
                <c:pt idx="3">
                  <c:v>426456.42317511037</c:v>
                </c:pt>
                <c:pt idx="4">
                  <c:v>568453.76621577819</c:v>
                </c:pt>
                <c:pt idx="5">
                  <c:v>813928.51793756511</c:v>
                </c:pt>
                <c:pt idx="6">
                  <c:v>968255.32779114705</c:v>
                </c:pt>
                <c:pt idx="7">
                  <c:v>1097827.3878881005</c:v>
                </c:pt>
                <c:pt idx="8">
                  <c:v>1169766.4367408783</c:v>
                </c:pt>
                <c:pt idx="9">
                  <c:v>1244143.9165926122</c:v>
                </c:pt>
              </c:numCache>
            </c:numRef>
          </c:val>
          <c:extLst>
            <c:ext xmlns:c16="http://schemas.microsoft.com/office/drawing/2014/chart" uri="{C3380CC4-5D6E-409C-BE32-E72D297353CC}">
              <c16:uniqueId val="{00000001-E034-4B15-826E-CE5AEB312A10}"/>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2089611978586276"/>
          <c:w val="0.79011781286457805"/>
          <c:h val="0.62574445440032023"/>
        </c:manualLayout>
      </c:layout>
      <c:areaChart>
        <c:grouping val="stacked"/>
        <c:varyColors val="0"/>
        <c:ser>
          <c:idx val="0"/>
          <c:order val="0"/>
          <c:tx>
            <c:strRef>
              <c:f>DTE_demand_forecast!$B$154</c:f>
              <c:strCache>
                <c:ptCount val="1"/>
                <c:pt idx="0">
                  <c:v>Existing</c:v>
                </c:pt>
              </c:strCache>
            </c:strRef>
          </c:tx>
          <c:spPr>
            <a:solidFill>
              <a:schemeClr val="accent1"/>
            </a:solidFill>
            <a:ln>
              <a:noFill/>
            </a:ln>
            <a:effectLst/>
          </c:spPr>
          <c:cat>
            <c:numRef>
              <c:f>DTE_demand_forecast!$C$153:$L$153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DTE_demand_forecast!$C$154:$L$154</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AE0A-4EC2-8C5A-0732738705C7}"/>
            </c:ext>
          </c:extLst>
        </c:ser>
        <c:ser>
          <c:idx val="1"/>
          <c:order val="1"/>
          <c:tx>
            <c:strRef>
              <c:f>DTE_demand_forecast!$B$155</c:f>
              <c:strCache>
                <c:ptCount val="1"/>
                <c:pt idx="0">
                  <c:v>Replacement</c:v>
                </c:pt>
              </c:strCache>
            </c:strRef>
          </c:tx>
          <c:spPr>
            <a:solidFill>
              <a:schemeClr val="accent2"/>
            </a:solidFill>
            <a:ln>
              <a:noFill/>
            </a:ln>
            <a:effectLst/>
          </c:spPr>
          <c:cat>
            <c:numRef>
              <c:f>DTE_demand_forecast!$C$153:$L$153</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DTE_demand_forecast!$C$155:$L$155</c:f>
              <c:numCache>
                <c:formatCode>0</c:formatCode>
                <c:ptCount val="10"/>
                <c:pt idx="0">
                  <c:v>124918.11640279366</c:v>
                </c:pt>
                <c:pt idx="1">
                  <c:v>393555.44743469905</c:v>
                </c:pt>
                <c:pt idx="2">
                  <c:v>539323.30476090929</c:v>
                </c:pt>
                <c:pt idx="3">
                  <c:v>776724.28006873839</c:v>
                </c:pt>
                <c:pt idx="4">
                  <c:v>1015045.2837551539</c:v>
                </c:pt>
                <c:pt idx="5">
                  <c:v>1360556.5354057609</c:v>
                </c:pt>
                <c:pt idx="6">
                  <c:v>1618742.6685783002</c:v>
                </c:pt>
                <c:pt idx="7">
                  <c:v>1856109.7737199813</c:v>
                </c:pt>
                <c:pt idx="8">
                  <c:v>2039895.4744829619</c:v>
                </c:pt>
                <c:pt idx="9">
                  <c:v>2230290.1593669737</c:v>
                </c:pt>
              </c:numCache>
            </c:numRef>
          </c:val>
          <c:extLst>
            <c:ext xmlns:c16="http://schemas.microsoft.com/office/drawing/2014/chart" uri="{C3380CC4-5D6E-409C-BE32-E72D297353CC}">
              <c16:uniqueId val="{00000001-AE0A-4EC2-8C5A-0732738705C7}"/>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Demand Forecast by Replacement Rate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4349368027282"/>
          <c:y val="0.12915812437152976"/>
          <c:w val="0.79011781286457805"/>
          <c:h val="0.62664906682076871"/>
        </c:manualLayout>
      </c:layout>
      <c:areaChart>
        <c:grouping val="stacked"/>
        <c:varyColors val="0"/>
        <c:ser>
          <c:idx val="0"/>
          <c:order val="0"/>
          <c:tx>
            <c:strRef>
              <c:f>DTE_demand_forecast!$B$233</c:f>
              <c:strCache>
                <c:ptCount val="1"/>
                <c:pt idx="0">
                  <c:v>Existing</c:v>
                </c:pt>
              </c:strCache>
            </c:strRef>
          </c:tx>
          <c:spPr>
            <a:solidFill>
              <a:schemeClr val="accent1"/>
            </a:solidFill>
            <a:ln>
              <a:noFill/>
            </a:ln>
            <a:effectLst/>
          </c:spPr>
          <c:cat>
            <c:numRef>
              <c:f>DTE_demand_forecast!$C$232:$L$232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DTE_demand_forecast!$C$233:$L$233</c:f>
              <c:numCache>
                <c:formatCode>0.00</c:formatCode>
                <c:ptCount val="10"/>
                <c:pt idx="0">
                  <c:v>1752490.7143116661</c:v>
                </c:pt>
                <c:pt idx="1">
                  <c:v>1484345.8994103172</c:v>
                </c:pt>
                <c:pt idx="2">
                  <c:v>1340904.3555357142</c:v>
                </c:pt>
                <c:pt idx="3">
                  <c:v>1077474.1436682539</c:v>
                </c:pt>
                <c:pt idx="4">
                  <c:v>1075186.4077471427</c:v>
                </c:pt>
                <c:pt idx="5">
                  <c:v>936868.51792507921</c:v>
                </c:pt>
                <c:pt idx="6">
                  <c:v>801695.03898690466</c:v>
                </c:pt>
                <c:pt idx="7">
                  <c:v>797898.18758468248</c:v>
                </c:pt>
                <c:pt idx="8">
                  <c:v>797898.18758468248</c:v>
                </c:pt>
                <c:pt idx="9">
                  <c:v>797898.18758468248</c:v>
                </c:pt>
              </c:numCache>
            </c:numRef>
          </c:val>
          <c:extLst>
            <c:ext xmlns:c16="http://schemas.microsoft.com/office/drawing/2014/chart" uri="{C3380CC4-5D6E-409C-BE32-E72D297353CC}">
              <c16:uniqueId val="{00000000-5ACF-43DD-9197-92DBA9E715B1}"/>
            </c:ext>
          </c:extLst>
        </c:ser>
        <c:ser>
          <c:idx val="1"/>
          <c:order val="1"/>
          <c:tx>
            <c:strRef>
              <c:f>DTE_demand_forecast!$B$234</c:f>
              <c:strCache>
                <c:ptCount val="1"/>
                <c:pt idx="0">
                  <c:v>Replacement</c:v>
                </c:pt>
              </c:strCache>
            </c:strRef>
          </c:tx>
          <c:spPr>
            <a:solidFill>
              <a:schemeClr val="accent2"/>
            </a:solidFill>
            <a:ln>
              <a:noFill/>
            </a:ln>
            <a:effectLst/>
          </c:spPr>
          <c:cat>
            <c:numRef>
              <c:f>DTE_demand_forecast!$C$232:$L$232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DTE_demand_forecast!$C$234:$L$234</c:f>
              <c:numCache>
                <c:formatCode>0</c:formatCode>
                <c:ptCount val="10"/>
                <c:pt idx="0">
                  <c:v>190271.8260856508</c:v>
                </c:pt>
                <c:pt idx="1">
                  <c:v>524712.79582959425</c:v>
                </c:pt>
                <c:pt idx="2">
                  <c:v>731597.28982577892</c:v>
                </c:pt>
                <c:pt idx="3">
                  <c:v>1054765.0575542564</c:v>
                </c:pt>
                <c:pt idx="4">
                  <c:v>1369547.2750491893</c:v>
                </c:pt>
                <c:pt idx="5">
                  <c:v>1794466.97274966</c:v>
                </c:pt>
                <c:pt idx="6">
                  <c:v>2135096.0890175402</c:v>
                </c:pt>
                <c:pt idx="7">
                  <c:v>2458030.3324034382</c:v>
                </c:pt>
                <c:pt idx="8">
                  <c:v>2730599.3155722287</c:v>
                </c:pt>
                <c:pt idx="9">
                  <c:v>3013087.8459348092</c:v>
                </c:pt>
              </c:numCache>
            </c:numRef>
          </c:val>
          <c:extLst>
            <c:ext xmlns:c16="http://schemas.microsoft.com/office/drawing/2014/chart" uri="{C3380CC4-5D6E-409C-BE32-E72D297353CC}">
              <c16:uniqueId val="{00000001-5ACF-43DD-9197-92DBA9E715B1}"/>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13607174004283"/>
          <c:w val="0.79973806443103357"/>
          <c:h val="0.63303334152795787"/>
        </c:manualLayout>
      </c:layout>
      <c:areaChart>
        <c:grouping val="stacked"/>
        <c:varyColors val="0"/>
        <c:ser>
          <c:idx val="0"/>
          <c:order val="0"/>
          <c:tx>
            <c:strRef>
              <c:f>SR_demand_forecast!$B$69</c:f>
              <c:strCache>
                <c:ptCount val="1"/>
                <c:pt idx="0">
                  <c:v>Existing</c:v>
                </c:pt>
              </c:strCache>
            </c:strRef>
          </c:tx>
          <c:spPr>
            <a:solidFill>
              <a:schemeClr val="accent1"/>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SR_demand_forecast!$D$69:$M$69</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DD7A-45B7-A8B5-D2D1A9DDA4EB}"/>
            </c:ext>
          </c:extLst>
        </c:ser>
        <c:ser>
          <c:idx val="1"/>
          <c:order val="1"/>
          <c:tx>
            <c:strRef>
              <c:f>SR_demand_forecast!$B$70</c:f>
              <c:strCache>
                <c:ptCount val="1"/>
                <c:pt idx="0">
                  <c:v>Replacement</c:v>
                </c:pt>
              </c:strCache>
            </c:strRef>
          </c:tx>
          <c:spPr>
            <a:solidFill>
              <a:schemeClr val="accent2"/>
            </a:solidFill>
            <a:ln>
              <a:noFill/>
            </a:ln>
            <a:effectLst/>
          </c:spPr>
          <c:cat>
            <c:numRef>
              <c:f>SR_demand_forecast!$D$68:$M$68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SR_demand_forecast!$D$70:$M$70</c:f>
              <c:numCache>
                <c:formatCode>_(* #,##0_);_(* \(#,##0\);_(* "-"??_);_(@_)</c:formatCode>
                <c:ptCount val="10"/>
                <c:pt idx="0">
                  <c:v>55813.723809523814</c:v>
                </c:pt>
                <c:pt idx="1">
                  <c:v>284342.90990476188</c:v>
                </c:pt>
                <c:pt idx="2">
                  <c:v>427332.66238285712</c:v>
                </c:pt>
                <c:pt idx="3">
                  <c:v>636675.25843097141</c:v>
                </c:pt>
                <c:pt idx="4">
                  <c:v>929400.83065861708</c:v>
                </c:pt>
                <c:pt idx="5">
                  <c:v>1267790.515345681</c:v>
                </c:pt>
                <c:pt idx="6">
                  <c:v>1581348.0578369431</c:v>
                </c:pt>
                <c:pt idx="7">
                  <c:v>1830323.005078417</c:v>
                </c:pt>
                <c:pt idx="8">
                  <c:v>1932324.1382700831</c:v>
                </c:pt>
                <c:pt idx="9">
                  <c:v>2037673.1875873851</c:v>
                </c:pt>
              </c:numCache>
            </c:numRef>
          </c:val>
          <c:extLst>
            <c:ext xmlns:c16="http://schemas.microsoft.com/office/drawing/2014/chart" uri="{C3380CC4-5D6E-409C-BE32-E72D297353CC}">
              <c16:uniqueId val="{00000001-DD7A-45B7-A8B5-D2D1A9DDA4EB}"/>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2547847415468397"/>
          <c:w val="0.79973806443103357"/>
          <c:h val="0.62116204137755693"/>
        </c:manualLayout>
      </c:layout>
      <c:areaChart>
        <c:grouping val="stacked"/>
        <c:varyColors val="0"/>
        <c:ser>
          <c:idx val="0"/>
          <c:order val="0"/>
          <c:tx>
            <c:strRef>
              <c:f>SR_demand_forecast!$B$142</c:f>
              <c:strCache>
                <c:ptCount val="1"/>
                <c:pt idx="0">
                  <c:v>Existing</c:v>
                </c:pt>
              </c:strCache>
            </c:strRef>
          </c:tx>
          <c:spPr>
            <a:solidFill>
              <a:schemeClr val="accent1"/>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SR_demand_forecast!$D$142:$M$142</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183B-4586-B7EE-7105FC46AE4C}"/>
            </c:ext>
          </c:extLst>
        </c:ser>
        <c:ser>
          <c:idx val="1"/>
          <c:order val="1"/>
          <c:tx>
            <c:strRef>
              <c:f>SR_demand_forecast!$B$143</c:f>
              <c:strCache>
                <c:ptCount val="1"/>
                <c:pt idx="0">
                  <c:v>Replacement</c:v>
                </c:pt>
              </c:strCache>
            </c:strRef>
          </c:tx>
          <c:spPr>
            <a:solidFill>
              <a:schemeClr val="accent2"/>
            </a:solidFill>
            <a:ln>
              <a:noFill/>
            </a:ln>
            <a:effectLst/>
          </c:spPr>
          <c:cat>
            <c:numRef>
              <c:f>SR_demand_forecast!$D$141:$M$141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SR_demand_forecast!$D$143:$M$143</c:f>
              <c:numCache>
                <c:formatCode>_(* #,##0_);_(* \(#,##0\);_(* "-"??_);_(@_)</c:formatCode>
                <c:ptCount val="10"/>
                <c:pt idx="0">
                  <c:v>148225.80396825398</c:v>
                </c:pt>
                <c:pt idx="1">
                  <c:v>472863.55342857138</c:v>
                </c:pt>
                <c:pt idx="2">
                  <c:v>715769.24697428569</c:v>
                </c:pt>
                <c:pt idx="3">
                  <c:v>1028949.0134753144</c:v>
                </c:pt>
                <c:pt idx="4">
                  <c:v>1429549.8683401546</c:v>
                </c:pt>
                <c:pt idx="5">
                  <c:v>1879972.9374678824</c:v>
                </c:pt>
                <c:pt idx="6">
                  <c:v>2309845.1401623632</c:v>
                </c:pt>
                <c:pt idx="7">
                  <c:v>2679542.4610463344</c:v>
                </c:pt>
                <c:pt idx="8">
                  <c:v>2906803.463993269</c:v>
                </c:pt>
                <c:pt idx="9">
                  <c:v>3142083.0900736623</c:v>
                </c:pt>
              </c:numCache>
            </c:numRef>
          </c:val>
          <c:extLst>
            <c:ext xmlns:c16="http://schemas.microsoft.com/office/drawing/2014/chart" uri="{C3380CC4-5D6E-409C-BE32-E72D297353CC}">
              <c16:uniqueId val="{00000001-183B-4586-B7EE-7105FC46AE4C}"/>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Demand Forecast by Replacement Rate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81468523627276"/>
          <c:y val="0.13431850488153407"/>
          <c:w val="0.79973806443103357"/>
          <c:h val="0.61232210446276902"/>
        </c:manualLayout>
      </c:layout>
      <c:areaChart>
        <c:grouping val="stacked"/>
        <c:varyColors val="0"/>
        <c:ser>
          <c:idx val="0"/>
          <c:order val="0"/>
          <c:tx>
            <c:strRef>
              <c:f>SR_demand_forecast!$B$215</c:f>
              <c:strCache>
                <c:ptCount val="1"/>
                <c:pt idx="0">
                  <c:v>Existing</c:v>
                </c:pt>
              </c:strCache>
            </c:strRef>
          </c:tx>
          <c:spPr>
            <a:solidFill>
              <a:schemeClr val="accent1"/>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SR_demand_forecast!$D$215:$M$215</c:f>
              <c:numCache>
                <c:formatCode>_(* #,##0_);_(* \(#,##0\);_(* "-"??_);_(@_)</c:formatCode>
                <c:ptCount val="10"/>
                <c:pt idx="0">
                  <c:v>1676114.912698413</c:v>
                </c:pt>
                <c:pt idx="1">
                  <c:v>1442274.4126984125</c:v>
                </c:pt>
                <c:pt idx="2">
                  <c:v>1435181.5555555555</c:v>
                </c:pt>
                <c:pt idx="3">
                  <c:v>1301780.7777777778</c:v>
                </c:pt>
                <c:pt idx="4">
                  <c:v>1131886.1666666667</c:v>
                </c:pt>
                <c:pt idx="5">
                  <c:v>898045.66666666674</c:v>
                </c:pt>
                <c:pt idx="6">
                  <c:v>697944.49999999988</c:v>
                </c:pt>
                <c:pt idx="7">
                  <c:v>564543.72222222225</c:v>
                </c:pt>
                <c:pt idx="8">
                  <c:v>564543.72222222225</c:v>
                </c:pt>
                <c:pt idx="9">
                  <c:v>564543.72222222225</c:v>
                </c:pt>
              </c:numCache>
            </c:numRef>
          </c:val>
          <c:extLst>
            <c:ext xmlns:c16="http://schemas.microsoft.com/office/drawing/2014/chart" uri="{C3380CC4-5D6E-409C-BE32-E72D297353CC}">
              <c16:uniqueId val="{00000000-F1DE-4561-9B8B-6F64C8E237FD}"/>
            </c:ext>
          </c:extLst>
        </c:ser>
        <c:ser>
          <c:idx val="1"/>
          <c:order val="1"/>
          <c:tx>
            <c:strRef>
              <c:f>SR_demand_forecast!$B$216</c:f>
              <c:strCache>
                <c:ptCount val="1"/>
                <c:pt idx="0">
                  <c:v>Replacement</c:v>
                </c:pt>
              </c:strCache>
            </c:strRef>
          </c:tx>
          <c:spPr>
            <a:solidFill>
              <a:schemeClr val="accent2"/>
            </a:solidFill>
            <a:ln>
              <a:noFill/>
            </a:ln>
            <a:effectLst/>
          </c:spPr>
          <c:cat>
            <c:numRef>
              <c:f>SR_demand_forecast!$D$214:$M$214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SR_demand_forecast!$D$216:$M$216</c:f>
              <c:numCache>
                <c:formatCode>_(* #,##0_);_(* \(#,##0\);_(* "-"??_);_(@_)</c:formatCode>
                <c:ptCount val="10"/>
                <c:pt idx="0">
                  <c:v>229157.0126984127</c:v>
                </c:pt>
                <c:pt idx="1">
                  <c:v>637963.21923809522</c:v>
                </c:pt>
                <c:pt idx="2">
                  <c:v>968371.73566285719</c:v>
                </c:pt>
                <c:pt idx="3">
                  <c:v>1372488.3980917714</c:v>
                </c:pt>
                <c:pt idx="4">
                  <c:v>1867562.5837261372</c:v>
                </c:pt>
                <c:pt idx="5">
                  <c:v>2416100.5011003255</c:v>
                </c:pt>
                <c:pt idx="6">
                  <c:v>2947836.9408849701</c:v>
                </c:pt>
                <c:pt idx="7">
                  <c:v>3423258.6173172593</c:v>
                </c:pt>
                <c:pt idx="8">
                  <c:v>3760217.7533141556</c:v>
                </c:pt>
                <c:pt idx="9">
                  <c:v>4109285.9513040003</c:v>
                </c:pt>
              </c:numCache>
            </c:numRef>
          </c:val>
          <c:extLst>
            <c:ext xmlns:c16="http://schemas.microsoft.com/office/drawing/2014/chart" uri="{C3380CC4-5D6E-409C-BE32-E72D297353CC}">
              <c16:uniqueId val="{00000001-F1DE-4561-9B8B-6F64C8E237FD}"/>
            </c:ext>
          </c:extLst>
        </c:ser>
        <c:dLbls>
          <c:showLegendKey val="0"/>
          <c:showVal val="0"/>
          <c:showCatName val="0"/>
          <c:showSerName val="0"/>
          <c:showPercent val="0"/>
          <c:showBubbleSize val="0"/>
        </c:dLbls>
        <c:axId val="1043470975"/>
        <c:axId val="1043473471"/>
      </c:areaChart>
      <c:catAx>
        <c:axId val="10434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3471"/>
        <c:crosses val="autoZero"/>
        <c:auto val="1"/>
        <c:lblAlgn val="ctr"/>
        <c:lblOffset val="100"/>
        <c:noMultiLvlLbl val="0"/>
      </c:catAx>
      <c:valAx>
        <c:axId val="104347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47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(20%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DTE_cost_per_minute_forecast!$B$3</c:f>
              <c:strCache>
                <c:ptCount val="1"/>
                <c:pt idx="0">
                  <c:v>Human Space Flight</c:v>
                </c:pt>
              </c:strCache>
            </c:strRef>
          </c:tx>
          <c:spPr>
            <a:solidFill>
              <a:schemeClr val="accent1"/>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DTE_cost_per_minute_forecast!$C$3:$L$3</c:f>
              <c:numCache>
                <c:formatCode>_(* #,##0_);_(* \(#,##0\);_(* "-"??_);_(@_)</c:formatCode>
                <c:ptCount val="10"/>
                <c:pt idx="0">
                  <c:v>5266253.7613726491</c:v>
                </c:pt>
                <c:pt idx="1">
                  <c:v>5396145.8366075391</c:v>
                </c:pt>
                <c:pt idx="2">
                  <c:v>5524051.5970337503</c:v>
                </c:pt>
                <c:pt idx="3">
                  <c:v>5675479.7374030109</c:v>
                </c:pt>
                <c:pt idx="4">
                  <c:v>5823536.7233079234</c:v>
                </c:pt>
                <c:pt idx="5">
                  <c:v>5977300.6330331704</c:v>
                </c:pt>
                <c:pt idx="6">
                  <c:v>6136940.5207372047</c:v>
                </c:pt>
                <c:pt idx="7">
                  <c:v>6302629.9199752854</c:v>
                </c:pt>
                <c:pt idx="8">
                  <c:v>6474546.9552536942</c:v>
                </c:pt>
                <c:pt idx="9">
                  <c:v>6652874.4562543491</c:v>
                </c:pt>
              </c:numCache>
            </c:numRef>
          </c:val>
          <c:extLst>
            <c:ext xmlns:c16="http://schemas.microsoft.com/office/drawing/2014/chart" uri="{C3380CC4-5D6E-409C-BE32-E72D297353CC}">
              <c16:uniqueId val="{00000000-E37B-482F-8EEC-BBD0600E62FD}"/>
            </c:ext>
          </c:extLst>
        </c:ser>
        <c:ser>
          <c:idx val="1"/>
          <c:order val="1"/>
          <c:tx>
            <c:strRef>
              <c:f>DTE_cost_per_minute_forecast!$B$4</c:f>
              <c:strCache>
                <c:ptCount val="1"/>
                <c:pt idx="0">
                  <c:v>Near Earth Robotic - LEO Science</c:v>
                </c:pt>
              </c:strCache>
            </c:strRef>
          </c:tx>
          <c:spPr>
            <a:solidFill>
              <a:schemeClr val="accent2"/>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DTE_cost_per_minute_forecast!$C$4:$L$4</c:f>
              <c:numCache>
                <c:formatCode>_(* #,##0_);_(* \(#,##0\);_(* "-"??_);_(@_)</c:formatCode>
                <c:ptCount val="10"/>
                <c:pt idx="0">
                  <c:v>7134558.5316221351</c:v>
                </c:pt>
                <c:pt idx="1">
                  <c:v>5643395.9707023008</c:v>
                </c:pt>
                <c:pt idx="2">
                  <c:v>4840121.7927344553</c:v>
                </c:pt>
                <c:pt idx="3">
                  <c:v>3625966.2094019167</c:v>
                </c:pt>
                <c:pt idx="4">
                  <c:v>4407686.9161707535</c:v>
                </c:pt>
                <c:pt idx="5">
                  <c:v>4225168.4273267239</c:v>
                </c:pt>
                <c:pt idx="6">
                  <c:v>4087841.2909984756</c:v>
                </c:pt>
                <c:pt idx="7">
                  <c:v>4728691.5447814511</c:v>
                </c:pt>
                <c:pt idx="8">
                  <c:v>4961251.5480399942</c:v>
                </c:pt>
                <c:pt idx="9">
                  <c:v>5201231.7537371367</c:v>
                </c:pt>
              </c:numCache>
            </c:numRef>
          </c:val>
          <c:extLst>
            <c:ext xmlns:c16="http://schemas.microsoft.com/office/drawing/2014/chart" uri="{C3380CC4-5D6E-409C-BE32-E72D297353CC}">
              <c16:uniqueId val="{00000001-E37B-482F-8EEC-BBD0600E62FD}"/>
            </c:ext>
          </c:extLst>
        </c:ser>
        <c:ser>
          <c:idx val="2"/>
          <c:order val="2"/>
          <c:tx>
            <c:strRef>
              <c:f>DTE_cost_per_minute_forecast!$B$5</c:f>
              <c:strCache>
                <c:ptCount val="1"/>
                <c:pt idx="0">
                  <c:v>Near Earth Robotic - GEO and Near Earth</c:v>
                </c:pt>
              </c:strCache>
            </c:strRef>
          </c:tx>
          <c:spPr>
            <a:solidFill>
              <a:schemeClr val="accent3"/>
            </a:solidFill>
            <a:ln>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DTE_cost_per_minute_forecast!$C$5:$L$5</c:f>
              <c:numCache>
                <c:formatCode>_(* #,##0_);_(* \(#,##0\);_(* "-"??_);_(@_)</c:formatCode>
                <c:ptCount val="10"/>
                <c:pt idx="0">
                  <c:v>115561.9020300845</c:v>
                </c:pt>
                <c:pt idx="1">
                  <c:v>119021.20360703395</c:v>
                </c:pt>
                <c:pt idx="2">
                  <c:v>139018.85043427174</c:v>
                </c:pt>
                <c:pt idx="3">
                  <c:v>143891.69386752089</c:v>
                </c:pt>
                <c:pt idx="4">
                  <c:v>148929.16038973114</c:v>
                </c:pt>
                <c:pt idx="5">
                  <c:v>154135.8857870877</c:v>
                </c:pt>
                <c:pt idx="6">
                  <c:v>159516.62542798746</c:v>
                </c:pt>
                <c:pt idx="7">
                  <c:v>165076.25719201317</c:v>
                </c:pt>
                <c:pt idx="8">
                  <c:v>170819.78446823367</c:v>
                </c:pt>
                <c:pt idx="9">
                  <c:v>176752.33922443102</c:v>
                </c:pt>
              </c:numCache>
            </c:numRef>
          </c:val>
          <c:extLst>
            <c:ext xmlns:c16="http://schemas.microsoft.com/office/drawing/2014/chart" uri="{C3380CC4-5D6E-409C-BE32-E72D297353CC}">
              <c16:uniqueId val="{00000002-E37B-482F-8EEC-BBD0600E62FD}"/>
            </c:ext>
          </c:extLst>
        </c:ser>
        <c:ser>
          <c:idx val="3"/>
          <c:order val="3"/>
          <c:tx>
            <c:strRef>
              <c:f>DTE_cost_per_minute_forecast!$B$6</c:f>
              <c:strCache>
                <c:ptCount val="1"/>
                <c:pt idx="0">
                  <c:v>Deep Space Robotic</c:v>
                </c:pt>
              </c:strCache>
            </c:strRef>
          </c:tx>
          <c:spPr>
            <a:solidFill>
              <a:schemeClr val="accent4"/>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DTE_cost_per_minute_forecast!$C$6:$L$6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37B-482F-8EEC-BBD0600E62FD}"/>
            </c:ext>
          </c:extLst>
        </c:ser>
        <c:ser>
          <c:idx val="4"/>
          <c:order val="4"/>
          <c:tx>
            <c:strRef>
              <c:f>DTE_cost_per_minute_forecast!$B$7</c:f>
              <c:strCache>
                <c:ptCount val="1"/>
                <c:pt idx="0">
                  <c:v>Near Earth Robotic - Low Latency &amp; Complex Needs</c:v>
                </c:pt>
              </c:strCache>
            </c:strRef>
          </c:tx>
          <c:spPr>
            <a:solidFill>
              <a:schemeClr val="accent5"/>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DTE_cost_per_minute_forecast!$C$7:$L$7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37B-482F-8EEC-BBD0600E62FD}"/>
            </c:ext>
          </c:extLst>
        </c:ser>
        <c:ser>
          <c:idx val="5"/>
          <c:order val="5"/>
          <c:tx>
            <c:strRef>
              <c:f>DTE_cost_per_minute_forecast!$B$8</c:f>
              <c:strCache>
                <c:ptCount val="1"/>
                <c:pt idx="0">
                  <c:v>Mission Operations</c:v>
                </c:pt>
              </c:strCache>
            </c:strRef>
          </c:tx>
          <c:spPr>
            <a:solidFill>
              <a:schemeClr val="accent6"/>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DTE_cost_per_minute_forecast!$C$8:$L$8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37B-482F-8EEC-BBD0600E62FD}"/>
            </c:ext>
          </c:extLst>
        </c:ser>
        <c:ser>
          <c:idx val="6"/>
          <c:order val="6"/>
          <c:tx>
            <c:strRef>
              <c:f>DTE_cost_per_minute_forecast!$B$9</c:f>
              <c:strCache>
                <c:ptCount val="1"/>
                <c:pt idx="0">
                  <c:v>Launch Events</c:v>
                </c:pt>
              </c:strCache>
            </c:strRef>
          </c:tx>
          <c:spPr>
            <a:solidFill>
              <a:schemeClr val="accent1">
                <a:lumMod val="60000"/>
              </a:schemeClr>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DTE_cost_per_minute_forecast!$C$9:$L$9</c:f>
              <c:numCache>
                <c:formatCode>_(* #,##0_);_(* \(#,##0\);_(* "-"??_);_(@_)</c:formatCode>
                <c:ptCount val="10"/>
                <c:pt idx="0">
                  <c:v>11953.661957921875</c:v>
                </c:pt>
                <c:pt idx="1">
                  <c:v>13352.362462041781</c:v>
                </c:pt>
                <c:pt idx="2">
                  <c:v>14124.494776633574</c:v>
                </c:pt>
                <c:pt idx="3">
                  <c:v>15449.256060921489</c:v>
                </c:pt>
                <c:pt idx="4">
                  <c:v>22202.048117829443</c:v>
                </c:pt>
                <c:pt idx="5">
                  <c:v>23609.98340916395</c:v>
                </c:pt>
                <c:pt idx="6">
                  <c:v>25069.619930868772</c:v>
                </c:pt>
                <c:pt idx="7">
                  <c:v>26582.462558042182</c:v>
                </c:pt>
                <c:pt idx="8">
                  <c:v>28150.055680294252</c:v>
                </c:pt>
                <c:pt idx="9">
                  <c:v>29773.984180377258</c:v>
                </c:pt>
              </c:numCache>
            </c:numRef>
          </c:val>
          <c:extLst>
            <c:ext xmlns:c16="http://schemas.microsoft.com/office/drawing/2014/chart" uri="{C3380CC4-5D6E-409C-BE32-E72D297353CC}">
              <c16:uniqueId val="{00000006-E37B-482F-8EEC-BBD0600E62FD}"/>
            </c:ext>
          </c:extLst>
        </c:ser>
        <c:ser>
          <c:idx val="7"/>
          <c:order val="7"/>
          <c:tx>
            <c:strRef>
              <c:f>DTE_cost_per_minute_forecast!$B$10</c:f>
              <c:strCache>
                <c:ptCount val="1"/>
                <c:pt idx="0">
                  <c:v>Terrestrial &amp; Aerial</c:v>
                </c:pt>
              </c:strCache>
            </c:strRef>
          </c:tx>
          <c:spPr>
            <a:solidFill>
              <a:schemeClr val="accent2">
                <a:lumMod val="60000"/>
              </a:schemeClr>
            </a:solidFill>
            <a:ln w="25400">
              <a:noFill/>
            </a:ln>
            <a:effectLst/>
          </c:spP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DTE_cost_per_minute_forecast!$C$10:$L$10</c:f>
              <c:numCache>
                <c:formatCode>_(* #,##0_);_(* \(#,##0\);_(* "-"??_);_(@_)</c:formatCode>
                <c:ptCount val="10"/>
                <c:pt idx="0">
                  <c:v>737662.31931266899</c:v>
                </c:pt>
                <c:pt idx="1">
                  <c:v>1481414.3388875264</c:v>
                </c:pt>
                <c:pt idx="2">
                  <c:v>1565929.8106459551</c:v>
                </c:pt>
                <c:pt idx="3">
                  <c:v>1654048.9914519696</c:v>
                </c:pt>
                <c:pt idx="4">
                  <c:v>1745277.6704628379</c:v>
                </c:pt>
                <c:pt idx="5">
                  <c:v>2559569.5973440292</c:v>
                </c:pt>
                <c:pt idx="6">
                  <c:v>2672006.5582440887</c:v>
                </c:pt>
                <c:pt idx="7">
                  <c:v>2788181.6830390068</c:v>
                </c:pt>
                <c:pt idx="8">
                  <c:v>2908199.5235002195</c:v>
                </c:pt>
                <c:pt idx="9">
                  <c:v>3032167.3182044588</c:v>
                </c:pt>
              </c:numCache>
            </c:numRef>
          </c:val>
          <c:extLst>
            <c:ext xmlns:c16="http://schemas.microsoft.com/office/drawing/2014/chart" uri="{C3380CC4-5D6E-409C-BE32-E72D297353CC}">
              <c16:uniqueId val="{00000007-E37B-482F-8EEC-BBD0600E62F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a:t>
            </a:r>
            <a:r>
              <a:rPr lang="en-US" baseline="0"/>
              <a:t> </a:t>
            </a:r>
            <a:r>
              <a:rPr lang="en-US"/>
              <a:t>(Low)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2655687866396"/>
          <c:y val="0.10605799289048519"/>
          <c:w val="0.84501691986272398"/>
          <c:h val="0.60682971253468532"/>
        </c:manualLayout>
      </c:layout>
      <c:areaChart>
        <c:grouping val="stacked"/>
        <c:varyColors val="0"/>
        <c:ser>
          <c:idx val="0"/>
          <c:order val="0"/>
          <c:tx>
            <c:strRef>
              <c:f>DTE_demand_forecast!$B$62</c:f>
              <c:strCache>
                <c:ptCount val="1"/>
                <c:pt idx="0">
                  <c:v>Human Space Flight</c:v>
                </c:pt>
              </c:strCache>
            </c:strRef>
          </c:tx>
          <c:spPr>
            <a:solidFill>
              <a:schemeClr val="accent1"/>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DTE_demand_forecast!$C$62:$L$62</c:f>
              <c:numCache>
                <c:formatCode>0</c:formatCode>
                <c:ptCount val="10"/>
                <c:pt idx="0">
                  <c:v>712382.49858094449</c:v>
                </c:pt>
                <c:pt idx="1">
                  <c:v>729953.40292672673</c:v>
                </c:pt>
                <c:pt idx="2">
                  <c:v>747255.61230061948</c:v>
                </c:pt>
                <c:pt idx="3">
                  <c:v>767739.76704890921</c:v>
                </c:pt>
                <c:pt idx="4">
                  <c:v>787767.89526501205</c:v>
                </c:pt>
                <c:pt idx="5">
                  <c:v>808568.01678689918</c:v>
                </c:pt>
                <c:pt idx="6">
                  <c:v>830163.00009551563</c:v>
                </c:pt>
                <c:pt idx="7">
                  <c:v>852576.31961372169</c:v>
                </c:pt>
                <c:pt idx="8">
                  <c:v>875832.07079657761</c:v>
                </c:pt>
                <c:pt idx="9">
                  <c:v>899954.98558286205</c:v>
                </c:pt>
              </c:numCache>
            </c:numRef>
          </c:val>
          <c:extLst>
            <c:ext xmlns:c16="http://schemas.microsoft.com/office/drawing/2014/chart" uri="{C3380CC4-5D6E-409C-BE32-E72D297353CC}">
              <c16:uniqueId val="{00000000-6C68-4877-AA88-42AD6F52C98D}"/>
            </c:ext>
          </c:extLst>
        </c:ser>
        <c:ser>
          <c:idx val="1"/>
          <c:order val="1"/>
          <c:tx>
            <c:strRef>
              <c:f>DTE_demand_forecast!$B$63</c:f>
              <c:strCache>
                <c:ptCount val="1"/>
                <c:pt idx="0">
                  <c:v>Near Earth Robotic - LEO Science</c:v>
                </c:pt>
              </c:strCache>
            </c:strRef>
          </c:tx>
          <c:spPr>
            <a:solidFill>
              <a:schemeClr val="accent2"/>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DTE_demand_forecast!$C$63:$L$63</c:f>
              <c:numCache>
                <c:formatCode>0</c:formatCode>
                <c:ptCount val="10"/>
                <c:pt idx="0">
                  <c:v>965113.88613833301</c:v>
                </c:pt>
                <c:pt idx="1">
                  <c:v>763399.6963037838</c:v>
                </c:pt>
                <c:pt idx="2">
                  <c:v>654738.30399800662</c:v>
                </c:pt>
                <c:pt idx="3">
                  <c:v>490495.70815792494</c:v>
                </c:pt>
                <c:pt idx="4">
                  <c:v>596241.49548878346</c:v>
                </c:pt>
                <c:pt idx="5">
                  <c:v>571551.65276346111</c:v>
                </c:pt>
                <c:pt idx="6">
                  <c:v>552974.98461692187</c:v>
                </c:pt>
                <c:pt idx="7">
                  <c:v>639664.78835458949</c:v>
                </c:pt>
                <c:pt idx="8">
                  <c:v>671123.90211900685</c:v>
                </c:pt>
                <c:pt idx="9">
                  <c:v>703586.76970781432</c:v>
                </c:pt>
              </c:numCache>
            </c:numRef>
          </c:val>
          <c:extLst>
            <c:ext xmlns:c16="http://schemas.microsoft.com/office/drawing/2014/chart" uri="{C3380CC4-5D6E-409C-BE32-E72D297353CC}">
              <c16:uniqueId val="{00000001-6C68-4877-AA88-42AD6F52C98D}"/>
            </c:ext>
          </c:extLst>
        </c:ser>
        <c:ser>
          <c:idx val="2"/>
          <c:order val="2"/>
          <c:tx>
            <c:strRef>
              <c:f>DTE_demand_forecast!$B$64</c:f>
              <c:strCache>
                <c:ptCount val="1"/>
                <c:pt idx="0">
                  <c:v>Near Earth Robotic - GEO and Near Earth</c:v>
                </c:pt>
              </c:strCache>
            </c:strRef>
          </c:tx>
          <c:spPr>
            <a:solidFill>
              <a:schemeClr val="accent3"/>
            </a:solidFill>
            <a:ln>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DTE_demand_forecast!$C$64:$L$64</c:f>
              <c:numCache>
                <c:formatCode>0</c:formatCode>
                <c:ptCount val="10"/>
                <c:pt idx="0">
                  <c:v>15632.417319650789</c:v>
                </c:pt>
                <c:pt idx="1">
                  <c:v>16100.367785465394</c:v>
                </c:pt>
                <c:pt idx="2">
                  <c:v>18805.511566613863</c:v>
                </c:pt>
                <c:pt idx="3">
                  <c:v>19464.676228528479</c:v>
                </c:pt>
                <c:pt idx="4">
                  <c:v>20146.109966859127</c:v>
                </c:pt>
                <c:pt idx="5">
                  <c:v>20850.43987879769</c:v>
                </c:pt>
                <c:pt idx="6">
                  <c:v>21578.309237793143</c:v>
                </c:pt>
                <c:pt idx="7">
                  <c:v>22330.377889762982</c:v>
                </c:pt>
                <c:pt idx="8">
                  <c:v>23107.322658682606</c:v>
                </c:pt>
                <c:pt idx="9">
                  <c:v>23909.837761769199</c:v>
                </c:pt>
              </c:numCache>
            </c:numRef>
          </c:val>
          <c:extLst>
            <c:ext xmlns:c16="http://schemas.microsoft.com/office/drawing/2014/chart" uri="{C3380CC4-5D6E-409C-BE32-E72D297353CC}">
              <c16:uniqueId val="{00000002-6C68-4877-AA88-42AD6F52C98D}"/>
            </c:ext>
          </c:extLst>
        </c:ser>
        <c:ser>
          <c:idx val="3"/>
          <c:order val="3"/>
          <c:tx>
            <c:strRef>
              <c:f>DTE_demand_forecast!$B$65</c:f>
              <c:strCache>
                <c:ptCount val="1"/>
                <c:pt idx="0">
                  <c:v>Deep Space Robotic</c:v>
                </c:pt>
              </c:strCache>
            </c:strRef>
          </c:tx>
          <c:spPr>
            <a:solidFill>
              <a:schemeClr val="accent4"/>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DTE_demand_forecast!$C$65:$L$65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C68-4877-AA88-42AD6F52C98D}"/>
            </c:ext>
          </c:extLst>
        </c:ser>
        <c:ser>
          <c:idx val="4"/>
          <c:order val="4"/>
          <c:tx>
            <c:strRef>
              <c:f>DTE_demand_forecast!$B$66</c:f>
              <c:strCache>
                <c:ptCount val="1"/>
                <c:pt idx="0">
                  <c:v>Near Earth Robotic - Low Latency &amp; Complex Needs</c:v>
                </c:pt>
              </c:strCache>
            </c:strRef>
          </c:tx>
          <c:spPr>
            <a:solidFill>
              <a:schemeClr val="accent5"/>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DTE_demand_forecast!$C$66:$L$66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C68-4877-AA88-42AD6F52C98D}"/>
            </c:ext>
          </c:extLst>
        </c:ser>
        <c:ser>
          <c:idx val="5"/>
          <c:order val="5"/>
          <c:tx>
            <c:strRef>
              <c:f>DTE_demand_forecast!$B$67</c:f>
              <c:strCache>
                <c:ptCount val="1"/>
                <c:pt idx="0">
                  <c:v>Mission Operations</c:v>
                </c:pt>
              </c:strCache>
            </c:strRef>
          </c:tx>
          <c:spPr>
            <a:solidFill>
              <a:schemeClr val="accent6"/>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DTE_demand_forecast!$C$67:$L$67</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C68-4877-AA88-42AD6F52C98D}"/>
            </c:ext>
          </c:extLst>
        </c:ser>
        <c:ser>
          <c:idx val="6"/>
          <c:order val="6"/>
          <c:tx>
            <c:strRef>
              <c:f>DTE_demand_forecast!$B$68</c:f>
              <c:strCache>
                <c:ptCount val="1"/>
                <c:pt idx="0">
                  <c:v>Launch Events</c:v>
                </c:pt>
              </c:strCache>
            </c:strRef>
          </c:tx>
          <c:spPr>
            <a:solidFill>
              <a:schemeClr val="accent1">
                <a:lumMod val="60000"/>
              </a:schemeClr>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DTE_demand_forecast!$C$68:$L$68</c:f>
              <c:numCache>
                <c:formatCode>0</c:formatCode>
                <c:ptCount val="10"/>
                <c:pt idx="0">
                  <c:v>1617.0089704444445</c:v>
                </c:pt>
                <c:pt idx="1">
                  <c:v>1806.2155307511111</c:v>
                </c:pt>
                <c:pt idx="2">
                  <c:v>1910.6642664991998</c:v>
                </c:pt>
                <c:pt idx="3">
                  <c:v>2089.868838950023</c:v>
                </c:pt>
                <c:pt idx="4">
                  <c:v>3003.339988628114</c:v>
                </c:pt>
                <c:pt idx="5">
                  <c:v>3193.7957672762996</c:v>
                </c:pt>
                <c:pt idx="6">
                  <c:v>3391.2453318945172</c:v>
                </c:pt>
                <c:pt idx="7">
                  <c:v>3595.8922516101075</c:v>
                </c:pt>
                <c:pt idx="8">
                  <c:v>3807.9454408011197</c:v>
                </c:pt>
                <c:pt idx="9">
                  <c:v>4027.6192914786843</c:v>
                </c:pt>
              </c:numCache>
            </c:numRef>
          </c:val>
          <c:extLst>
            <c:ext xmlns:c16="http://schemas.microsoft.com/office/drawing/2014/chart" uri="{C3380CC4-5D6E-409C-BE32-E72D297353CC}">
              <c16:uniqueId val="{00000006-6C68-4877-AA88-42AD6F52C98D}"/>
            </c:ext>
          </c:extLst>
        </c:ser>
        <c:ser>
          <c:idx val="7"/>
          <c:order val="7"/>
          <c:tx>
            <c:strRef>
              <c:f>DTE_demand_forecast!$B$69</c:f>
              <c:strCache>
                <c:ptCount val="1"/>
                <c:pt idx="0">
                  <c:v>Terrestrial &amp; Aerial</c:v>
                </c:pt>
              </c:strCache>
            </c:strRef>
          </c:tx>
          <c:spPr>
            <a:solidFill>
              <a:schemeClr val="accent2">
                <a:lumMod val="60000"/>
              </a:schemeClr>
            </a:solidFill>
            <a:ln w="25400">
              <a:noFill/>
            </a:ln>
            <a:effectLst/>
          </c:spPr>
          <c:cat>
            <c:numRef>
              <c:f>DTE_demand_forecast!$C$61:$L$61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DTE_demand_forecast!$C$69:$L$69</c:f>
              <c:numCache>
                <c:formatCode>0</c:formatCode>
                <c:ptCount val="10"/>
                <c:pt idx="0">
                  <c:v>99785.872453666685</c:v>
                </c:pt>
                <c:pt idx="1">
                  <c:v>200395.51757096895</c:v>
                </c:pt>
                <c:pt idx="2">
                  <c:v>211828.18786529289</c:v>
                </c:pt>
                <c:pt idx="3">
                  <c:v>223748.34307238497</c:v>
                </c:pt>
                <c:pt idx="4">
                  <c:v>236089.12975697152</c:v>
                </c:pt>
                <c:pt idx="5">
                  <c:v>346240.9271695434</c:v>
                </c:pt>
                <c:pt idx="6">
                  <c:v>361450.62399925996</c:v>
                </c:pt>
                <c:pt idx="7">
                  <c:v>377165.99386643193</c:v>
                </c:pt>
                <c:pt idx="8">
                  <c:v>393401.17981382587</c:v>
                </c:pt>
                <c:pt idx="9">
                  <c:v>410170.68833670364</c:v>
                </c:pt>
              </c:numCache>
            </c:numRef>
          </c:val>
          <c:extLst>
            <c:ext xmlns:c16="http://schemas.microsoft.com/office/drawing/2014/chart" uri="{C3380CC4-5D6E-409C-BE32-E72D297353CC}">
              <c16:uniqueId val="{00000007-6C68-4877-AA88-42AD6F52C98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4532445340563085"/>
        </c:manualLayout>
      </c:layout>
      <c:areaChart>
        <c:grouping val="stacked"/>
        <c:varyColors val="0"/>
        <c:ser>
          <c:idx val="0"/>
          <c:order val="0"/>
          <c:tx>
            <c:strRef>
              <c:f>DTE_cost_per_minute_forecast!$B$21</c:f>
              <c:strCache>
                <c:ptCount val="1"/>
                <c:pt idx="0">
                  <c:v>Human Space Flight</c:v>
                </c:pt>
              </c:strCache>
            </c:strRef>
          </c:tx>
          <c:spPr>
            <a:solidFill>
              <a:schemeClr val="accent1"/>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DTE_cost_per_minute_forecast!$C$21:$L$21</c:f>
              <c:numCache>
                <c:formatCode>_(* #,##0_);_(* \(#,##0\);_(* "-"??_);_(@_)</c:formatCode>
                <c:ptCount val="10"/>
                <c:pt idx="0">
                  <c:v>5646755.7739287838</c:v>
                </c:pt>
                <c:pt idx="1">
                  <c:v>6172369.9422220532</c:v>
                </c:pt>
                <c:pt idx="2">
                  <c:v>6711674.4786239574</c:v>
                </c:pt>
                <c:pt idx="3">
                  <c:v>7290646.8563656928</c:v>
                </c:pt>
                <c:pt idx="4">
                  <c:v>7882874.7999853427</c:v>
                </c:pt>
                <c:pt idx="5">
                  <c:v>8497930.4388863314</c:v>
                </c:pt>
                <c:pt idx="6">
                  <c:v>9136489.9897024669</c:v>
                </c:pt>
                <c:pt idx="7">
                  <c:v>9799247.5866547879</c:v>
                </c:pt>
                <c:pt idx="8">
                  <c:v>10486915.727768423</c:v>
                </c:pt>
                <c:pt idx="9">
                  <c:v>11200225.731771043</c:v>
                </c:pt>
              </c:numCache>
            </c:numRef>
          </c:val>
          <c:extLst>
            <c:ext xmlns:c16="http://schemas.microsoft.com/office/drawing/2014/chart" uri="{C3380CC4-5D6E-409C-BE32-E72D297353CC}">
              <c16:uniqueId val="{00000000-3B75-4D9C-94B3-06704F0D06B4}"/>
            </c:ext>
          </c:extLst>
        </c:ser>
        <c:ser>
          <c:idx val="1"/>
          <c:order val="1"/>
          <c:tx>
            <c:strRef>
              <c:f>DTE_cost_per_minute_forecast!$B$22</c:f>
              <c:strCache>
                <c:ptCount val="1"/>
                <c:pt idx="0">
                  <c:v>Near Earth Robotic - LEO Science</c:v>
                </c:pt>
              </c:strCache>
            </c:strRef>
          </c:tx>
          <c:spPr>
            <a:solidFill>
              <a:schemeClr val="accent2"/>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DTE_cost_per_minute_forecast!$C$22:$L$22</c:f>
              <c:numCache>
                <c:formatCode>_(* #,##0_);_(* \(#,##0\);_(* "-"??_);_(@_)</c:formatCode>
                <c:ptCount val="10"/>
                <c:pt idx="0">
                  <c:v>7291024.0886888187</c:v>
                </c:pt>
                <c:pt idx="1">
                  <c:v>5946586.8183782157</c:v>
                </c:pt>
                <c:pt idx="2">
                  <c:v>5241931.1554125836</c:v>
                </c:pt>
                <c:pt idx="3">
                  <c:v>4294758.4126302935</c:v>
                </c:pt>
                <c:pt idx="4">
                  <c:v>5260396.9752869336</c:v>
                </c:pt>
                <c:pt idx="5">
                  <c:v>5268885.539684929</c:v>
                </c:pt>
                <c:pt idx="6">
                  <c:v>5329864.6547047403</c:v>
                </c:pt>
                <c:pt idx="7">
                  <c:v>6176535.9230447533</c:v>
                </c:pt>
                <c:pt idx="8">
                  <c:v>6622652.9720971333</c:v>
                </c:pt>
                <c:pt idx="9">
                  <c:v>7084153.3676685607</c:v>
                </c:pt>
              </c:numCache>
            </c:numRef>
          </c:val>
          <c:extLst>
            <c:ext xmlns:c16="http://schemas.microsoft.com/office/drawing/2014/chart" uri="{C3380CC4-5D6E-409C-BE32-E72D297353CC}">
              <c16:uniqueId val="{00000001-3B75-4D9C-94B3-06704F0D06B4}"/>
            </c:ext>
          </c:extLst>
        </c:ser>
        <c:ser>
          <c:idx val="2"/>
          <c:order val="2"/>
          <c:tx>
            <c:strRef>
              <c:f>DTE_cost_per_minute_forecast!$B$23</c:f>
              <c:strCache>
                <c:ptCount val="1"/>
                <c:pt idx="0">
                  <c:v>Near Earth Robotic - GEO and Near Earth</c:v>
                </c:pt>
              </c:strCache>
            </c:strRef>
          </c:tx>
          <c:spPr>
            <a:solidFill>
              <a:schemeClr val="accent3"/>
            </a:solidFill>
            <a:ln>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DTE_cost_per_minute_forecast!$C$23:$L$23</c:f>
              <c:numCache>
                <c:formatCode>_(* #,##0_);_(* \(#,##0\);_(* "-"??_);_(@_)</c:formatCode>
                <c:ptCount val="10"/>
                <c:pt idx="0">
                  <c:v>120308.81924349625</c:v>
                </c:pt>
                <c:pt idx="1">
                  <c:v>128704.91472239394</c:v>
                </c:pt>
                <c:pt idx="2">
                  <c:v>153834.92844077252</c:v>
                </c:pt>
                <c:pt idx="3">
                  <c:v>164041.55995636192</c:v>
                </c:pt>
                <c:pt idx="4">
                  <c:v>174620.23965300346</c:v>
                </c:pt>
                <c:pt idx="5">
                  <c:v>185581.76680533303</c:v>
                </c:pt>
                <c:pt idx="6">
                  <c:v>196937.22383969938</c:v>
                </c:pt>
                <c:pt idx="7">
                  <c:v>208697.98334052312</c:v>
                </c:pt>
                <c:pt idx="8">
                  <c:v>220875.71522364879</c:v>
                </c:pt>
                <c:pt idx="9">
                  <c:v>233482.39408056816</c:v>
                </c:pt>
              </c:numCache>
            </c:numRef>
          </c:val>
          <c:extLst>
            <c:ext xmlns:c16="http://schemas.microsoft.com/office/drawing/2014/chart" uri="{C3380CC4-5D6E-409C-BE32-E72D297353CC}">
              <c16:uniqueId val="{00000002-3B75-4D9C-94B3-06704F0D06B4}"/>
            </c:ext>
          </c:extLst>
        </c:ser>
        <c:ser>
          <c:idx val="3"/>
          <c:order val="3"/>
          <c:tx>
            <c:strRef>
              <c:f>DTE_cost_per_minute_forecast!$B$24</c:f>
              <c:strCache>
                <c:ptCount val="1"/>
                <c:pt idx="0">
                  <c:v>Deep Space Robotic</c:v>
                </c:pt>
              </c:strCache>
            </c:strRef>
          </c:tx>
          <c:spPr>
            <a:solidFill>
              <a:schemeClr val="accent4"/>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DTE_cost_per_minute_forecast!$C$24:$L$24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B75-4D9C-94B3-06704F0D06B4}"/>
            </c:ext>
          </c:extLst>
        </c:ser>
        <c:ser>
          <c:idx val="4"/>
          <c:order val="4"/>
          <c:tx>
            <c:strRef>
              <c:f>DTE_cost_per_minute_forecast!$B$25</c:f>
              <c:strCache>
                <c:ptCount val="1"/>
                <c:pt idx="0">
                  <c:v>Near Earth Robotic - Low Latency &amp; Complex Needs</c:v>
                </c:pt>
              </c:strCache>
            </c:strRef>
          </c:tx>
          <c:spPr>
            <a:solidFill>
              <a:schemeClr val="accent5"/>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DTE_cost_per_minute_forecast!$C$25:$L$25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3B75-4D9C-94B3-06704F0D06B4}"/>
            </c:ext>
          </c:extLst>
        </c:ser>
        <c:ser>
          <c:idx val="5"/>
          <c:order val="5"/>
          <c:tx>
            <c:strRef>
              <c:f>DTE_cost_per_minute_forecast!$B$26</c:f>
              <c:strCache>
                <c:ptCount val="1"/>
                <c:pt idx="0">
                  <c:v>Mission Operations</c:v>
                </c:pt>
              </c:strCache>
            </c:strRef>
          </c:tx>
          <c:spPr>
            <a:solidFill>
              <a:schemeClr val="accent6"/>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DTE_cost_per_minute_forecast!$C$26:$L$26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3B75-4D9C-94B3-06704F0D06B4}"/>
            </c:ext>
          </c:extLst>
        </c:ser>
        <c:ser>
          <c:idx val="6"/>
          <c:order val="6"/>
          <c:tx>
            <c:strRef>
              <c:f>DTE_cost_per_minute_forecast!$B$27</c:f>
              <c:strCache>
                <c:ptCount val="1"/>
                <c:pt idx="0">
                  <c:v>Launch Events</c:v>
                </c:pt>
              </c:strCache>
            </c:strRef>
          </c:tx>
          <c:spPr>
            <a:solidFill>
              <a:schemeClr val="accent1">
                <a:lumMod val="60000"/>
              </a:schemeClr>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DTE_cost_per_minute_forecast!$C$27:$L$27</c:f>
              <c:numCache>
                <c:formatCode>_(* #,##0_);_(* \(#,##0\);_(* "-"??_);_(@_)</c:formatCode>
                <c:ptCount val="10"/>
                <c:pt idx="0">
                  <c:v>13019.821448938834</c:v>
                </c:pt>
                <c:pt idx="1">
                  <c:v>15527.327823716372</c:v>
                </c:pt>
                <c:pt idx="2">
                  <c:v>17452.191779995705</c:v>
                </c:pt>
                <c:pt idx="3">
                  <c:v>19974.923985493981</c:v>
                </c:pt>
                <c:pt idx="4">
                  <c:v>27972.274721659374</c:v>
                </c:pt>
                <c:pt idx="5">
                  <c:v>30672.740772251789</c:v>
                </c:pt>
                <c:pt idx="6">
                  <c:v>33474.301192943291</c:v>
                </c:pt>
                <c:pt idx="7">
                  <c:v>36379.919572117622</c:v>
                </c:pt>
                <c:pt idx="8">
                  <c:v>39392.637603945826</c:v>
                </c:pt>
                <c:pt idx="9">
                  <c:v>42515.577027182379</c:v>
                </c:pt>
              </c:numCache>
            </c:numRef>
          </c:val>
          <c:extLst>
            <c:ext xmlns:c16="http://schemas.microsoft.com/office/drawing/2014/chart" uri="{C3380CC4-5D6E-409C-BE32-E72D297353CC}">
              <c16:uniqueId val="{00000006-3B75-4D9C-94B3-06704F0D06B4}"/>
            </c:ext>
          </c:extLst>
        </c:ser>
        <c:ser>
          <c:idx val="7"/>
          <c:order val="7"/>
          <c:tx>
            <c:strRef>
              <c:f>DTE_cost_per_minute_forecast!$B$28</c:f>
              <c:strCache>
                <c:ptCount val="1"/>
                <c:pt idx="0">
                  <c:v>Terrestrial &amp; Aerial</c:v>
                </c:pt>
              </c:strCache>
            </c:strRef>
          </c:tx>
          <c:spPr>
            <a:solidFill>
              <a:schemeClr val="accent2">
                <a:lumMod val="60000"/>
              </a:schemeClr>
            </a:solidFill>
            <a:ln w="25400">
              <a:noFill/>
            </a:ln>
            <a:effectLst/>
          </c:spPr>
          <c:cat>
            <c:numRef>
              <c:f>DTE_cost_per_minute_forecast!$C$20:$L$20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DTE_cost_per_minute_forecast!$C$28:$L$28</c:f>
              <c:numCache>
                <c:formatCode>_(* #,##0_);_(* \(#,##0\);_(* "-"??_);_(@_)</c:formatCode>
                <c:ptCount val="10"/>
                <c:pt idx="0">
                  <c:v>803790.64376125706</c:v>
                </c:pt>
                <c:pt idx="1">
                  <c:v>1616316.1207626457</c:v>
                </c:pt>
                <c:pt idx="2">
                  <c:v>1772329.5369148885</c:v>
                </c:pt>
                <c:pt idx="3">
                  <c:v>1934752.6191777184</c:v>
                </c:pt>
                <c:pt idx="4">
                  <c:v>2103174.7958131679</c:v>
                </c:pt>
                <c:pt idx="5">
                  <c:v>2997635.6787728332</c:v>
                </c:pt>
                <c:pt idx="6">
                  <c:v>3193305.1951443651</c:v>
                </c:pt>
                <c:pt idx="7">
                  <c:v>3395866.9511970426</c:v>
                </c:pt>
                <c:pt idx="8">
                  <c:v>3605518.3687115656</c:v>
                </c:pt>
                <c:pt idx="9">
                  <c:v>3822462.0094439848</c:v>
                </c:pt>
              </c:numCache>
            </c:numRef>
          </c:val>
          <c:extLst>
            <c:ext xmlns:c16="http://schemas.microsoft.com/office/drawing/2014/chart" uri="{C3380CC4-5D6E-409C-BE32-E72D297353CC}">
              <c16:uniqueId val="{00000007-3B75-4D9C-94B3-06704F0D06B4}"/>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DTE_cost_per_minute_forecast!$B$39</c:f>
              <c:strCache>
                <c:ptCount val="1"/>
                <c:pt idx="0">
                  <c:v>Human Space Flight</c:v>
                </c:pt>
              </c:strCache>
            </c:strRef>
          </c:tx>
          <c:spPr>
            <a:solidFill>
              <a:schemeClr val="accent1"/>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DTE_cost_per_minute_forecast!$C$39:$L$39</c:f>
              <c:numCache>
                <c:formatCode>_(* #,##0_);_(* \(#,##0\);_(* "-"??_);_(@_)</c:formatCode>
                <c:ptCount val="10"/>
                <c:pt idx="0">
                  <c:v>5900423.78229954</c:v>
                </c:pt>
                <c:pt idx="1">
                  <c:v>6689852.6792983962</c:v>
                </c:pt>
                <c:pt idx="2">
                  <c:v>7503423.0663507609</c:v>
                </c:pt>
                <c:pt idx="3">
                  <c:v>8367424.9356741467</c:v>
                </c:pt>
                <c:pt idx="4">
                  <c:v>9255766.8511036206</c:v>
                </c:pt>
                <c:pt idx="5">
                  <c:v>10178350.309455106</c:v>
                </c:pt>
                <c:pt idx="6">
                  <c:v>11136189.635679306</c:v>
                </c:pt>
                <c:pt idx="7">
                  <c:v>12130326.031107791</c:v>
                </c:pt>
                <c:pt idx="8">
                  <c:v>13161828.242778245</c:v>
                </c:pt>
                <c:pt idx="9">
                  <c:v>14231793.248782173</c:v>
                </c:pt>
              </c:numCache>
            </c:numRef>
          </c:val>
          <c:extLst>
            <c:ext xmlns:c16="http://schemas.microsoft.com/office/drawing/2014/chart" uri="{C3380CC4-5D6E-409C-BE32-E72D297353CC}">
              <c16:uniqueId val="{00000000-066E-4010-AB46-B22142B0764D}"/>
            </c:ext>
          </c:extLst>
        </c:ser>
        <c:ser>
          <c:idx val="1"/>
          <c:order val="1"/>
          <c:tx>
            <c:strRef>
              <c:f>DTE_cost_per_minute_forecast!$B$40</c:f>
              <c:strCache>
                <c:ptCount val="1"/>
                <c:pt idx="0">
                  <c:v>Near Earth Robotic - LEO Science</c:v>
                </c:pt>
              </c:strCache>
            </c:strRef>
          </c:tx>
          <c:spPr>
            <a:solidFill>
              <a:schemeClr val="accent2"/>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DTE_cost_per_minute_forecast!$C$40:$L$40</c:f>
              <c:numCache>
                <c:formatCode>_(* #,##0_);_(* \(#,##0\);_(* "-"??_);_(@_)</c:formatCode>
                <c:ptCount val="10"/>
                <c:pt idx="0">
                  <c:v>7447489.6457555033</c:v>
                </c:pt>
                <c:pt idx="1">
                  <c:v>6249777.6660541305</c:v>
                </c:pt>
                <c:pt idx="2">
                  <c:v>5643740.5180907119</c:v>
                </c:pt>
                <c:pt idx="3">
                  <c:v>4963550.6158586713</c:v>
                </c:pt>
                <c:pt idx="4">
                  <c:v>6113107.0344031146</c:v>
                </c:pt>
                <c:pt idx="5">
                  <c:v>6312602.652043134</c:v>
                </c:pt>
                <c:pt idx="6">
                  <c:v>6571888.0184110031</c:v>
                </c:pt>
                <c:pt idx="7">
                  <c:v>7624380.3013080535</c:v>
                </c:pt>
                <c:pt idx="8">
                  <c:v>8284054.3961542724</c:v>
                </c:pt>
                <c:pt idx="9">
                  <c:v>8967074.9815999847</c:v>
                </c:pt>
              </c:numCache>
            </c:numRef>
          </c:val>
          <c:extLst>
            <c:ext xmlns:c16="http://schemas.microsoft.com/office/drawing/2014/chart" uri="{C3380CC4-5D6E-409C-BE32-E72D297353CC}">
              <c16:uniqueId val="{00000001-066E-4010-AB46-B22142B0764D}"/>
            </c:ext>
          </c:extLst>
        </c:ser>
        <c:ser>
          <c:idx val="2"/>
          <c:order val="2"/>
          <c:tx>
            <c:strRef>
              <c:f>DTE_cost_per_minute_forecast!$B$41</c:f>
              <c:strCache>
                <c:ptCount val="1"/>
                <c:pt idx="0">
                  <c:v>Near Earth Robotic - GEO and Near Earth</c:v>
                </c:pt>
              </c:strCache>
            </c:strRef>
          </c:tx>
          <c:spPr>
            <a:solidFill>
              <a:schemeClr val="accent3"/>
            </a:solidFill>
            <a:ln>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DTE_cost_per_minute_forecast!$C$41:$L$41</c:f>
              <c:numCache>
                <c:formatCode>_(* #,##0_);_(* \(#,##0\);_(* "-"??_);_(@_)</c:formatCode>
                <c:ptCount val="10"/>
                <c:pt idx="0">
                  <c:v>126638.04219471192</c:v>
                </c:pt>
                <c:pt idx="1">
                  <c:v>141616.5295428739</c:v>
                </c:pt>
                <c:pt idx="2">
                  <c:v>173589.69911610687</c:v>
                </c:pt>
                <c:pt idx="3">
                  <c:v>190908.04807481662</c:v>
                </c:pt>
                <c:pt idx="4">
                  <c:v>208875.01200403325</c:v>
                </c:pt>
                <c:pt idx="5">
                  <c:v>227509.60816299348</c:v>
                </c:pt>
                <c:pt idx="6">
                  <c:v>246831.3550553153</c:v>
                </c:pt>
                <c:pt idx="7">
                  <c:v>266860.28487186966</c:v>
                </c:pt>
                <c:pt idx="8">
                  <c:v>287616.95623086905</c:v>
                </c:pt>
                <c:pt idx="9">
                  <c:v>309122.46722208441</c:v>
                </c:pt>
              </c:numCache>
            </c:numRef>
          </c:val>
          <c:extLst>
            <c:ext xmlns:c16="http://schemas.microsoft.com/office/drawing/2014/chart" uri="{C3380CC4-5D6E-409C-BE32-E72D297353CC}">
              <c16:uniqueId val="{00000002-066E-4010-AB46-B22142B0764D}"/>
            </c:ext>
          </c:extLst>
        </c:ser>
        <c:ser>
          <c:idx val="3"/>
          <c:order val="3"/>
          <c:tx>
            <c:strRef>
              <c:f>DTE_cost_per_minute_forecast!$B$42</c:f>
              <c:strCache>
                <c:ptCount val="1"/>
                <c:pt idx="0">
                  <c:v>Deep Space Robotic</c:v>
                </c:pt>
              </c:strCache>
            </c:strRef>
          </c:tx>
          <c:spPr>
            <a:solidFill>
              <a:schemeClr val="accent4"/>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DTE_cost_per_minute_forecast!$C$42:$L$42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66E-4010-AB46-B22142B0764D}"/>
            </c:ext>
          </c:extLst>
        </c:ser>
        <c:ser>
          <c:idx val="4"/>
          <c:order val="4"/>
          <c:tx>
            <c:strRef>
              <c:f>DTE_cost_per_minute_forecast!$B$43</c:f>
              <c:strCache>
                <c:ptCount val="1"/>
                <c:pt idx="0">
                  <c:v>Near Earth Robotic - Low Latency &amp; Complex Needs</c:v>
                </c:pt>
              </c:strCache>
            </c:strRef>
          </c:tx>
          <c:spPr>
            <a:solidFill>
              <a:schemeClr val="accent5"/>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DTE_cost_per_minute_forecast!$C$43:$L$43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66E-4010-AB46-B22142B0764D}"/>
            </c:ext>
          </c:extLst>
        </c:ser>
        <c:ser>
          <c:idx val="5"/>
          <c:order val="5"/>
          <c:tx>
            <c:strRef>
              <c:f>DTE_cost_per_minute_forecast!$B$44</c:f>
              <c:strCache>
                <c:ptCount val="1"/>
                <c:pt idx="0">
                  <c:v>Mission Operations</c:v>
                </c:pt>
              </c:strCache>
            </c:strRef>
          </c:tx>
          <c:spPr>
            <a:solidFill>
              <a:schemeClr val="accent6"/>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DTE_cost_per_minute_forecast!$C$44:$L$44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66E-4010-AB46-B22142B0764D}"/>
            </c:ext>
          </c:extLst>
        </c:ser>
        <c:ser>
          <c:idx val="6"/>
          <c:order val="6"/>
          <c:tx>
            <c:strRef>
              <c:f>DTE_cost_per_minute_forecast!$B$45</c:f>
              <c:strCache>
                <c:ptCount val="1"/>
                <c:pt idx="0">
                  <c:v>Launch Events</c:v>
                </c:pt>
              </c:strCache>
            </c:strRef>
          </c:tx>
          <c:spPr>
            <a:solidFill>
              <a:schemeClr val="accent1">
                <a:lumMod val="60000"/>
              </a:schemeClr>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DTE_cost_per_minute_forecast!$C$45:$L$45</c:f>
              <c:numCache>
                <c:formatCode>_(* #,##0_);_(* \(#,##0\);_(* "-"??_);_(@_)</c:formatCode>
                <c:ptCount val="10"/>
                <c:pt idx="0">
                  <c:v>13552.901194447313</c:v>
                </c:pt>
                <c:pt idx="1">
                  <c:v>16614.810504553672</c:v>
                </c:pt>
                <c:pt idx="2">
                  <c:v>19116.040281676767</c:v>
                </c:pt>
                <c:pt idx="3">
                  <c:v>22237.757947780232</c:v>
                </c:pt>
                <c:pt idx="4">
                  <c:v>30857.388023574342</c:v>
                </c:pt>
                <c:pt idx="5">
                  <c:v>34204.119453795705</c:v>
                </c:pt>
                <c:pt idx="6">
                  <c:v>37676.641823980564</c:v>
                </c:pt>
                <c:pt idx="7">
                  <c:v>41278.648079155355</c:v>
                </c:pt>
                <c:pt idx="8">
                  <c:v>45013.928565771617</c:v>
                </c:pt>
                <c:pt idx="9">
                  <c:v>48886.373450584935</c:v>
                </c:pt>
              </c:numCache>
            </c:numRef>
          </c:val>
          <c:extLst>
            <c:ext xmlns:c16="http://schemas.microsoft.com/office/drawing/2014/chart" uri="{C3380CC4-5D6E-409C-BE32-E72D297353CC}">
              <c16:uniqueId val="{00000006-066E-4010-AB46-B22142B0764D}"/>
            </c:ext>
          </c:extLst>
        </c:ser>
        <c:ser>
          <c:idx val="7"/>
          <c:order val="7"/>
          <c:tx>
            <c:strRef>
              <c:f>DTE_cost_per_minute_forecast!$B$46</c:f>
              <c:strCache>
                <c:ptCount val="1"/>
                <c:pt idx="0">
                  <c:v>Terrestrial &amp; Aerial</c:v>
                </c:pt>
              </c:strCache>
            </c:strRef>
          </c:tx>
          <c:spPr>
            <a:solidFill>
              <a:schemeClr val="accent2">
                <a:lumMod val="60000"/>
              </a:schemeClr>
            </a:solidFill>
            <a:ln w="25400">
              <a:noFill/>
            </a:ln>
            <a:effectLst/>
          </c:spPr>
          <c:cat>
            <c:numRef>
              <c:f>DTE_cost_per_minute_forecast!$C$38:$L$38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DTE_cost_per_minute_forecast!$C$46:$L$46</c:f>
              <c:numCache>
                <c:formatCode>_(* #,##0_);_(* \(#,##0\);_(* "-"??_);_(@_)</c:formatCode>
                <c:ptCount val="10"/>
                <c:pt idx="0">
                  <c:v>869918.96820984501</c:v>
                </c:pt>
                <c:pt idx="1">
                  <c:v>1751217.9026377657</c:v>
                </c:pt>
                <c:pt idx="2">
                  <c:v>1978729.263183821</c:v>
                </c:pt>
                <c:pt idx="3">
                  <c:v>2215456.246903467</c:v>
                </c:pt>
                <c:pt idx="4">
                  <c:v>2461071.921163497</c:v>
                </c:pt>
                <c:pt idx="5">
                  <c:v>3435701.7602016358</c:v>
                </c:pt>
                <c:pt idx="6">
                  <c:v>3714603.832044641</c:v>
                </c:pt>
                <c:pt idx="7">
                  <c:v>4003552.2193550798</c:v>
                </c:pt>
                <c:pt idx="8">
                  <c:v>4302837.2139229123</c:v>
                </c:pt>
                <c:pt idx="9">
                  <c:v>4612756.7006835109</c:v>
                </c:pt>
              </c:numCache>
            </c:numRef>
          </c:val>
          <c:extLst>
            <c:ext xmlns:c16="http://schemas.microsoft.com/office/drawing/2014/chart" uri="{C3380CC4-5D6E-409C-BE32-E72D297353CC}">
              <c16:uniqueId val="{00000007-066E-4010-AB46-B22142B0764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(40%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DTE_cost_per_minute_forecast!$B$59</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DTE_cost_per_minute_forecast!$C$59:$L$59</c:f>
              <c:numCache>
                <c:formatCode>_(* #,##0_);_(* \(#,##0\);_(* "-"??_);_(@_)</c:formatCode>
                <c:ptCount val="10"/>
                <c:pt idx="0">
                  <c:v>6143962.7216014247</c:v>
                </c:pt>
                <c:pt idx="1">
                  <c:v>6295503.4760421291</c:v>
                </c:pt>
                <c:pt idx="2">
                  <c:v>6444726.863206042</c:v>
                </c:pt>
                <c:pt idx="3">
                  <c:v>6621393.0269701798</c:v>
                </c:pt>
                <c:pt idx="4">
                  <c:v>6794126.1771925781</c:v>
                </c:pt>
                <c:pt idx="5">
                  <c:v>6973517.4052053662</c:v>
                </c:pt>
                <c:pt idx="6">
                  <c:v>7159763.9408600722</c:v>
                </c:pt>
                <c:pt idx="7">
                  <c:v>7353068.2399711665</c:v>
                </c:pt>
                <c:pt idx="8">
                  <c:v>7553638.1144626439</c:v>
                </c:pt>
                <c:pt idx="9">
                  <c:v>7761686.8656300744</c:v>
                </c:pt>
              </c:numCache>
            </c:numRef>
          </c:val>
          <c:extLst>
            <c:ext xmlns:c16="http://schemas.microsoft.com/office/drawing/2014/chart" uri="{C3380CC4-5D6E-409C-BE32-E72D297353CC}">
              <c16:uniqueId val="{00000000-B356-4FA9-85F3-6A619CD23A38}"/>
            </c:ext>
          </c:extLst>
        </c:ser>
        <c:ser>
          <c:idx val="1"/>
          <c:order val="1"/>
          <c:tx>
            <c:strRef>
              <c:f>DTE_cost_per_minute_forecast!$B$60</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DTE_cost_per_minute_forecast!$C$60:$L$60</c:f>
              <c:numCache>
                <c:formatCode>_(* #,##0_);_(* \(#,##0\);_(* "-"??_);_(@_)</c:formatCode>
                <c:ptCount val="10"/>
                <c:pt idx="0">
                  <c:v>8323651.6202258244</c:v>
                </c:pt>
                <c:pt idx="1">
                  <c:v>6583961.9658193514</c:v>
                </c:pt>
                <c:pt idx="2">
                  <c:v>5646808.7581901979</c:v>
                </c:pt>
                <c:pt idx="3">
                  <c:v>4230293.9109689025</c:v>
                </c:pt>
                <c:pt idx="4">
                  <c:v>5142301.4021992125</c:v>
                </c:pt>
                <c:pt idx="5">
                  <c:v>4929363.1652145116</c:v>
                </c:pt>
                <c:pt idx="6">
                  <c:v>4769148.1728315549</c:v>
                </c:pt>
                <c:pt idx="7">
                  <c:v>5516806.8022450274</c:v>
                </c:pt>
                <c:pt idx="8">
                  <c:v>5788126.8060466601</c:v>
                </c:pt>
                <c:pt idx="9">
                  <c:v>6068103.7126933262</c:v>
                </c:pt>
              </c:numCache>
            </c:numRef>
          </c:val>
          <c:extLst>
            <c:ext xmlns:c16="http://schemas.microsoft.com/office/drawing/2014/chart" uri="{C3380CC4-5D6E-409C-BE32-E72D297353CC}">
              <c16:uniqueId val="{00000001-B356-4FA9-85F3-6A619CD23A38}"/>
            </c:ext>
          </c:extLst>
        </c:ser>
        <c:ser>
          <c:idx val="2"/>
          <c:order val="2"/>
          <c:tx>
            <c:strRef>
              <c:f>DTE_cost_per_minute_forecast!$B$61</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DTE_cost_per_minute_forecast!$C$61:$L$61</c:f>
              <c:numCache>
                <c:formatCode>_(* #,##0_);_(* \(#,##0\);_(* "-"??_);_(@_)</c:formatCode>
                <c:ptCount val="10"/>
                <c:pt idx="0">
                  <c:v>134822.21903509859</c:v>
                </c:pt>
                <c:pt idx="1">
                  <c:v>138858.07087487294</c:v>
                </c:pt>
                <c:pt idx="2">
                  <c:v>162188.65883998369</c:v>
                </c:pt>
                <c:pt idx="3">
                  <c:v>167873.64284544103</c:v>
                </c:pt>
                <c:pt idx="4">
                  <c:v>173750.687121353</c:v>
                </c:pt>
                <c:pt idx="5">
                  <c:v>179825.20008493564</c:v>
                </c:pt>
                <c:pt idx="6">
                  <c:v>186102.72966598536</c:v>
                </c:pt>
                <c:pt idx="7">
                  <c:v>192588.96672401536</c:v>
                </c:pt>
                <c:pt idx="8">
                  <c:v>199289.74854627263</c:v>
                </c:pt>
                <c:pt idx="9">
                  <c:v>206211.06242850286</c:v>
                </c:pt>
              </c:numCache>
            </c:numRef>
          </c:val>
          <c:extLst>
            <c:ext xmlns:c16="http://schemas.microsoft.com/office/drawing/2014/chart" uri="{C3380CC4-5D6E-409C-BE32-E72D297353CC}">
              <c16:uniqueId val="{00000002-B356-4FA9-85F3-6A619CD23A38}"/>
            </c:ext>
          </c:extLst>
        </c:ser>
        <c:ser>
          <c:idx val="3"/>
          <c:order val="3"/>
          <c:tx>
            <c:strRef>
              <c:f>DTE_cost_per_minute_forecast!$B$62</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DTE_cost_per_minute_forecast!$C$62:$L$62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B356-4FA9-85F3-6A619CD23A38}"/>
            </c:ext>
          </c:extLst>
        </c:ser>
        <c:ser>
          <c:idx val="4"/>
          <c:order val="4"/>
          <c:tx>
            <c:strRef>
              <c:f>DTE_cost_per_minute_forecast!$B$63</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DTE_cost_per_minute_forecast!$C$63:$L$63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B356-4FA9-85F3-6A619CD23A38}"/>
            </c:ext>
          </c:extLst>
        </c:ser>
        <c:ser>
          <c:idx val="5"/>
          <c:order val="5"/>
          <c:tx>
            <c:strRef>
              <c:f>DTE_cost_per_minute_forecast!$B$64</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DTE_cost_per_minute_forecast!$C$64:$L$64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B356-4FA9-85F3-6A619CD23A38}"/>
            </c:ext>
          </c:extLst>
        </c:ser>
        <c:ser>
          <c:idx val="6"/>
          <c:order val="6"/>
          <c:tx>
            <c:strRef>
              <c:f>DTE_cost_per_minute_forecast!$B$65</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DTE_cost_per_minute_forecast!$C$65:$L$65</c:f>
              <c:numCache>
                <c:formatCode>_(* #,##0_);_(* \(#,##0\);_(* "-"??_);_(@_)</c:formatCode>
                <c:ptCount val="10"/>
                <c:pt idx="0">
                  <c:v>13945.938950908856</c:v>
                </c:pt>
                <c:pt idx="1">
                  <c:v>15577.756205715412</c:v>
                </c:pt>
                <c:pt idx="2">
                  <c:v>16478.577239405837</c:v>
                </c:pt>
                <c:pt idx="3">
                  <c:v>18024.13207107507</c:v>
                </c:pt>
                <c:pt idx="4">
                  <c:v>25902.389470801019</c:v>
                </c:pt>
                <c:pt idx="5">
                  <c:v>27544.980644024607</c:v>
                </c:pt>
                <c:pt idx="6">
                  <c:v>29247.889919346901</c:v>
                </c:pt>
                <c:pt idx="7">
                  <c:v>31012.872984382546</c:v>
                </c:pt>
                <c:pt idx="8">
                  <c:v>32841.731627009962</c:v>
                </c:pt>
                <c:pt idx="9">
                  <c:v>34736.314877106801</c:v>
                </c:pt>
              </c:numCache>
            </c:numRef>
          </c:val>
          <c:extLst>
            <c:ext xmlns:c16="http://schemas.microsoft.com/office/drawing/2014/chart" uri="{C3380CC4-5D6E-409C-BE32-E72D297353CC}">
              <c16:uniqueId val="{00000006-B356-4FA9-85F3-6A619CD23A38}"/>
            </c:ext>
          </c:extLst>
        </c:ser>
        <c:ser>
          <c:idx val="7"/>
          <c:order val="7"/>
          <c:tx>
            <c:strRef>
              <c:f>DTE_cost_per_minute_forecast!$B$66</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DTE_cost_per_minute_forecast!$C$66:$L$66</c:f>
              <c:numCache>
                <c:formatCode>_(* #,##0_);_(* \(#,##0\);_(* "-"??_);_(@_)</c:formatCode>
                <c:ptCount val="10"/>
                <c:pt idx="0">
                  <c:v>860606.03919811384</c:v>
                </c:pt>
                <c:pt idx="1">
                  <c:v>1728316.7287021142</c:v>
                </c:pt>
                <c:pt idx="2">
                  <c:v>1826918.1124202812</c:v>
                </c:pt>
                <c:pt idx="3">
                  <c:v>1929723.8233606312</c:v>
                </c:pt>
                <c:pt idx="4">
                  <c:v>2036157.2822066443</c:v>
                </c:pt>
                <c:pt idx="5">
                  <c:v>2986164.5302347005</c:v>
                </c:pt>
                <c:pt idx="6">
                  <c:v>3117340.9846181036</c:v>
                </c:pt>
                <c:pt idx="7">
                  <c:v>3252878.6302121747</c:v>
                </c:pt>
                <c:pt idx="8">
                  <c:v>3392899.4440835896</c:v>
                </c:pt>
                <c:pt idx="9">
                  <c:v>3537528.5379052022</c:v>
                </c:pt>
              </c:numCache>
            </c:numRef>
          </c:val>
          <c:extLst>
            <c:ext xmlns:c16="http://schemas.microsoft.com/office/drawing/2014/chart" uri="{C3380CC4-5D6E-409C-BE32-E72D297353CC}">
              <c16:uniqueId val="{00000007-B356-4FA9-85F3-6A619CD23A3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 cost by use case (Baseline demand </a:t>
            </a:r>
            <a:r>
              <a:rPr lang="en-US" sz="1200" b="0" i="0" u="none" strike="noStrike" kern="1200" spc="0" baseline="0">
                <a:solidFill>
                  <a:sysClr val="windowText" lastClr="000000">
                    <a:lumMod val="65000"/>
                    <a:lumOff val="35000"/>
                  </a:sysClr>
                </a:solidFill>
                <a:effectLst/>
                <a:latin typeface="+mn-lt"/>
                <a:ea typeface="+mn-ea"/>
                <a:cs typeface="+mn-cs"/>
              </a:rPr>
              <a:t>scenario) (40% profit margin)</a:t>
            </a:r>
            <a:r>
              <a:rPr lang="en-US" sz="1200" b="0" i="0" baseline="0">
                <a:effectLst/>
              </a:rPr>
              <a:t> </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DTE_cost_per_minute_forecast!$B$77</c:f>
              <c:strCache>
                <c:ptCount val="1"/>
                <c:pt idx="0">
                  <c:v>Human Space Flight</c:v>
                </c:pt>
              </c:strCache>
            </c:strRef>
          </c:tx>
          <c:spPr>
            <a:solidFill>
              <a:schemeClr val="accent1"/>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DTE_cost_per_minute_forecast!$C$77:$L$77</c:f>
              <c:numCache>
                <c:formatCode>_(* #,##0_);_(* \(#,##0\);_(* "-"??_);_(@_)</c:formatCode>
                <c:ptCount val="10"/>
                <c:pt idx="0">
                  <c:v>6587881.7362502478</c:v>
                </c:pt>
                <c:pt idx="1">
                  <c:v>7201098.2659257287</c:v>
                </c:pt>
                <c:pt idx="2">
                  <c:v>7830286.8917279504</c:v>
                </c:pt>
                <c:pt idx="3">
                  <c:v>8505754.6657599751</c:v>
                </c:pt>
                <c:pt idx="4">
                  <c:v>9196687.2666495666</c:v>
                </c:pt>
                <c:pt idx="5">
                  <c:v>9914252.1787007209</c:v>
                </c:pt>
                <c:pt idx="6">
                  <c:v>10659238.321319545</c:v>
                </c:pt>
                <c:pt idx="7">
                  <c:v>11432455.51776392</c:v>
                </c:pt>
                <c:pt idx="8">
                  <c:v>12234735.015729828</c:v>
                </c:pt>
                <c:pt idx="9">
                  <c:v>13066930.02039955</c:v>
                </c:pt>
              </c:numCache>
            </c:numRef>
          </c:val>
          <c:extLst>
            <c:ext xmlns:c16="http://schemas.microsoft.com/office/drawing/2014/chart" uri="{C3380CC4-5D6E-409C-BE32-E72D297353CC}">
              <c16:uniqueId val="{00000000-EDA7-4F53-B4A6-4AE626203AE3}"/>
            </c:ext>
          </c:extLst>
        </c:ser>
        <c:ser>
          <c:idx val="1"/>
          <c:order val="1"/>
          <c:tx>
            <c:strRef>
              <c:f>DTE_cost_per_minute_forecast!$B$78</c:f>
              <c:strCache>
                <c:ptCount val="1"/>
                <c:pt idx="0">
                  <c:v>Near Earth Robotic - LEO Science</c:v>
                </c:pt>
              </c:strCache>
            </c:strRef>
          </c:tx>
          <c:spPr>
            <a:solidFill>
              <a:schemeClr val="accent2"/>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DTE_cost_per_minute_forecast!$C$78:$L$78</c:f>
              <c:numCache>
                <c:formatCode>_(* #,##0_);_(* \(#,##0\);_(* "-"??_);_(@_)</c:formatCode>
                <c:ptCount val="10"/>
                <c:pt idx="0">
                  <c:v>8506194.7701369561</c:v>
                </c:pt>
                <c:pt idx="1">
                  <c:v>6937684.6214412516</c:v>
                </c:pt>
                <c:pt idx="2">
                  <c:v>6115586.3479813477</c:v>
                </c:pt>
                <c:pt idx="3">
                  <c:v>5010551.4814020097</c:v>
                </c:pt>
                <c:pt idx="4">
                  <c:v>6137129.8045014227</c:v>
                </c:pt>
                <c:pt idx="5">
                  <c:v>6147033.1296324171</c:v>
                </c:pt>
                <c:pt idx="6">
                  <c:v>6218175.430488864</c:v>
                </c:pt>
                <c:pt idx="7">
                  <c:v>7205958.5768855466</c:v>
                </c:pt>
                <c:pt idx="8">
                  <c:v>7726428.467446656</c:v>
                </c:pt>
                <c:pt idx="9">
                  <c:v>8264845.5956133213</c:v>
                </c:pt>
              </c:numCache>
            </c:numRef>
          </c:val>
          <c:extLst>
            <c:ext xmlns:c16="http://schemas.microsoft.com/office/drawing/2014/chart" uri="{C3380CC4-5D6E-409C-BE32-E72D297353CC}">
              <c16:uniqueId val="{00000001-EDA7-4F53-B4A6-4AE626203AE3}"/>
            </c:ext>
          </c:extLst>
        </c:ser>
        <c:ser>
          <c:idx val="2"/>
          <c:order val="2"/>
          <c:tx>
            <c:strRef>
              <c:f>DTE_cost_per_minute_forecast!$B$79</c:f>
              <c:strCache>
                <c:ptCount val="1"/>
                <c:pt idx="0">
                  <c:v>Near Earth Robotic - GEO and Near Earth</c:v>
                </c:pt>
              </c:strCache>
            </c:strRef>
          </c:tx>
          <c:spPr>
            <a:solidFill>
              <a:schemeClr val="accent3"/>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DTE_cost_per_minute_forecast!$C$79:$L$79</c:f>
              <c:numCache>
                <c:formatCode>_(* #,##0_);_(* \(#,##0\);_(* "-"??_);_(@_)</c:formatCode>
                <c:ptCount val="10"/>
                <c:pt idx="0">
                  <c:v>140360.28911741229</c:v>
                </c:pt>
                <c:pt idx="1">
                  <c:v>150155.73384279292</c:v>
                </c:pt>
                <c:pt idx="2">
                  <c:v>179474.08318090127</c:v>
                </c:pt>
                <c:pt idx="3">
                  <c:v>191381.81994908891</c:v>
                </c:pt>
                <c:pt idx="4">
                  <c:v>203723.61292850404</c:v>
                </c:pt>
                <c:pt idx="5">
                  <c:v>216512.06127288853</c:v>
                </c:pt>
                <c:pt idx="6">
                  <c:v>229760.0944796493</c:v>
                </c:pt>
                <c:pt idx="7">
                  <c:v>243480.98056394362</c:v>
                </c:pt>
                <c:pt idx="8">
                  <c:v>257688.33442759025</c:v>
                </c:pt>
                <c:pt idx="9">
                  <c:v>272396.12642732955</c:v>
                </c:pt>
              </c:numCache>
            </c:numRef>
          </c:val>
          <c:extLst>
            <c:ext xmlns:c16="http://schemas.microsoft.com/office/drawing/2014/chart" uri="{C3380CC4-5D6E-409C-BE32-E72D297353CC}">
              <c16:uniqueId val="{00000002-EDA7-4F53-B4A6-4AE626203AE3}"/>
            </c:ext>
          </c:extLst>
        </c:ser>
        <c:ser>
          <c:idx val="3"/>
          <c:order val="3"/>
          <c:tx>
            <c:strRef>
              <c:f>DTE_cost_per_minute_forecast!$B$80</c:f>
              <c:strCache>
                <c:ptCount val="1"/>
                <c:pt idx="0">
                  <c:v>Deep Space Robotic</c:v>
                </c:pt>
              </c:strCache>
            </c:strRef>
          </c:tx>
          <c:spPr>
            <a:solidFill>
              <a:schemeClr val="accent4"/>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DTE_cost_per_minute_forecast!$C$80:$L$80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DA7-4F53-B4A6-4AE626203AE3}"/>
            </c:ext>
          </c:extLst>
        </c:ser>
        <c:ser>
          <c:idx val="4"/>
          <c:order val="4"/>
          <c:tx>
            <c:strRef>
              <c:f>DTE_cost_per_minute_forecast!$B$81</c:f>
              <c:strCache>
                <c:ptCount val="1"/>
                <c:pt idx="0">
                  <c:v>Near Earth Robotic - Low Latency &amp; Complex Needs</c:v>
                </c:pt>
              </c:strCache>
            </c:strRef>
          </c:tx>
          <c:spPr>
            <a:solidFill>
              <a:schemeClr val="accent5"/>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DTE_cost_per_minute_forecast!$C$81:$L$81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EDA7-4F53-B4A6-4AE626203AE3}"/>
            </c:ext>
          </c:extLst>
        </c:ser>
        <c:ser>
          <c:idx val="5"/>
          <c:order val="5"/>
          <c:tx>
            <c:strRef>
              <c:f>DTE_cost_per_minute_forecast!$B$82</c:f>
              <c:strCache>
                <c:ptCount val="1"/>
                <c:pt idx="0">
                  <c:v>Mission Operations</c:v>
                </c:pt>
              </c:strCache>
            </c:strRef>
          </c:tx>
          <c:spPr>
            <a:solidFill>
              <a:schemeClr val="accent6"/>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DTE_cost_per_minute_forecast!$C$82:$L$82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EDA7-4F53-B4A6-4AE626203AE3}"/>
            </c:ext>
          </c:extLst>
        </c:ser>
        <c:ser>
          <c:idx val="6"/>
          <c:order val="6"/>
          <c:tx>
            <c:strRef>
              <c:f>DTE_cost_per_minute_forecast!$B$83</c:f>
              <c:strCache>
                <c:ptCount val="1"/>
                <c:pt idx="0">
                  <c:v>Launch Events</c:v>
                </c:pt>
              </c:strCache>
            </c:strRef>
          </c:tx>
          <c:spPr>
            <a:solidFill>
              <a:schemeClr val="accent1">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DTE_cost_per_minute_forecast!$C$83:$L$83</c:f>
              <c:numCache>
                <c:formatCode>_(* #,##0_);_(* \(#,##0\);_(* "-"??_);_(@_)</c:formatCode>
                <c:ptCount val="10"/>
                <c:pt idx="0">
                  <c:v>15189.791690428639</c:v>
                </c:pt>
                <c:pt idx="1">
                  <c:v>18115.215794335771</c:v>
                </c:pt>
                <c:pt idx="2">
                  <c:v>20360.89040999499</c:v>
                </c:pt>
                <c:pt idx="3">
                  <c:v>23304.077983076313</c:v>
                </c:pt>
                <c:pt idx="4">
                  <c:v>32634.320508602606</c:v>
                </c:pt>
                <c:pt idx="5">
                  <c:v>35784.864234293753</c:v>
                </c:pt>
                <c:pt idx="6">
                  <c:v>39053.351391767173</c:v>
                </c:pt>
                <c:pt idx="7">
                  <c:v>42443.239500803895</c:v>
                </c:pt>
                <c:pt idx="8">
                  <c:v>45958.077204603469</c:v>
                </c:pt>
                <c:pt idx="9">
                  <c:v>49601.506531712781</c:v>
                </c:pt>
              </c:numCache>
            </c:numRef>
          </c:val>
          <c:extLst>
            <c:ext xmlns:c16="http://schemas.microsoft.com/office/drawing/2014/chart" uri="{C3380CC4-5D6E-409C-BE32-E72D297353CC}">
              <c16:uniqueId val="{00000006-EDA7-4F53-B4A6-4AE626203AE3}"/>
            </c:ext>
          </c:extLst>
        </c:ser>
        <c:ser>
          <c:idx val="7"/>
          <c:order val="7"/>
          <c:tx>
            <c:strRef>
              <c:f>DTE_cost_per_minute_forecast!$B$84</c:f>
              <c:strCache>
                <c:ptCount val="1"/>
                <c:pt idx="0">
                  <c:v>Terrestrial &amp; Aerial</c:v>
                </c:pt>
              </c:strCache>
            </c:strRef>
          </c:tx>
          <c:spPr>
            <a:solidFill>
              <a:schemeClr val="accent2">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DTE_cost_per_minute_forecast!$C$84:$L$84</c:f>
              <c:numCache>
                <c:formatCode>_(* #,##0_);_(* \(#,##0\);_(* "-"??_);_(@_)</c:formatCode>
                <c:ptCount val="10"/>
                <c:pt idx="0">
                  <c:v>937755.7510548</c:v>
                </c:pt>
                <c:pt idx="1">
                  <c:v>1885702.1408897536</c:v>
                </c:pt>
                <c:pt idx="2">
                  <c:v>2067717.7930673701</c:v>
                </c:pt>
                <c:pt idx="3">
                  <c:v>2257211.3890406718</c:v>
                </c:pt>
                <c:pt idx="4">
                  <c:v>2453703.9284486962</c:v>
                </c:pt>
                <c:pt idx="5">
                  <c:v>3497241.6252349722</c:v>
                </c:pt>
                <c:pt idx="6">
                  <c:v>3725522.727668426</c:v>
                </c:pt>
                <c:pt idx="7">
                  <c:v>3961844.7763965502</c:v>
                </c:pt>
                <c:pt idx="8">
                  <c:v>4206438.0968301604</c:v>
                </c:pt>
                <c:pt idx="9">
                  <c:v>4459539.0110179828</c:v>
                </c:pt>
              </c:numCache>
            </c:numRef>
          </c:val>
          <c:extLst>
            <c:ext xmlns:c16="http://schemas.microsoft.com/office/drawing/2014/chart" uri="{C3380CC4-5D6E-409C-BE32-E72D297353CC}">
              <c16:uniqueId val="{00000007-EDA7-4F53-B4A6-4AE626203AE3}"/>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a:t>
            </a:r>
            <a:r>
              <a:rPr lang="en-US" sz="1200" b="0" i="0" u="none" strike="noStrike" baseline="0">
                <a:effectLst/>
              </a:rPr>
              <a:t> (40% profit margin) </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DTE_cost_per_minute_forecast!$B$95</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DTE_cost_per_minute_forecast!$C$95:$L$95</c:f>
              <c:numCache>
                <c:formatCode>_(* #,##0_);_(* \(#,##0\);_(* "-"??_);_(@_)</c:formatCode>
                <c:ptCount val="10"/>
                <c:pt idx="0">
                  <c:v>6883827.7460161308</c:v>
                </c:pt>
                <c:pt idx="1">
                  <c:v>7804828.1258481285</c:v>
                </c:pt>
                <c:pt idx="2">
                  <c:v>8753993.5774092209</c:v>
                </c:pt>
                <c:pt idx="3">
                  <c:v>9761995.7582865059</c:v>
                </c:pt>
                <c:pt idx="4">
                  <c:v>10798394.65962089</c:v>
                </c:pt>
                <c:pt idx="5">
                  <c:v>11874742.027697625</c:v>
                </c:pt>
                <c:pt idx="6">
                  <c:v>12992221.241625858</c:v>
                </c:pt>
                <c:pt idx="7">
                  <c:v>14152047.036292423</c:v>
                </c:pt>
                <c:pt idx="8">
                  <c:v>15355466.283241287</c:v>
                </c:pt>
                <c:pt idx="9">
                  <c:v>16603758.79024587</c:v>
                </c:pt>
              </c:numCache>
            </c:numRef>
          </c:val>
          <c:extLst>
            <c:ext xmlns:c16="http://schemas.microsoft.com/office/drawing/2014/chart" uri="{C3380CC4-5D6E-409C-BE32-E72D297353CC}">
              <c16:uniqueId val="{00000000-FC0C-4EEF-8A7B-1D8886ADA506}"/>
            </c:ext>
          </c:extLst>
        </c:ser>
        <c:ser>
          <c:idx val="1"/>
          <c:order val="1"/>
          <c:tx>
            <c:strRef>
              <c:f>DTE_cost_per_minute_forecast!$B$96</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DTE_cost_per_minute_forecast!$C$96:$L$96</c:f>
              <c:numCache>
                <c:formatCode>_(* #,##0_);_(* \(#,##0\);_(* "-"??_);_(@_)</c:formatCode>
                <c:ptCount val="10"/>
                <c:pt idx="0">
                  <c:v>8688737.9200480878</c:v>
                </c:pt>
                <c:pt idx="1">
                  <c:v>7291407.2770631528</c:v>
                </c:pt>
                <c:pt idx="2">
                  <c:v>6584363.9377724975</c:v>
                </c:pt>
                <c:pt idx="3">
                  <c:v>5790809.051835116</c:v>
                </c:pt>
                <c:pt idx="4">
                  <c:v>7131958.2068036338</c:v>
                </c:pt>
                <c:pt idx="5">
                  <c:v>7364703.0940503236</c:v>
                </c:pt>
                <c:pt idx="6">
                  <c:v>7667202.6881461702</c:v>
                </c:pt>
                <c:pt idx="7">
                  <c:v>8895110.3515260629</c:v>
                </c:pt>
                <c:pt idx="8">
                  <c:v>9664730.1288466509</c:v>
                </c:pt>
                <c:pt idx="9">
                  <c:v>10461587.478533316</c:v>
                </c:pt>
              </c:numCache>
            </c:numRef>
          </c:val>
          <c:extLst>
            <c:ext xmlns:c16="http://schemas.microsoft.com/office/drawing/2014/chart" uri="{C3380CC4-5D6E-409C-BE32-E72D297353CC}">
              <c16:uniqueId val="{00000001-FC0C-4EEF-8A7B-1D8886ADA506}"/>
            </c:ext>
          </c:extLst>
        </c:ser>
        <c:ser>
          <c:idx val="2"/>
          <c:order val="2"/>
          <c:tx>
            <c:strRef>
              <c:f>DTE_cost_per_minute_forecast!$B$97</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DTE_cost_per_minute_forecast!$C$97:$L$97</c:f>
              <c:numCache>
                <c:formatCode>_(* #,##0_);_(* \(#,##0\);_(* "-"??_);_(@_)</c:formatCode>
                <c:ptCount val="10"/>
                <c:pt idx="0">
                  <c:v>147744.38256049724</c:v>
                </c:pt>
                <c:pt idx="1">
                  <c:v>165219.28446668622</c:v>
                </c:pt>
                <c:pt idx="2">
                  <c:v>202521.31563545804</c:v>
                </c:pt>
                <c:pt idx="3">
                  <c:v>222726.05608728607</c:v>
                </c:pt>
                <c:pt idx="4">
                  <c:v>243687.51400470544</c:v>
                </c:pt>
                <c:pt idx="5">
                  <c:v>265427.87619015906</c:v>
                </c:pt>
                <c:pt idx="6">
                  <c:v>287969.91423120117</c:v>
                </c:pt>
                <c:pt idx="7">
                  <c:v>311336.99901718128</c:v>
                </c:pt>
                <c:pt idx="8">
                  <c:v>335553.1156026806</c:v>
                </c:pt>
                <c:pt idx="9">
                  <c:v>360642.87842576514</c:v>
                </c:pt>
              </c:numCache>
            </c:numRef>
          </c:val>
          <c:extLst>
            <c:ext xmlns:c16="http://schemas.microsoft.com/office/drawing/2014/chart" uri="{C3380CC4-5D6E-409C-BE32-E72D297353CC}">
              <c16:uniqueId val="{00000002-FC0C-4EEF-8A7B-1D8886ADA506}"/>
            </c:ext>
          </c:extLst>
        </c:ser>
        <c:ser>
          <c:idx val="3"/>
          <c:order val="3"/>
          <c:tx>
            <c:strRef>
              <c:f>DTE_cost_per_minute_forecast!$B$98</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DTE_cost_per_minute_forecast!$C$98:$L$98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C0C-4EEF-8A7B-1D8886ADA506}"/>
            </c:ext>
          </c:extLst>
        </c:ser>
        <c:ser>
          <c:idx val="4"/>
          <c:order val="4"/>
          <c:tx>
            <c:strRef>
              <c:f>DTE_cost_per_minute_forecast!$B$99</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DTE_cost_per_minute_forecast!$C$99:$L$99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C0C-4EEF-8A7B-1D8886ADA506}"/>
            </c:ext>
          </c:extLst>
        </c:ser>
        <c:ser>
          <c:idx val="5"/>
          <c:order val="5"/>
          <c:tx>
            <c:strRef>
              <c:f>DTE_cost_per_minute_forecast!$B$100</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DTE_cost_per_minute_forecast!$C$100:$L$100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C0C-4EEF-8A7B-1D8886ADA506}"/>
            </c:ext>
          </c:extLst>
        </c:ser>
        <c:ser>
          <c:idx val="6"/>
          <c:order val="6"/>
          <c:tx>
            <c:strRef>
              <c:f>DTE_cost_per_minute_forecast!$B$101</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DTE_cost_per_minute_forecast!$C$101:$L$101</c:f>
              <c:numCache>
                <c:formatCode>_(* #,##0_);_(* \(#,##0\);_(* "-"??_);_(@_)</c:formatCode>
                <c:ptCount val="10"/>
                <c:pt idx="0">
                  <c:v>15811.718060188532</c:v>
                </c:pt>
                <c:pt idx="1">
                  <c:v>19383.945588645951</c:v>
                </c:pt>
                <c:pt idx="2">
                  <c:v>22302.046995289562</c:v>
                </c:pt>
                <c:pt idx="3">
                  <c:v>25944.050939076937</c:v>
                </c:pt>
                <c:pt idx="4">
                  <c:v>36000.286027503396</c:v>
                </c:pt>
                <c:pt idx="5">
                  <c:v>39904.806029428328</c:v>
                </c:pt>
                <c:pt idx="6">
                  <c:v>43956.082127977323</c:v>
                </c:pt>
                <c:pt idx="7">
                  <c:v>48158.422759014582</c:v>
                </c:pt>
                <c:pt idx="8">
                  <c:v>52516.249993400219</c:v>
                </c:pt>
                <c:pt idx="9">
                  <c:v>57034.102359015764</c:v>
                </c:pt>
              </c:numCache>
            </c:numRef>
          </c:val>
          <c:extLst>
            <c:ext xmlns:c16="http://schemas.microsoft.com/office/drawing/2014/chart" uri="{C3380CC4-5D6E-409C-BE32-E72D297353CC}">
              <c16:uniqueId val="{00000006-FC0C-4EEF-8A7B-1D8886ADA506}"/>
            </c:ext>
          </c:extLst>
        </c:ser>
        <c:ser>
          <c:idx val="7"/>
          <c:order val="7"/>
          <c:tx>
            <c:strRef>
              <c:f>DTE_cost_per_minute_forecast!$B$102</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DTE_cost_per_minute_forecast!$C$102:$L$102</c:f>
              <c:numCache>
                <c:formatCode>_(* #,##0_);_(* \(#,##0\);_(* "-"??_);_(@_)</c:formatCode>
                <c:ptCount val="10"/>
                <c:pt idx="0">
                  <c:v>1014905.4629114859</c:v>
                </c:pt>
                <c:pt idx="1">
                  <c:v>2043087.5530773932</c:v>
                </c:pt>
                <c:pt idx="2">
                  <c:v>2308517.4737144578</c:v>
                </c:pt>
                <c:pt idx="3">
                  <c:v>2584698.9547207118</c:v>
                </c:pt>
                <c:pt idx="4">
                  <c:v>2871250.5746907471</c:v>
                </c:pt>
                <c:pt idx="5">
                  <c:v>4008318.720235242</c:v>
                </c:pt>
                <c:pt idx="6">
                  <c:v>4333704.4707187479</c:v>
                </c:pt>
                <c:pt idx="7">
                  <c:v>4670810.9225809267</c:v>
                </c:pt>
                <c:pt idx="8">
                  <c:v>5019976.7495767307</c:v>
                </c:pt>
                <c:pt idx="9">
                  <c:v>5381549.4841307634</c:v>
                </c:pt>
              </c:numCache>
            </c:numRef>
          </c:val>
          <c:extLst>
            <c:ext xmlns:c16="http://schemas.microsoft.com/office/drawing/2014/chart" uri="{C3380CC4-5D6E-409C-BE32-E72D297353CC}">
              <c16:uniqueId val="{00000007-FC0C-4EEF-8A7B-1D8886ADA506}"/>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 (60% profit margin)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DTE_cost_per_minute_forecast!$B$115</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DTE_cost_per_minute_forecast!$C$115:$L$115</c:f>
              <c:numCache>
                <c:formatCode>_(* #,##0_);_(* \(#,##0\);_(* "-"??_);_(@_)</c:formatCode>
                <c:ptCount val="10"/>
                <c:pt idx="0">
                  <c:v>7021671.6818302013</c:v>
                </c:pt>
                <c:pt idx="1">
                  <c:v>7194861.115476721</c:v>
                </c:pt>
                <c:pt idx="2">
                  <c:v>7365402.1293783356</c:v>
                </c:pt>
                <c:pt idx="3">
                  <c:v>7567306.3165373495</c:v>
                </c:pt>
                <c:pt idx="4">
                  <c:v>7764715.6310772337</c:v>
                </c:pt>
                <c:pt idx="5">
                  <c:v>7969734.177377563</c:v>
                </c:pt>
                <c:pt idx="6">
                  <c:v>8182587.3609829415</c:v>
                </c:pt>
                <c:pt idx="7">
                  <c:v>8403506.5599670485</c:v>
                </c:pt>
                <c:pt idx="8">
                  <c:v>8632729.2736715954</c:v>
                </c:pt>
                <c:pt idx="9">
                  <c:v>8870499.2750058006</c:v>
                </c:pt>
              </c:numCache>
            </c:numRef>
          </c:val>
          <c:extLst>
            <c:ext xmlns:c16="http://schemas.microsoft.com/office/drawing/2014/chart" uri="{C3380CC4-5D6E-409C-BE32-E72D297353CC}">
              <c16:uniqueId val="{00000000-16A7-4652-9972-A045DF85B632}"/>
            </c:ext>
          </c:extLst>
        </c:ser>
        <c:ser>
          <c:idx val="1"/>
          <c:order val="1"/>
          <c:tx>
            <c:strRef>
              <c:f>DTE_cost_per_minute_forecast!$B$116</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DTE_cost_per_minute_forecast!$C$116:$L$116</c:f>
              <c:numCache>
                <c:formatCode>_(* #,##0_);_(* \(#,##0\);_(* "-"??_);_(@_)</c:formatCode>
                <c:ptCount val="10"/>
                <c:pt idx="0">
                  <c:v>9512744.7088295165</c:v>
                </c:pt>
                <c:pt idx="1">
                  <c:v>7524527.9609364029</c:v>
                </c:pt>
                <c:pt idx="2">
                  <c:v>6453495.7236459423</c:v>
                </c:pt>
                <c:pt idx="3">
                  <c:v>4834621.6125358902</c:v>
                </c:pt>
                <c:pt idx="4">
                  <c:v>5876915.8882276732</c:v>
                </c:pt>
                <c:pt idx="5">
                  <c:v>5633557.9031023001</c:v>
                </c:pt>
                <c:pt idx="6">
                  <c:v>5450455.0546646351</c:v>
                </c:pt>
                <c:pt idx="7">
                  <c:v>6304922.0597086037</c:v>
                </c:pt>
                <c:pt idx="8">
                  <c:v>6615002.0640533268</c:v>
                </c:pt>
                <c:pt idx="9">
                  <c:v>6934975.6716495175</c:v>
                </c:pt>
              </c:numCache>
            </c:numRef>
          </c:val>
          <c:extLst>
            <c:ext xmlns:c16="http://schemas.microsoft.com/office/drawing/2014/chart" uri="{C3380CC4-5D6E-409C-BE32-E72D297353CC}">
              <c16:uniqueId val="{00000001-16A7-4652-9972-A045DF85B632}"/>
            </c:ext>
          </c:extLst>
        </c:ser>
        <c:ser>
          <c:idx val="2"/>
          <c:order val="2"/>
          <c:tx>
            <c:strRef>
              <c:f>DTE_cost_per_minute_forecast!$B$117</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DTE_cost_per_minute_forecast!$C$117:$L$117</c:f>
              <c:numCache>
                <c:formatCode>_(* #,##0_);_(* \(#,##0\);_(* "-"??_);_(@_)</c:formatCode>
                <c:ptCount val="10"/>
                <c:pt idx="0">
                  <c:v>154082.5360401127</c:v>
                </c:pt>
                <c:pt idx="1">
                  <c:v>158694.93814271197</c:v>
                </c:pt>
                <c:pt idx="2">
                  <c:v>185358.46724569571</c:v>
                </c:pt>
                <c:pt idx="3">
                  <c:v>191855.59182336123</c:v>
                </c:pt>
                <c:pt idx="4">
                  <c:v>198572.21385297491</c:v>
                </c:pt>
                <c:pt idx="5">
                  <c:v>205514.51438278364</c:v>
                </c:pt>
                <c:pt idx="6">
                  <c:v>212688.83390398332</c:v>
                </c:pt>
                <c:pt idx="7">
                  <c:v>220101.67625601761</c:v>
                </c:pt>
                <c:pt idx="8">
                  <c:v>227759.71262431162</c:v>
                </c:pt>
                <c:pt idx="9">
                  <c:v>235669.78563257476</c:v>
                </c:pt>
              </c:numCache>
            </c:numRef>
          </c:val>
          <c:extLst>
            <c:ext xmlns:c16="http://schemas.microsoft.com/office/drawing/2014/chart" uri="{C3380CC4-5D6E-409C-BE32-E72D297353CC}">
              <c16:uniqueId val="{00000002-16A7-4652-9972-A045DF85B632}"/>
            </c:ext>
          </c:extLst>
        </c:ser>
        <c:ser>
          <c:idx val="3"/>
          <c:order val="3"/>
          <c:tx>
            <c:strRef>
              <c:f>DTE_cost_per_minute_forecast!$B$118</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DTE_cost_per_minute_forecast!$C$118:$L$118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6A7-4652-9972-A045DF85B632}"/>
            </c:ext>
          </c:extLst>
        </c:ser>
        <c:ser>
          <c:idx val="4"/>
          <c:order val="4"/>
          <c:tx>
            <c:strRef>
              <c:f>DTE_cost_per_minute_forecast!$B$119</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DTE_cost_per_minute_forecast!$C$119:$L$119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6A7-4652-9972-A045DF85B632}"/>
            </c:ext>
          </c:extLst>
        </c:ser>
        <c:ser>
          <c:idx val="5"/>
          <c:order val="5"/>
          <c:tx>
            <c:strRef>
              <c:f>DTE_cost_per_minute_forecast!$B$120</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DTE_cost_per_minute_forecast!$C$120:$L$120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6A7-4652-9972-A045DF85B632}"/>
            </c:ext>
          </c:extLst>
        </c:ser>
        <c:ser>
          <c:idx val="6"/>
          <c:order val="6"/>
          <c:tx>
            <c:strRef>
              <c:f>DTE_cost_per_minute_forecast!$B$121</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DTE_cost_per_minute_forecast!$C$121:$L$121</c:f>
              <c:numCache>
                <c:formatCode>_(* #,##0_);_(* \(#,##0\);_(* "-"??_);_(@_)</c:formatCode>
                <c:ptCount val="10"/>
                <c:pt idx="0">
                  <c:v>15938.215943895839</c:v>
                </c:pt>
                <c:pt idx="1">
                  <c:v>17803.149949389044</c:v>
                </c:pt>
                <c:pt idx="2">
                  <c:v>18832.659702178105</c:v>
                </c:pt>
                <c:pt idx="3">
                  <c:v>20599.008081228658</c:v>
                </c:pt>
                <c:pt idx="4">
                  <c:v>29602.730823772599</c:v>
                </c:pt>
                <c:pt idx="5">
                  <c:v>31479.977878885271</c:v>
                </c:pt>
                <c:pt idx="6">
                  <c:v>33426.159907825036</c:v>
                </c:pt>
                <c:pt idx="7">
                  <c:v>35443.283410722914</c:v>
                </c:pt>
                <c:pt idx="8">
                  <c:v>37533.407573725679</c:v>
                </c:pt>
                <c:pt idx="9">
                  <c:v>39698.645573836358</c:v>
                </c:pt>
              </c:numCache>
            </c:numRef>
          </c:val>
          <c:extLst>
            <c:ext xmlns:c16="http://schemas.microsoft.com/office/drawing/2014/chart" uri="{C3380CC4-5D6E-409C-BE32-E72D297353CC}">
              <c16:uniqueId val="{00000006-16A7-4652-9972-A045DF85B632}"/>
            </c:ext>
          </c:extLst>
        </c:ser>
        <c:ser>
          <c:idx val="7"/>
          <c:order val="7"/>
          <c:tx>
            <c:strRef>
              <c:f>DTE_cost_per_minute_forecast!$B$122</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DTE_cost_per_minute_forecast!$C$122:$L$122</c:f>
              <c:numCache>
                <c:formatCode>_(* #,##0_);_(* \(#,##0\);_(* "-"??_);_(@_)</c:formatCode>
                <c:ptCount val="10"/>
                <c:pt idx="0">
                  <c:v>983549.75908355881</c:v>
                </c:pt>
                <c:pt idx="1">
                  <c:v>1975219.1185167022</c:v>
                </c:pt>
                <c:pt idx="2">
                  <c:v>2087906.4141946074</c:v>
                </c:pt>
                <c:pt idx="3">
                  <c:v>2205398.6552692931</c:v>
                </c:pt>
                <c:pt idx="4">
                  <c:v>2327036.8939504512</c:v>
                </c:pt>
                <c:pt idx="5">
                  <c:v>3412759.4631253728</c:v>
                </c:pt>
                <c:pt idx="6">
                  <c:v>3562675.4109921195</c:v>
                </c:pt>
                <c:pt idx="7">
                  <c:v>3717575.5773853436</c:v>
                </c:pt>
                <c:pt idx="8">
                  <c:v>3877599.3646669602</c:v>
                </c:pt>
                <c:pt idx="9">
                  <c:v>4042889.7576059462</c:v>
                </c:pt>
              </c:numCache>
            </c:numRef>
          </c:val>
          <c:extLst>
            <c:ext xmlns:c16="http://schemas.microsoft.com/office/drawing/2014/chart" uri="{C3380CC4-5D6E-409C-BE32-E72D297353CC}">
              <c16:uniqueId val="{00000007-16A7-4652-9972-A045DF85B632}"/>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DTE_cost_per_minute_forecast!$B$133</c:f>
              <c:strCache>
                <c:ptCount val="1"/>
                <c:pt idx="0">
                  <c:v>Human Space Flight</c:v>
                </c:pt>
              </c:strCache>
            </c:strRef>
          </c:tx>
          <c:spPr>
            <a:solidFill>
              <a:schemeClr val="accent1"/>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DTE_cost_per_minute_forecast!$C$133:$L$133</c:f>
              <c:numCache>
                <c:formatCode>_(* #,##0_);_(* \(#,##0\);_(* "-"??_);_(@_)</c:formatCode>
                <c:ptCount val="10"/>
                <c:pt idx="0">
                  <c:v>7529007.6985717136</c:v>
                </c:pt>
                <c:pt idx="1">
                  <c:v>8229826.5896294061</c:v>
                </c:pt>
                <c:pt idx="2">
                  <c:v>8948899.3048319444</c:v>
                </c:pt>
                <c:pt idx="3">
                  <c:v>9720862.4751542602</c:v>
                </c:pt>
                <c:pt idx="4">
                  <c:v>10510499.733313793</c:v>
                </c:pt>
                <c:pt idx="5">
                  <c:v>11330573.91851511</c:v>
                </c:pt>
                <c:pt idx="6">
                  <c:v>12181986.652936624</c:v>
                </c:pt>
                <c:pt idx="7">
                  <c:v>13065663.448873054</c:v>
                </c:pt>
                <c:pt idx="8">
                  <c:v>13982554.303691234</c:v>
                </c:pt>
                <c:pt idx="9">
                  <c:v>14933634.309028061</c:v>
                </c:pt>
              </c:numCache>
            </c:numRef>
          </c:val>
          <c:extLst>
            <c:ext xmlns:c16="http://schemas.microsoft.com/office/drawing/2014/chart" uri="{C3380CC4-5D6E-409C-BE32-E72D297353CC}">
              <c16:uniqueId val="{00000000-43AC-4AB7-B3D1-DB33850214E9}"/>
            </c:ext>
          </c:extLst>
        </c:ser>
        <c:ser>
          <c:idx val="1"/>
          <c:order val="1"/>
          <c:tx>
            <c:strRef>
              <c:f>DTE_cost_per_minute_forecast!$B$134</c:f>
              <c:strCache>
                <c:ptCount val="1"/>
                <c:pt idx="0">
                  <c:v>Near Earth Robotic - LEO Science</c:v>
                </c:pt>
              </c:strCache>
            </c:strRef>
          </c:tx>
          <c:spPr>
            <a:solidFill>
              <a:schemeClr val="accent2"/>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DTE_cost_per_minute_forecast!$C$134:$L$134</c:f>
              <c:numCache>
                <c:formatCode>_(* #,##0_);_(* \(#,##0\);_(* "-"??_);_(@_)</c:formatCode>
                <c:ptCount val="10"/>
                <c:pt idx="0">
                  <c:v>9721365.4515850954</c:v>
                </c:pt>
                <c:pt idx="1">
                  <c:v>7928782.4245042894</c:v>
                </c:pt>
                <c:pt idx="2">
                  <c:v>6989241.5405501137</c:v>
                </c:pt>
                <c:pt idx="3">
                  <c:v>5726344.5501737259</c:v>
                </c:pt>
                <c:pt idx="4">
                  <c:v>7013862.6337159127</c:v>
                </c:pt>
                <c:pt idx="5">
                  <c:v>7025180.7195799071</c:v>
                </c:pt>
                <c:pt idx="6">
                  <c:v>7106486.2062729886</c:v>
                </c:pt>
                <c:pt idx="7">
                  <c:v>8235381.2307263399</c:v>
                </c:pt>
                <c:pt idx="8">
                  <c:v>8830203.9627961796</c:v>
                </c:pt>
                <c:pt idx="9">
                  <c:v>9445537.8235580828</c:v>
                </c:pt>
              </c:numCache>
            </c:numRef>
          </c:val>
          <c:extLst>
            <c:ext xmlns:c16="http://schemas.microsoft.com/office/drawing/2014/chart" uri="{C3380CC4-5D6E-409C-BE32-E72D297353CC}">
              <c16:uniqueId val="{00000001-43AC-4AB7-B3D1-DB33850214E9}"/>
            </c:ext>
          </c:extLst>
        </c:ser>
        <c:ser>
          <c:idx val="2"/>
          <c:order val="2"/>
          <c:tx>
            <c:strRef>
              <c:f>DTE_cost_per_minute_forecast!$B$135</c:f>
              <c:strCache>
                <c:ptCount val="1"/>
                <c:pt idx="0">
                  <c:v>Near Earth Robotic - GEO and Near Earth</c:v>
                </c:pt>
              </c:strCache>
            </c:strRef>
          </c:tx>
          <c:spPr>
            <a:solidFill>
              <a:schemeClr val="accent3"/>
            </a:solidFill>
            <a:ln>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DTE_cost_per_minute_forecast!$C$135:$L$135</c:f>
              <c:numCache>
                <c:formatCode>_(* #,##0_);_(* \(#,##0\);_(* "-"??_);_(@_)</c:formatCode>
                <c:ptCount val="10"/>
                <c:pt idx="0">
                  <c:v>160411.75899132839</c:v>
                </c:pt>
                <c:pt idx="1">
                  <c:v>171606.55296319196</c:v>
                </c:pt>
                <c:pt idx="2">
                  <c:v>205113.23792103006</c:v>
                </c:pt>
                <c:pt idx="3">
                  <c:v>218722.07994181593</c:v>
                </c:pt>
                <c:pt idx="4">
                  <c:v>232826.98620400467</c:v>
                </c:pt>
                <c:pt idx="5">
                  <c:v>247442.35574044409</c:v>
                </c:pt>
                <c:pt idx="6">
                  <c:v>262582.96511959925</c:v>
                </c:pt>
                <c:pt idx="7">
                  <c:v>278263.97778736422</c:v>
                </c:pt>
                <c:pt idx="8">
                  <c:v>294500.9536315318</c:v>
                </c:pt>
                <c:pt idx="9">
                  <c:v>311309.85877409094</c:v>
                </c:pt>
              </c:numCache>
            </c:numRef>
          </c:val>
          <c:extLst>
            <c:ext xmlns:c16="http://schemas.microsoft.com/office/drawing/2014/chart" uri="{C3380CC4-5D6E-409C-BE32-E72D297353CC}">
              <c16:uniqueId val="{00000002-43AC-4AB7-B3D1-DB33850214E9}"/>
            </c:ext>
          </c:extLst>
        </c:ser>
        <c:ser>
          <c:idx val="3"/>
          <c:order val="3"/>
          <c:tx>
            <c:strRef>
              <c:f>DTE_cost_per_minute_forecast!$B$136</c:f>
              <c:strCache>
                <c:ptCount val="1"/>
                <c:pt idx="0">
                  <c:v>Deep Space Robotic</c:v>
                </c:pt>
              </c:strCache>
            </c:strRef>
          </c:tx>
          <c:spPr>
            <a:solidFill>
              <a:schemeClr val="accent4"/>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DTE_cost_per_minute_forecast!$C$136:$L$136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3AC-4AB7-B3D1-DB33850214E9}"/>
            </c:ext>
          </c:extLst>
        </c:ser>
        <c:ser>
          <c:idx val="4"/>
          <c:order val="4"/>
          <c:tx>
            <c:strRef>
              <c:f>DTE_cost_per_minute_forecast!$B$137</c:f>
              <c:strCache>
                <c:ptCount val="1"/>
                <c:pt idx="0">
                  <c:v>Near Earth Robotic - Low Latency &amp; Complex Needs</c:v>
                </c:pt>
              </c:strCache>
            </c:strRef>
          </c:tx>
          <c:spPr>
            <a:solidFill>
              <a:schemeClr val="accent5"/>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DTE_cost_per_minute_forecast!$C$137:$L$137</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43AC-4AB7-B3D1-DB33850214E9}"/>
            </c:ext>
          </c:extLst>
        </c:ser>
        <c:ser>
          <c:idx val="5"/>
          <c:order val="5"/>
          <c:tx>
            <c:strRef>
              <c:f>DTE_cost_per_minute_forecast!$B$138</c:f>
              <c:strCache>
                <c:ptCount val="1"/>
                <c:pt idx="0">
                  <c:v>Mission Operations</c:v>
                </c:pt>
              </c:strCache>
            </c:strRef>
          </c:tx>
          <c:spPr>
            <a:solidFill>
              <a:schemeClr val="accent6"/>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DTE_cost_per_minute_forecast!$C$138:$L$138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3AC-4AB7-B3D1-DB33850214E9}"/>
            </c:ext>
          </c:extLst>
        </c:ser>
        <c:ser>
          <c:idx val="6"/>
          <c:order val="6"/>
          <c:tx>
            <c:strRef>
              <c:f>DTE_cost_per_minute_forecast!$B$139</c:f>
              <c:strCache>
                <c:ptCount val="1"/>
                <c:pt idx="0">
                  <c:v>Launch Events</c:v>
                </c:pt>
              </c:strCache>
            </c:strRef>
          </c:tx>
          <c:spPr>
            <a:solidFill>
              <a:schemeClr val="accent1">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DTE_cost_per_minute_forecast!$C$139:$L$139</c:f>
              <c:numCache>
                <c:formatCode>_(* #,##0_);_(* \(#,##0\);_(* "-"??_);_(@_)</c:formatCode>
                <c:ptCount val="10"/>
                <c:pt idx="0">
                  <c:v>17359.761931918449</c:v>
                </c:pt>
                <c:pt idx="1">
                  <c:v>20703.103764955169</c:v>
                </c:pt>
                <c:pt idx="2">
                  <c:v>23269.58903999428</c:v>
                </c:pt>
                <c:pt idx="3">
                  <c:v>26633.231980658649</c:v>
                </c:pt>
                <c:pt idx="4">
                  <c:v>37296.366295545842</c:v>
                </c:pt>
                <c:pt idx="5">
                  <c:v>40896.987696335724</c:v>
                </c:pt>
                <c:pt idx="6">
                  <c:v>44632.401590591071</c:v>
                </c:pt>
                <c:pt idx="7">
                  <c:v>48506.559429490175</c:v>
                </c:pt>
                <c:pt idx="8">
                  <c:v>52523.516805261119</c:v>
                </c:pt>
                <c:pt idx="9">
                  <c:v>56687.436036243191</c:v>
                </c:pt>
              </c:numCache>
            </c:numRef>
          </c:val>
          <c:extLst>
            <c:ext xmlns:c16="http://schemas.microsoft.com/office/drawing/2014/chart" uri="{C3380CC4-5D6E-409C-BE32-E72D297353CC}">
              <c16:uniqueId val="{00000006-43AC-4AB7-B3D1-DB33850214E9}"/>
            </c:ext>
          </c:extLst>
        </c:ser>
        <c:ser>
          <c:idx val="7"/>
          <c:order val="7"/>
          <c:tx>
            <c:strRef>
              <c:f>DTE_cost_per_minute_forecast!$B$140</c:f>
              <c:strCache>
                <c:ptCount val="1"/>
                <c:pt idx="0">
                  <c:v>Terrestrial &amp; Aerial</c:v>
                </c:pt>
              </c:strCache>
            </c:strRef>
          </c:tx>
          <c:spPr>
            <a:solidFill>
              <a:schemeClr val="accent2">
                <a:lumMod val="60000"/>
              </a:schemeClr>
            </a:solidFill>
            <a:ln w="25400">
              <a:noFill/>
            </a:ln>
            <a:effectLst/>
          </c:spPr>
          <c:cat>
            <c:numRef>
              <c:f>DTE_cost_per_minute_forecast!$C$76:$L$76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DTE_cost_per_minute_forecast!$C$140:$L$140</c:f>
              <c:numCache>
                <c:formatCode>_(* #,##0_);_(* \(#,##0\);_(* "-"??_);_(@_)</c:formatCode>
                <c:ptCount val="10"/>
                <c:pt idx="0">
                  <c:v>1071720.8583483431</c:v>
                </c:pt>
                <c:pt idx="1">
                  <c:v>2155088.1610168614</c:v>
                </c:pt>
                <c:pt idx="2">
                  <c:v>2363106.0492198518</c:v>
                </c:pt>
                <c:pt idx="3">
                  <c:v>2579670.1589036253</c:v>
                </c:pt>
                <c:pt idx="4">
                  <c:v>2804233.0610842244</c:v>
                </c:pt>
                <c:pt idx="5">
                  <c:v>3996847.5716971117</c:v>
                </c:pt>
                <c:pt idx="6">
                  <c:v>4257740.2601924874</c:v>
                </c:pt>
                <c:pt idx="7">
                  <c:v>4527822.6015960583</c:v>
                </c:pt>
                <c:pt idx="8">
                  <c:v>4807357.8249487551</c:v>
                </c:pt>
                <c:pt idx="9">
                  <c:v>5096616.0125919813</c:v>
                </c:pt>
              </c:numCache>
            </c:numRef>
          </c:val>
          <c:extLst>
            <c:ext xmlns:c16="http://schemas.microsoft.com/office/drawing/2014/chart" uri="{C3380CC4-5D6E-409C-BE32-E72D297353CC}">
              <c16:uniqueId val="{00000007-43AC-4AB7-B3D1-DB33850214E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DTE_cost_per_minute_forecast!$B$151</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DTE_cost_per_minute_forecast!$C$151:$L$151</c:f>
              <c:numCache>
                <c:formatCode>_(* #,##0_);_(* \(#,##0\);_(* "-"??_);_(@_)</c:formatCode>
                <c:ptCount val="10"/>
                <c:pt idx="0">
                  <c:v>7867231.7097327225</c:v>
                </c:pt>
                <c:pt idx="1">
                  <c:v>8919803.5723978635</c:v>
                </c:pt>
                <c:pt idx="2">
                  <c:v>10004564.088467684</c:v>
                </c:pt>
                <c:pt idx="3">
                  <c:v>11156566.580898866</c:v>
                </c:pt>
                <c:pt idx="4">
                  <c:v>12341022.468138164</c:v>
                </c:pt>
                <c:pt idx="5">
                  <c:v>13571133.745940145</c:v>
                </c:pt>
                <c:pt idx="6">
                  <c:v>14848252.847572412</c:v>
                </c:pt>
                <c:pt idx="7">
                  <c:v>16173768.041477058</c:v>
                </c:pt>
                <c:pt idx="8">
                  <c:v>17549104.323704332</c:v>
                </c:pt>
                <c:pt idx="9">
                  <c:v>18975724.331709567</c:v>
                </c:pt>
              </c:numCache>
            </c:numRef>
          </c:val>
          <c:extLst>
            <c:ext xmlns:c16="http://schemas.microsoft.com/office/drawing/2014/chart" uri="{C3380CC4-5D6E-409C-BE32-E72D297353CC}">
              <c16:uniqueId val="{00000000-2D2F-41FD-9109-9B5FB0DD8679}"/>
            </c:ext>
          </c:extLst>
        </c:ser>
        <c:ser>
          <c:idx val="1"/>
          <c:order val="1"/>
          <c:tx>
            <c:strRef>
              <c:f>DTE_cost_per_minute_forecast!$B$152</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DTE_cost_per_minute_forecast!$C$152:$L$152</c:f>
              <c:numCache>
                <c:formatCode>_(* #,##0_);_(* \(#,##0\);_(* "-"??_);_(@_)</c:formatCode>
                <c:ptCount val="10"/>
                <c:pt idx="0">
                  <c:v>9929986.1943406742</c:v>
                </c:pt>
                <c:pt idx="1">
                  <c:v>8333036.8880721759</c:v>
                </c:pt>
                <c:pt idx="2">
                  <c:v>7524987.357454285</c:v>
                </c:pt>
                <c:pt idx="3">
                  <c:v>6618067.4878115626</c:v>
                </c:pt>
                <c:pt idx="4">
                  <c:v>8150809.379204154</c:v>
                </c:pt>
                <c:pt idx="5">
                  <c:v>8416803.5360575151</c:v>
                </c:pt>
                <c:pt idx="6">
                  <c:v>8762517.3578813393</c:v>
                </c:pt>
                <c:pt idx="7">
                  <c:v>10165840.401744073</c:v>
                </c:pt>
                <c:pt idx="8">
                  <c:v>11045405.861539032</c:v>
                </c:pt>
                <c:pt idx="9">
                  <c:v>11956099.975466648</c:v>
                </c:pt>
              </c:numCache>
            </c:numRef>
          </c:val>
          <c:extLst>
            <c:ext xmlns:c16="http://schemas.microsoft.com/office/drawing/2014/chart" uri="{C3380CC4-5D6E-409C-BE32-E72D297353CC}">
              <c16:uniqueId val="{00000001-2D2F-41FD-9109-9B5FB0DD8679}"/>
            </c:ext>
          </c:extLst>
        </c:ser>
        <c:ser>
          <c:idx val="2"/>
          <c:order val="2"/>
          <c:tx>
            <c:strRef>
              <c:f>DTE_cost_per_minute_forecast!$B$153</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DTE_cost_per_minute_forecast!$C$153:$L$153</c:f>
              <c:numCache>
                <c:formatCode>_(* #,##0_);_(* \(#,##0\);_(* "-"??_);_(@_)</c:formatCode>
                <c:ptCount val="10"/>
                <c:pt idx="0">
                  <c:v>168850.72292628259</c:v>
                </c:pt>
                <c:pt idx="1">
                  <c:v>188822.0393904986</c:v>
                </c:pt>
                <c:pt idx="2">
                  <c:v>231452.93215480921</c:v>
                </c:pt>
                <c:pt idx="3">
                  <c:v>254544.06409975557</c:v>
                </c:pt>
                <c:pt idx="4">
                  <c:v>278500.01600537769</c:v>
                </c:pt>
                <c:pt idx="5">
                  <c:v>303346.14421732468</c:v>
                </c:pt>
                <c:pt idx="6">
                  <c:v>329108.47340708715</c:v>
                </c:pt>
                <c:pt idx="7">
                  <c:v>355813.71316249296</c:v>
                </c:pt>
                <c:pt idx="8">
                  <c:v>383489.27497449215</c:v>
                </c:pt>
                <c:pt idx="9">
                  <c:v>412163.28962944599</c:v>
                </c:pt>
              </c:numCache>
            </c:numRef>
          </c:val>
          <c:extLst>
            <c:ext xmlns:c16="http://schemas.microsoft.com/office/drawing/2014/chart" uri="{C3380CC4-5D6E-409C-BE32-E72D297353CC}">
              <c16:uniqueId val="{00000002-2D2F-41FD-9109-9B5FB0DD8679}"/>
            </c:ext>
          </c:extLst>
        </c:ser>
        <c:ser>
          <c:idx val="3"/>
          <c:order val="3"/>
          <c:tx>
            <c:strRef>
              <c:f>DTE_cost_per_minute_forecast!$B$154</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DTE_cost_per_minute_forecast!$C$154:$L$154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2D2F-41FD-9109-9B5FB0DD8679}"/>
            </c:ext>
          </c:extLst>
        </c:ser>
        <c:ser>
          <c:idx val="4"/>
          <c:order val="4"/>
          <c:tx>
            <c:strRef>
              <c:f>DTE_cost_per_minute_forecast!$B$155</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DTE_cost_per_minute_forecast!$C$155:$L$155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2D2F-41FD-9109-9B5FB0DD8679}"/>
            </c:ext>
          </c:extLst>
        </c:ser>
        <c:ser>
          <c:idx val="5"/>
          <c:order val="5"/>
          <c:tx>
            <c:strRef>
              <c:f>DTE_cost_per_minute_forecast!$B$156</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DTE_cost_per_minute_forecast!$C$156:$L$156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2D2F-41FD-9109-9B5FB0DD8679}"/>
            </c:ext>
          </c:extLst>
        </c:ser>
        <c:ser>
          <c:idx val="6"/>
          <c:order val="6"/>
          <c:tx>
            <c:strRef>
              <c:f>DTE_cost_per_minute_forecast!$B$157</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DTE_cost_per_minute_forecast!$C$157:$L$157</c:f>
              <c:numCache>
                <c:formatCode>_(* #,##0_);_(* \(#,##0\);_(* "-"??_);_(@_)</c:formatCode>
                <c:ptCount val="10"/>
                <c:pt idx="0">
                  <c:v>18070.534925929755</c:v>
                </c:pt>
                <c:pt idx="1">
                  <c:v>22153.080672738233</c:v>
                </c:pt>
                <c:pt idx="2">
                  <c:v>25488.053708902364</c:v>
                </c:pt>
                <c:pt idx="3">
                  <c:v>29650.343930373649</c:v>
                </c:pt>
                <c:pt idx="4">
                  <c:v>41143.184031432465</c:v>
                </c:pt>
                <c:pt idx="5">
                  <c:v>45605.492605060957</c:v>
                </c:pt>
                <c:pt idx="6">
                  <c:v>50235.522431974096</c:v>
                </c:pt>
                <c:pt idx="7">
                  <c:v>55038.197438873816</c:v>
                </c:pt>
                <c:pt idx="8">
                  <c:v>60018.571421028835</c:v>
                </c:pt>
                <c:pt idx="9">
                  <c:v>65181.8312674466</c:v>
                </c:pt>
              </c:numCache>
            </c:numRef>
          </c:val>
          <c:extLst>
            <c:ext xmlns:c16="http://schemas.microsoft.com/office/drawing/2014/chart" uri="{C3380CC4-5D6E-409C-BE32-E72D297353CC}">
              <c16:uniqueId val="{00000006-2D2F-41FD-9109-9B5FB0DD8679}"/>
            </c:ext>
          </c:extLst>
        </c:ser>
        <c:ser>
          <c:idx val="7"/>
          <c:order val="7"/>
          <c:tx>
            <c:strRef>
              <c:f>DTE_cost_per_minute_forecast!$B$158</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DTE_cost_per_minute_forecast!$C$158:$L$158</c:f>
              <c:numCache>
                <c:formatCode>_(* #,##0_);_(* \(#,##0\);_(* "-"??_);_(@_)</c:formatCode>
                <c:ptCount val="10"/>
                <c:pt idx="0">
                  <c:v>1159891.9576131271</c:v>
                </c:pt>
                <c:pt idx="1">
                  <c:v>2334957.2035170216</c:v>
                </c:pt>
                <c:pt idx="2">
                  <c:v>2638305.6842450956</c:v>
                </c:pt>
                <c:pt idx="3">
                  <c:v>2953941.6625379571</c:v>
                </c:pt>
                <c:pt idx="4">
                  <c:v>3281429.2282179971</c:v>
                </c:pt>
                <c:pt idx="5">
                  <c:v>4580935.6802688492</c:v>
                </c:pt>
                <c:pt idx="6">
                  <c:v>4952805.1093928562</c:v>
                </c:pt>
                <c:pt idx="7">
                  <c:v>5338069.6258067749</c:v>
                </c:pt>
                <c:pt idx="8">
                  <c:v>5737116.2852305509</c:v>
                </c:pt>
                <c:pt idx="9">
                  <c:v>6150342.267578016</c:v>
                </c:pt>
              </c:numCache>
            </c:numRef>
          </c:val>
          <c:extLst>
            <c:ext xmlns:c16="http://schemas.microsoft.com/office/drawing/2014/chart" uri="{C3380CC4-5D6E-409C-BE32-E72D297353CC}">
              <c16:uniqueId val="{00000007-2D2F-41FD-9109-9B5FB0DD867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(80%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DTE_cost_per_minute_forecast!$B$171</c:f>
              <c:strCache>
                <c:ptCount val="1"/>
                <c:pt idx="0">
                  <c:v>Human Space Flight</c:v>
                </c:pt>
              </c:strCache>
            </c:strRef>
          </c:tx>
          <c:spPr>
            <a:solidFill>
              <a:schemeClr val="accent1"/>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DTE_cost_per_minute_forecast!$C$171:$L$171</c:f>
              <c:numCache>
                <c:formatCode>_(* #,##0_);_(* \(#,##0\);_(* "-"??_);_(@_)</c:formatCode>
                <c:ptCount val="10"/>
                <c:pt idx="0">
                  <c:v>7899380.6420589751</c:v>
                </c:pt>
                <c:pt idx="1">
                  <c:v>8094218.7549113091</c:v>
                </c:pt>
                <c:pt idx="2">
                  <c:v>8286077.3955506254</c:v>
                </c:pt>
                <c:pt idx="3">
                  <c:v>8513219.6061045174</c:v>
                </c:pt>
                <c:pt idx="4">
                  <c:v>8735305.0849618856</c:v>
                </c:pt>
                <c:pt idx="5">
                  <c:v>8965950.9495497569</c:v>
                </c:pt>
                <c:pt idx="6">
                  <c:v>9205410.7811058071</c:v>
                </c:pt>
                <c:pt idx="7">
                  <c:v>9453944.8799629286</c:v>
                </c:pt>
                <c:pt idx="8">
                  <c:v>9711820.4328805432</c:v>
                </c:pt>
                <c:pt idx="9">
                  <c:v>9979311.6843815241</c:v>
                </c:pt>
              </c:numCache>
            </c:numRef>
          </c:val>
          <c:extLst>
            <c:ext xmlns:c16="http://schemas.microsoft.com/office/drawing/2014/chart" uri="{C3380CC4-5D6E-409C-BE32-E72D297353CC}">
              <c16:uniqueId val="{00000000-7D2E-4DDA-B7A8-48C5F1233F1F}"/>
            </c:ext>
          </c:extLst>
        </c:ser>
        <c:ser>
          <c:idx val="1"/>
          <c:order val="1"/>
          <c:tx>
            <c:strRef>
              <c:f>DTE_cost_per_minute_forecast!$B$172</c:f>
              <c:strCache>
                <c:ptCount val="1"/>
                <c:pt idx="0">
                  <c:v>Near Earth Robotic - LEO Science</c:v>
                </c:pt>
              </c:strCache>
            </c:strRef>
          </c:tx>
          <c:spPr>
            <a:solidFill>
              <a:schemeClr val="accent2"/>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DTE_cost_per_minute_forecast!$C$172:$L$172</c:f>
              <c:numCache>
                <c:formatCode>_(* #,##0_);_(* \(#,##0\);_(* "-"??_);_(@_)</c:formatCode>
                <c:ptCount val="10"/>
                <c:pt idx="0">
                  <c:v>10701837.797433203</c:v>
                </c:pt>
                <c:pt idx="1">
                  <c:v>8465093.9560534526</c:v>
                </c:pt>
                <c:pt idx="2">
                  <c:v>7260182.689101683</c:v>
                </c:pt>
                <c:pt idx="3">
                  <c:v>5438949.3141028751</c:v>
                </c:pt>
                <c:pt idx="4">
                  <c:v>6611530.3742561312</c:v>
                </c:pt>
                <c:pt idx="5">
                  <c:v>6337752.6409900868</c:v>
                </c:pt>
                <c:pt idx="6">
                  <c:v>6131761.9364977134</c:v>
                </c:pt>
                <c:pt idx="7">
                  <c:v>7093037.3171721781</c:v>
                </c:pt>
                <c:pt idx="8">
                  <c:v>7441877.3220599918</c:v>
                </c:pt>
                <c:pt idx="9">
                  <c:v>7801847.630605706</c:v>
                </c:pt>
              </c:numCache>
            </c:numRef>
          </c:val>
          <c:extLst>
            <c:ext xmlns:c16="http://schemas.microsoft.com/office/drawing/2014/chart" uri="{C3380CC4-5D6E-409C-BE32-E72D297353CC}">
              <c16:uniqueId val="{00000001-7D2E-4DDA-B7A8-48C5F1233F1F}"/>
            </c:ext>
          </c:extLst>
        </c:ser>
        <c:ser>
          <c:idx val="2"/>
          <c:order val="2"/>
          <c:tx>
            <c:strRef>
              <c:f>DTE_cost_per_minute_forecast!$B$173</c:f>
              <c:strCache>
                <c:ptCount val="1"/>
                <c:pt idx="0">
                  <c:v>Near Earth Robotic - GEO and Near Earth</c:v>
                </c:pt>
              </c:strCache>
            </c:strRef>
          </c:tx>
          <c:spPr>
            <a:solidFill>
              <a:schemeClr val="accent3"/>
            </a:solidFill>
            <a:ln>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DTE_cost_per_minute_forecast!$C$173:$L$173</c:f>
              <c:numCache>
                <c:formatCode>_(* #,##0_);_(* \(#,##0\);_(* "-"??_);_(@_)</c:formatCode>
                <c:ptCount val="10"/>
                <c:pt idx="0">
                  <c:v>173342.85304512677</c:v>
                </c:pt>
                <c:pt idx="1">
                  <c:v>178531.80541055094</c:v>
                </c:pt>
                <c:pt idx="2">
                  <c:v>208528.27565140763</c:v>
                </c:pt>
                <c:pt idx="3">
                  <c:v>215837.54080128134</c:v>
                </c:pt>
                <c:pt idx="4">
                  <c:v>223393.74058459673</c:v>
                </c:pt>
                <c:pt idx="5">
                  <c:v>231203.82868063156</c:v>
                </c:pt>
                <c:pt idx="6">
                  <c:v>239274.9381419812</c:v>
                </c:pt>
                <c:pt idx="7">
                  <c:v>247614.38578801978</c:v>
                </c:pt>
                <c:pt idx="8">
                  <c:v>256229.67670235052</c:v>
                </c:pt>
                <c:pt idx="9">
                  <c:v>265128.50883664656</c:v>
                </c:pt>
              </c:numCache>
            </c:numRef>
          </c:val>
          <c:extLst>
            <c:ext xmlns:c16="http://schemas.microsoft.com/office/drawing/2014/chart" uri="{C3380CC4-5D6E-409C-BE32-E72D297353CC}">
              <c16:uniqueId val="{00000002-7D2E-4DDA-B7A8-48C5F1233F1F}"/>
            </c:ext>
          </c:extLst>
        </c:ser>
        <c:ser>
          <c:idx val="3"/>
          <c:order val="3"/>
          <c:tx>
            <c:strRef>
              <c:f>DTE_cost_per_minute_forecast!$B$174</c:f>
              <c:strCache>
                <c:ptCount val="1"/>
                <c:pt idx="0">
                  <c:v>Deep Space Robotic</c:v>
                </c:pt>
              </c:strCache>
            </c:strRef>
          </c:tx>
          <c:spPr>
            <a:solidFill>
              <a:schemeClr val="accent4"/>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DTE_cost_per_minute_forecast!$C$174:$L$174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D2E-4DDA-B7A8-48C5F1233F1F}"/>
            </c:ext>
          </c:extLst>
        </c:ser>
        <c:ser>
          <c:idx val="4"/>
          <c:order val="4"/>
          <c:tx>
            <c:strRef>
              <c:f>DTE_cost_per_minute_forecast!$B$175</c:f>
              <c:strCache>
                <c:ptCount val="1"/>
                <c:pt idx="0">
                  <c:v>Near Earth Robotic - Low Latency &amp; Complex Needs</c:v>
                </c:pt>
              </c:strCache>
            </c:strRef>
          </c:tx>
          <c:spPr>
            <a:solidFill>
              <a:schemeClr val="accent5"/>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DTE_cost_per_minute_forecast!$C$175:$L$175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D2E-4DDA-B7A8-48C5F1233F1F}"/>
            </c:ext>
          </c:extLst>
        </c:ser>
        <c:ser>
          <c:idx val="5"/>
          <c:order val="5"/>
          <c:tx>
            <c:strRef>
              <c:f>DTE_cost_per_minute_forecast!$B$176</c:f>
              <c:strCache>
                <c:ptCount val="1"/>
                <c:pt idx="0">
                  <c:v>Mission Operations</c:v>
                </c:pt>
              </c:strCache>
            </c:strRef>
          </c:tx>
          <c:spPr>
            <a:solidFill>
              <a:schemeClr val="accent6"/>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DTE_cost_per_minute_forecast!$C$176:$L$176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D2E-4DDA-B7A8-48C5F1233F1F}"/>
            </c:ext>
          </c:extLst>
        </c:ser>
        <c:ser>
          <c:idx val="6"/>
          <c:order val="6"/>
          <c:tx>
            <c:strRef>
              <c:f>DTE_cost_per_minute_forecast!$B$177</c:f>
              <c:strCache>
                <c:ptCount val="1"/>
                <c:pt idx="0">
                  <c:v>Launch Events</c:v>
                </c:pt>
              </c:strCache>
            </c:strRef>
          </c:tx>
          <c:spPr>
            <a:solidFill>
              <a:schemeClr val="accent1">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DTE_cost_per_minute_forecast!$C$177:$L$177</c:f>
              <c:numCache>
                <c:formatCode>_(* #,##0_);_(* \(#,##0\);_(* "-"??_);_(@_)</c:formatCode>
                <c:ptCount val="10"/>
                <c:pt idx="0">
                  <c:v>17930.492936882816</c:v>
                </c:pt>
                <c:pt idx="1">
                  <c:v>20028.543693062671</c:v>
                </c:pt>
                <c:pt idx="2">
                  <c:v>21186.742164950363</c:v>
                </c:pt>
                <c:pt idx="3">
                  <c:v>23173.884091382235</c:v>
                </c:pt>
                <c:pt idx="4">
                  <c:v>33303.072176744172</c:v>
                </c:pt>
                <c:pt idx="5">
                  <c:v>35414.975113745924</c:v>
                </c:pt>
                <c:pt idx="6">
                  <c:v>37604.429896303162</c:v>
                </c:pt>
                <c:pt idx="7">
                  <c:v>39873.693837063271</c:v>
                </c:pt>
                <c:pt idx="8">
                  <c:v>42225.083520441382</c:v>
                </c:pt>
                <c:pt idx="9">
                  <c:v>44660.976270565894</c:v>
                </c:pt>
              </c:numCache>
            </c:numRef>
          </c:val>
          <c:extLst>
            <c:ext xmlns:c16="http://schemas.microsoft.com/office/drawing/2014/chart" uri="{C3380CC4-5D6E-409C-BE32-E72D297353CC}">
              <c16:uniqueId val="{00000006-7D2E-4DDA-B7A8-48C5F1233F1F}"/>
            </c:ext>
          </c:extLst>
        </c:ser>
        <c:ser>
          <c:idx val="7"/>
          <c:order val="7"/>
          <c:tx>
            <c:strRef>
              <c:f>DTE_cost_per_minute_forecast!$B$178</c:f>
              <c:strCache>
                <c:ptCount val="1"/>
                <c:pt idx="0">
                  <c:v>Terrestrial &amp; Aerial</c:v>
                </c:pt>
              </c:strCache>
            </c:strRef>
          </c:tx>
          <c:spPr>
            <a:solidFill>
              <a:schemeClr val="accent2">
                <a:lumMod val="60000"/>
              </a:schemeClr>
            </a:solidFill>
            <a:ln w="25400">
              <a:noFill/>
            </a:ln>
            <a:effectLst/>
          </c:spP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DTE_cost_per_minute_forecast!$C$178:$L$178</c:f>
              <c:numCache>
                <c:formatCode>_(* #,##0_);_(* \(#,##0\);_(* "-"??_);_(@_)</c:formatCode>
                <c:ptCount val="10"/>
                <c:pt idx="0">
                  <c:v>1106493.4789690035</c:v>
                </c:pt>
                <c:pt idx="1">
                  <c:v>2222121.50833129</c:v>
                </c:pt>
                <c:pt idx="2">
                  <c:v>2348894.715968933</c:v>
                </c:pt>
                <c:pt idx="3">
                  <c:v>2481073.4871779545</c:v>
                </c:pt>
                <c:pt idx="4">
                  <c:v>2617916.5056942571</c:v>
                </c:pt>
                <c:pt idx="5">
                  <c:v>3839354.3960160441</c:v>
                </c:pt>
                <c:pt idx="6">
                  <c:v>4008009.8373661335</c:v>
                </c:pt>
                <c:pt idx="7">
                  <c:v>4182272.5245585106</c:v>
                </c:pt>
                <c:pt idx="8">
                  <c:v>4362299.2852503294</c:v>
                </c:pt>
                <c:pt idx="9">
                  <c:v>4548250.9773066891</c:v>
                </c:pt>
              </c:numCache>
            </c:numRef>
          </c:val>
          <c:extLst>
            <c:ext xmlns:c16="http://schemas.microsoft.com/office/drawing/2014/chart" uri="{C3380CC4-5D6E-409C-BE32-E72D297353CC}">
              <c16:uniqueId val="{00000007-7D2E-4DDA-B7A8-48C5F1233F1F}"/>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DTE_cost_per_minute_forecast!$B$189</c:f>
              <c:strCache>
                <c:ptCount val="1"/>
                <c:pt idx="0">
                  <c:v>Human Space Flight</c:v>
                </c:pt>
              </c:strCache>
            </c:strRef>
          </c:tx>
          <c:spPr>
            <a:solidFill>
              <a:schemeClr val="accent1"/>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DTE_cost_per_minute_forecast!$D$189:$M$189</c:f>
              <c:numCache>
                <c:formatCode>_(* #,##0_);_(* \(#,##0\);_(* "-"??_);_(@_)</c:formatCode>
                <c:ptCount val="10"/>
                <c:pt idx="0">
                  <c:v>9258554.9133330807</c:v>
                </c:pt>
                <c:pt idx="1">
                  <c:v>10067511.717935937</c:v>
                </c:pt>
                <c:pt idx="2">
                  <c:v>10935970.28454854</c:v>
                </c:pt>
                <c:pt idx="3">
                  <c:v>11824312.199978014</c:v>
                </c:pt>
                <c:pt idx="4">
                  <c:v>12746895.658329498</c:v>
                </c:pt>
                <c:pt idx="5">
                  <c:v>13704734.9845537</c:v>
                </c:pt>
                <c:pt idx="6">
                  <c:v>14698871.379982183</c:v>
                </c:pt>
                <c:pt idx="7">
                  <c:v>15730373.591652637</c:v>
                </c:pt>
                <c:pt idx="8">
                  <c:v>16800338.597656567</c:v>
                </c:pt>
                <c:pt idx="9">
                  <c:v>21524935.15420378</c:v>
                </c:pt>
              </c:numCache>
            </c:numRef>
          </c:val>
          <c:extLst>
            <c:ext xmlns:c16="http://schemas.microsoft.com/office/drawing/2014/chart" uri="{C3380CC4-5D6E-409C-BE32-E72D297353CC}">
              <c16:uniqueId val="{00000000-7D9B-4A2C-8AB1-4838F1FFD2D5}"/>
            </c:ext>
          </c:extLst>
        </c:ser>
        <c:ser>
          <c:idx val="1"/>
          <c:order val="1"/>
          <c:tx>
            <c:strRef>
              <c:f>DTE_cost_per_minute_forecast!$B$190</c:f>
              <c:strCache>
                <c:ptCount val="1"/>
                <c:pt idx="0">
                  <c:v>Near Earth Robotic - LEO Science</c:v>
                </c:pt>
              </c:strCache>
            </c:strRef>
          </c:tx>
          <c:spPr>
            <a:solidFill>
              <a:schemeClr val="accent2"/>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DTE_cost_per_minute_forecast!$D$190:$M$190</c:f>
              <c:numCache>
                <c:formatCode>_(* #,##0_);_(* \(#,##0\);_(* "-"??_);_(@_)</c:formatCode>
                <c:ptCount val="10"/>
                <c:pt idx="0">
                  <c:v>8919880.2275673244</c:v>
                </c:pt>
                <c:pt idx="1">
                  <c:v>7862896.7331188759</c:v>
                </c:pt>
                <c:pt idx="2">
                  <c:v>6442137.6189454412</c:v>
                </c:pt>
                <c:pt idx="3">
                  <c:v>7890595.4629304009</c:v>
                </c:pt>
                <c:pt idx="4">
                  <c:v>7903328.3095273934</c:v>
                </c:pt>
                <c:pt idx="5">
                  <c:v>7994796.9820571104</c:v>
                </c:pt>
                <c:pt idx="6">
                  <c:v>9264803.8845671304</c:v>
                </c:pt>
                <c:pt idx="7">
                  <c:v>9933979.4581457004</c:v>
                </c:pt>
                <c:pt idx="8">
                  <c:v>10626230.051502842</c:v>
                </c:pt>
                <c:pt idx="9">
                  <c:v>10838058.733070126</c:v>
                </c:pt>
              </c:numCache>
            </c:numRef>
          </c:val>
          <c:extLst>
            <c:ext xmlns:c16="http://schemas.microsoft.com/office/drawing/2014/chart" uri="{C3380CC4-5D6E-409C-BE32-E72D297353CC}">
              <c16:uniqueId val="{00000001-7D9B-4A2C-8AB1-4838F1FFD2D5}"/>
            </c:ext>
          </c:extLst>
        </c:ser>
        <c:ser>
          <c:idx val="2"/>
          <c:order val="2"/>
          <c:tx>
            <c:strRef>
              <c:f>DTE_cost_per_minute_forecast!$B$191</c:f>
              <c:strCache>
                <c:ptCount val="1"/>
                <c:pt idx="0">
                  <c:v>Near Earth Robotic - GEO and Near Earth</c:v>
                </c:pt>
              </c:strCache>
            </c:strRef>
          </c:tx>
          <c:spPr>
            <a:solidFill>
              <a:schemeClr val="accent3"/>
            </a:solidFill>
            <a:ln>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DTE_cost_per_minute_forecast!$D$191:$M$191</c:f>
              <c:numCache>
                <c:formatCode>_(* #,##0_);_(* \(#,##0\);_(* "-"??_);_(@_)</c:formatCode>
                <c:ptCount val="10"/>
                <c:pt idx="0">
                  <c:v>193057.37208359092</c:v>
                </c:pt>
                <c:pt idx="1">
                  <c:v>230752.39266115878</c:v>
                </c:pt>
                <c:pt idx="2">
                  <c:v>246062.33993454286</c:v>
                </c:pt>
                <c:pt idx="3">
                  <c:v>261930.35947950522</c:v>
                </c:pt>
                <c:pt idx="4">
                  <c:v>278372.65020799957</c:v>
                </c:pt>
                <c:pt idx="5">
                  <c:v>295405.83575954911</c:v>
                </c:pt>
                <c:pt idx="6">
                  <c:v>313046.97501078469</c:v>
                </c:pt>
                <c:pt idx="7">
                  <c:v>331313.57283547323</c:v>
                </c:pt>
                <c:pt idx="8">
                  <c:v>350223.59112085227</c:v>
                </c:pt>
                <c:pt idx="9">
                  <c:v>355329.29605790466</c:v>
                </c:pt>
              </c:numCache>
            </c:numRef>
          </c:val>
          <c:extLst>
            <c:ext xmlns:c16="http://schemas.microsoft.com/office/drawing/2014/chart" uri="{C3380CC4-5D6E-409C-BE32-E72D297353CC}">
              <c16:uniqueId val="{00000002-7D9B-4A2C-8AB1-4838F1FFD2D5}"/>
            </c:ext>
          </c:extLst>
        </c:ser>
        <c:ser>
          <c:idx val="3"/>
          <c:order val="3"/>
          <c:tx>
            <c:strRef>
              <c:f>DTE_cost_per_minute_forecast!$B$192</c:f>
              <c:strCache>
                <c:ptCount val="1"/>
                <c:pt idx="0">
                  <c:v>Deep Space Robotic</c:v>
                </c:pt>
              </c:strCache>
            </c:strRef>
          </c:tx>
          <c:spPr>
            <a:solidFill>
              <a:schemeClr val="accent4"/>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DTE_cost_per_minute_forecast!$D$192:$M$192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7D9B-4A2C-8AB1-4838F1FFD2D5}"/>
            </c:ext>
          </c:extLst>
        </c:ser>
        <c:ser>
          <c:idx val="4"/>
          <c:order val="4"/>
          <c:tx>
            <c:strRef>
              <c:f>DTE_cost_per_minute_forecast!$B$193</c:f>
              <c:strCache>
                <c:ptCount val="1"/>
                <c:pt idx="0">
                  <c:v>Near Earth Robotic - Low Latency &amp; Complex Needs</c:v>
                </c:pt>
              </c:strCache>
            </c:strRef>
          </c:tx>
          <c:spPr>
            <a:solidFill>
              <a:schemeClr val="accent5"/>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DTE_cost_per_minute_forecast!$D$193:$M$193</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7D9B-4A2C-8AB1-4838F1FFD2D5}"/>
            </c:ext>
          </c:extLst>
        </c:ser>
        <c:ser>
          <c:idx val="5"/>
          <c:order val="5"/>
          <c:tx>
            <c:strRef>
              <c:f>DTE_cost_per_minute_forecast!$B$194</c:f>
              <c:strCache>
                <c:ptCount val="1"/>
                <c:pt idx="0">
                  <c:v>Mission Operations</c:v>
                </c:pt>
              </c:strCache>
            </c:strRef>
          </c:tx>
          <c:spPr>
            <a:solidFill>
              <a:schemeClr val="accent6"/>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DTE_cost_per_minute_forecast!$D$194:$M$194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7D9B-4A2C-8AB1-4838F1FFD2D5}"/>
            </c:ext>
          </c:extLst>
        </c:ser>
        <c:ser>
          <c:idx val="6"/>
          <c:order val="6"/>
          <c:tx>
            <c:strRef>
              <c:f>DTE_cost_per_minute_forecast!$B$195</c:f>
              <c:strCache>
                <c:ptCount val="1"/>
                <c:pt idx="0">
                  <c:v>Launch Events</c:v>
                </c:pt>
              </c:strCache>
            </c:strRef>
          </c:tx>
          <c:spPr>
            <a:solidFill>
              <a:schemeClr val="accent1">
                <a:lumMod val="60000"/>
              </a:schemeClr>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DTE_cost_per_minute_forecast!$D$195:$M$195</c:f>
              <c:numCache>
                <c:formatCode>_(* #,##0_);_(* \(#,##0\);_(* "-"??_);_(@_)</c:formatCode>
                <c:ptCount val="10"/>
                <c:pt idx="0">
                  <c:v>23290.99173557456</c:v>
                </c:pt>
                <c:pt idx="1">
                  <c:v>26178.287669993559</c:v>
                </c:pt>
                <c:pt idx="2">
                  <c:v>29962.385978240975</c:v>
                </c:pt>
                <c:pt idx="3">
                  <c:v>41958.412082489071</c:v>
                </c:pt>
                <c:pt idx="4">
                  <c:v>46009.111158377687</c:v>
                </c:pt>
                <c:pt idx="5">
                  <c:v>50211.451789414947</c:v>
                </c:pt>
                <c:pt idx="6">
                  <c:v>54569.87935817644</c:v>
                </c:pt>
                <c:pt idx="7">
                  <c:v>59088.956405918747</c:v>
                </c:pt>
                <c:pt idx="8">
                  <c:v>63773.365540773579</c:v>
                </c:pt>
                <c:pt idx="9">
                  <c:v>64728.985004283961</c:v>
                </c:pt>
              </c:numCache>
            </c:numRef>
          </c:val>
          <c:extLst>
            <c:ext xmlns:c16="http://schemas.microsoft.com/office/drawing/2014/chart" uri="{C3380CC4-5D6E-409C-BE32-E72D297353CC}">
              <c16:uniqueId val="{00000006-7D9B-4A2C-8AB1-4838F1FFD2D5}"/>
            </c:ext>
          </c:extLst>
        </c:ser>
        <c:ser>
          <c:idx val="7"/>
          <c:order val="7"/>
          <c:tx>
            <c:strRef>
              <c:f>DTE_cost_per_minute_forecast!$B$196</c:f>
              <c:strCache>
                <c:ptCount val="1"/>
                <c:pt idx="0">
                  <c:v>Terrestrial &amp; Aerial</c:v>
                </c:pt>
              </c:strCache>
            </c:strRef>
          </c:tx>
          <c:spPr>
            <a:solidFill>
              <a:schemeClr val="accent2">
                <a:lumMod val="60000"/>
              </a:schemeClr>
            </a:solidFill>
            <a:ln w="25400">
              <a:noFill/>
            </a:ln>
            <a:effectLst/>
          </c:spPr>
          <c:cat>
            <c:numRef>
              <c:f>DTE_cost_per_minute_forecast!$D$76:$M$76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DTE_cost_per_minute_forecast!$D$196:$M$196</c:f>
              <c:numCache>
                <c:formatCode>_(* #,##0_);_(* \(#,##0\);_(* "-"??_);_(@_)</c:formatCode>
                <c:ptCount val="10"/>
                <c:pt idx="0">
                  <c:v>2424474.1811439688</c:v>
                </c:pt>
                <c:pt idx="1">
                  <c:v>2658494.3053723332</c:v>
                </c:pt>
                <c:pt idx="2">
                  <c:v>2902128.928766578</c:v>
                </c:pt>
                <c:pt idx="3">
                  <c:v>3154762.1937197521</c:v>
                </c:pt>
                <c:pt idx="4">
                  <c:v>4496453.5181592498</c:v>
                </c:pt>
                <c:pt idx="5">
                  <c:v>4789957.7927165478</c:v>
                </c:pt>
                <c:pt idx="6">
                  <c:v>5093800.4267955646</c:v>
                </c:pt>
                <c:pt idx="7">
                  <c:v>5408277.5530673489</c:v>
                </c:pt>
                <c:pt idx="8">
                  <c:v>5733693.0141659779</c:v>
                </c:pt>
                <c:pt idx="9">
                  <c:v>5828528.3771147216</c:v>
                </c:pt>
              </c:numCache>
            </c:numRef>
          </c:val>
          <c:extLst>
            <c:ext xmlns:c16="http://schemas.microsoft.com/office/drawing/2014/chart" uri="{C3380CC4-5D6E-409C-BE32-E72D297353CC}">
              <c16:uniqueId val="{00000007-7D9B-4A2C-8AB1-4838F1FFD2D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Forecast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32365848471122"/>
          <c:y val="0.10605799289048519"/>
          <c:w val="0.84171981825667663"/>
          <c:h val="0.61211338044219699"/>
        </c:manualLayout>
      </c:layout>
      <c:areaChart>
        <c:grouping val="stacked"/>
        <c:varyColors val="0"/>
        <c:ser>
          <c:idx val="0"/>
          <c:order val="0"/>
          <c:tx>
            <c:strRef>
              <c:f>DTE_demand_forecast!$B$141</c:f>
              <c:strCache>
                <c:ptCount val="1"/>
                <c:pt idx="0">
                  <c:v>Human Space Flight</c:v>
                </c:pt>
              </c:strCache>
            </c:strRef>
          </c:tx>
          <c:spPr>
            <a:solidFill>
              <a:schemeClr val="accent1"/>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DTE_demand_forecast!$C$141:$L$141</c:f>
              <c:numCache>
                <c:formatCode>0</c:formatCode>
                <c:ptCount val="10"/>
                <c:pt idx="0">
                  <c:v>763854.18731877778</c:v>
                </c:pt>
                <c:pt idx="1">
                  <c:v>834955.64795190666</c:v>
                </c:pt>
                <c:pt idx="2">
                  <c:v>907909.04718914488</c:v>
                </c:pt>
                <c:pt idx="3">
                  <c:v>986228.43849730375</c:v>
                </c:pt>
                <c:pt idx="4">
                  <c:v>1066340.9513617151</c:v>
                </c:pt>
                <c:pt idx="5">
                  <c:v>1149541.4374492636</c:v>
                </c:pt>
                <c:pt idx="6">
                  <c:v>1235921.3706837294</c:v>
                </c:pt>
                <c:pt idx="7">
                  <c:v>1325574.6487565534</c:v>
                </c:pt>
                <c:pt idx="8">
                  <c:v>1418597.6534879771</c:v>
                </c:pt>
                <c:pt idx="9">
                  <c:v>1515089.3126331149</c:v>
                </c:pt>
              </c:numCache>
            </c:numRef>
          </c:val>
          <c:extLst>
            <c:ext xmlns:c16="http://schemas.microsoft.com/office/drawing/2014/chart" uri="{C3380CC4-5D6E-409C-BE32-E72D297353CC}">
              <c16:uniqueId val="{00000000-87EB-421A-89CA-DE357EFB09CC}"/>
            </c:ext>
          </c:extLst>
        </c:ser>
        <c:ser>
          <c:idx val="1"/>
          <c:order val="1"/>
          <c:tx>
            <c:strRef>
              <c:f>DTE_demand_forecast!$B$142</c:f>
              <c:strCache>
                <c:ptCount val="1"/>
                <c:pt idx="0">
                  <c:v>Near Earth Robotic - LEO Science</c:v>
                </c:pt>
              </c:strCache>
            </c:strRef>
          </c:tx>
          <c:spPr>
            <a:solidFill>
              <a:schemeClr val="accent2"/>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DTE_demand_forecast!$C$142:$L$142</c:f>
              <c:numCache>
                <c:formatCode>0</c:formatCode>
                <c:ptCount val="10"/>
                <c:pt idx="0">
                  <c:v>986279.4678849997</c:v>
                </c:pt>
                <c:pt idx="1">
                  <c:v>804413.26370885037</c:v>
                </c:pt>
                <c:pt idx="2">
                  <c:v>709092.30414843862</c:v>
                </c:pt>
                <c:pt idx="3">
                  <c:v>580965.3061598076</c:v>
                </c:pt>
                <c:pt idx="4">
                  <c:v>711590.23294118373</c:v>
                </c:pt>
                <c:pt idx="5">
                  <c:v>712738.50740519911</c:v>
                </c:pt>
                <c:pt idx="6">
                  <c:v>720987.34164059022</c:v>
                </c:pt>
                <c:pt idx="7">
                  <c:v>835519.19311360852</c:v>
                </c:pt>
                <c:pt idx="8">
                  <c:v>895866.83157998126</c:v>
                </c:pt>
                <c:pt idx="9">
                  <c:v>958295.4230969185</c:v>
                </c:pt>
              </c:numCache>
            </c:numRef>
          </c:val>
          <c:extLst>
            <c:ext xmlns:c16="http://schemas.microsoft.com/office/drawing/2014/chart" uri="{C3380CC4-5D6E-409C-BE32-E72D297353CC}">
              <c16:uniqueId val="{00000001-87EB-421A-89CA-DE357EFB09CC}"/>
            </c:ext>
          </c:extLst>
        </c:ser>
        <c:ser>
          <c:idx val="2"/>
          <c:order val="2"/>
          <c:tx>
            <c:strRef>
              <c:f>DTE_demand_forecast!$B$143</c:f>
              <c:strCache>
                <c:ptCount val="1"/>
                <c:pt idx="0">
                  <c:v>Near Earth Robotic - GEO and Near Earth</c:v>
                </c:pt>
              </c:strCache>
            </c:strRef>
          </c:tx>
          <c:spPr>
            <a:solidFill>
              <a:schemeClr val="accent3"/>
            </a:solidFill>
            <a:ln>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DTE_demand_forecast!$C$143:$L$143</c:f>
              <c:numCache>
                <c:formatCode>0</c:formatCode>
                <c:ptCount val="10"/>
                <c:pt idx="0">
                  <c:v>16274.547550793646</c:v>
                </c:pt>
                <c:pt idx="1">
                  <c:v>17410.313456996824</c:v>
                </c:pt>
                <c:pt idx="2">
                  <c:v>20809.728444056949</c:v>
                </c:pt>
                <c:pt idx="3">
                  <c:v>22190.411181851072</c:v>
                </c:pt>
                <c:pt idx="4">
                  <c:v>23621.422032345436</c:v>
                </c:pt>
                <c:pt idx="5">
                  <c:v>25104.221846952933</c:v>
                </c:pt>
                <c:pt idx="6">
                  <c:v>26640.309779897882</c:v>
                </c:pt>
                <c:pt idx="7">
                  <c:v>28231.224235987938</c:v>
                </c:pt>
                <c:pt idx="8">
                  <c:v>29878.543840975737</c:v>
                </c:pt>
                <c:pt idx="9">
                  <c:v>31583.888435034751</c:v>
                </c:pt>
              </c:numCache>
            </c:numRef>
          </c:val>
          <c:extLst>
            <c:ext xmlns:c16="http://schemas.microsoft.com/office/drawing/2014/chart" uri="{C3380CC4-5D6E-409C-BE32-E72D297353CC}">
              <c16:uniqueId val="{00000002-87EB-421A-89CA-DE357EFB09CC}"/>
            </c:ext>
          </c:extLst>
        </c:ser>
        <c:ser>
          <c:idx val="3"/>
          <c:order val="3"/>
          <c:tx>
            <c:strRef>
              <c:f>DTE_demand_forecast!$B$144</c:f>
              <c:strCache>
                <c:ptCount val="1"/>
                <c:pt idx="0">
                  <c:v>Deep Space Robotic</c:v>
                </c:pt>
              </c:strCache>
            </c:strRef>
          </c:tx>
          <c:spPr>
            <a:solidFill>
              <a:schemeClr val="accent4"/>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DTE_demand_forecast!$C$144:$L$144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7EB-421A-89CA-DE357EFB09CC}"/>
            </c:ext>
          </c:extLst>
        </c:ser>
        <c:ser>
          <c:idx val="4"/>
          <c:order val="4"/>
          <c:tx>
            <c:strRef>
              <c:f>DTE_demand_forecast!$B$145</c:f>
              <c:strCache>
                <c:ptCount val="1"/>
                <c:pt idx="0">
                  <c:v>Near Earth Robotic - Low Latency &amp; Complex Needs</c:v>
                </c:pt>
              </c:strCache>
            </c:strRef>
          </c:tx>
          <c:spPr>
            <a:solidFill>
              <a:schemeClr val="accent5"/>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DTE_demand_forecast!$C$145:$L$145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87EB-421A-89CA-DE357EFB09CC}"/>
            </c:ext>
          </c:extLst>
        </c:ser>
        <c:ser>
          <c:idx val="5"/>
          <c:order val="5"/>
          <c:tx>
            <c:strRef>
              <c:f>DTE_demand_forecast!$B$146</c:f>
              <c:strCache>
                <c:ptCount val="1"/>
                <c:pt idx="0">
                  <c:v>Mission Operations</c:v>
                </c:pt>
              </c:strCache>
            </c:strRef>
          </c:tx>
          <c:spPr>
            <a:solidFill>
              <a:schemeClr val="accent6"/>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DTE_demand_forecast!$C$146:$L$146</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7EB-421A-89CA-DE357EFB09CC}"/>
            </c:ext>
          </c:extLst>
        </c:ser>
        <c:ser>
          <c:idx val="6"/>
          <c:order val="6"/>
          <c:tx>
            <c:strRef>
              <c:f>DTE_demand_forecast!$B$147</c:f>
              <c:strCache>
                <c:ptCount val="1"/>
                <c:pt idx="0">
                  <c:v>Launch Events</c:v>
                </c:pt>
              </c:strCache>
            </c:strRef>
          </c:tx>
          <c:spPr>
            <a:solidFill>
              <a:schemeClr val="accent1">
                <a:lumMod val="60000"/>
              </a:schemeClr>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DTE_demand_forecast!$C$147:$L$147</c:f>
              <c:numCache>
                <c:formatCode>0</c:formatCode>
                <c:ptCount val="10"/>
                <c:pt idx="0">
                  <c:v>1761.2316753333332</c:v>
                </c:pt>
                <c:pt idx="1">
                  <c:v>2100.4298487244441</c:v>
                </c:pt>
                <c:pt idx="2">
                  <c:v>2360.8121729984</c:v>
                </c:pt>
                <c:pt idx="3">
                  <c:v>2702.0699917889347</c:v>
                </c:pt>
                <c:pt idx="4">
                  <c:v>3783.8964584977266</c:v>
                </c:pt>
                <c:pt idx="5">
                  <c:v>4149.1968863967058</c:v>
                </c:pt>
                <c:pt idx="6">
                  <c:v>4528.1726636477997</c:v>
                </c:pt>
                <c:pt idx="7">
                  <c:v>4921.2246840539337</c:v>
                </c:pt>
                <c:pt idx="8">
                  <c:v>5328.7644070304113</c:v>
                </c:pt>
                <c:pt idx="9">
                  <c:v>5751.2141198718818</c:v>
                </c:pt>
              </c:numCache>
            </c:numRef>
          </c:val>
          <c:extLst>
            <c:ext xmlns:c16="http://schemas.microsoft.com/office/drawing/2014/chart" uri="{C3380CC4-5D6E-409C-BE32-E72D297353CC}">
              <c16:uniqueId val="{00000006-87EB-421A-89CA-DE357EFB09CC}"/>
            </c:ext>
          </c:extLst>
        </c:ser>
        <c:ser>
          <c:idx val="7"/>
          <c:order val="7"/>
          <c:tx>
            <c:strRef>
              <c:f>DTE_demand_forecast!$B$148</c:f>
              <c:strCache>
                <c:ptCount val="1"/>
                <c:pt idx="0">
                  <c:v>Terrestrial &amp; Aerial</c:v>
                </c:pt>
              </c:strCache>
            </c:strRef>
          </c:tx>
          <c:spPr>
            <a:solidFill>
              <a:schemeClr val="accent2">
                <a:lumMod val="60000"/>
              </a:schemeClr>
            </a:solidFill>
            <a:ln w="25400">
              <a:noFill/>
            </a:ln>
            <a:effectLst/>
          </c:spPr>
          <c:cat>
            <c:numRef>
              <c:f>DTE_demand_forecast!$C$140:$L$140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DTE_demand_forecast!$C$148:$L$148</c:f>
              <c:numCache>
                <c:formatCode>0</c:formatCode>
                <c:ptCount val="10"/>
                <c:pt idx="0">
                  <c:v>108731.25623733336</c:v>
                </c:pt>
                <c:pt idx="1">
                  <c:v>218644.10048964893</c:v>
                </c:pt>
                <c:pt idx="2">
                  <c:v>239748.51973087335</c:v>
                </c:pt>
                <c:pt idx="3">
                  <c:v>261719.99440957434</c:v>
                </c:pt>
                <c:pt idx="4">
                  <c:v>284502.98521188798</c:v>
                </c:pt>
                <c:pt idx="5">
                  <c:v>405499.48624636116</c:v>
                </c:pt>
                <c:pt idx="6">
                  <c:v>431968.30930067302</c:v>
                </c:pt>
                <c:pt idx="7">
                  <c:v>459369.46701779339</c:v>
                </c:pt>
                <c:pt idx="8">
                  <c:v>487729.66525501315</c:v>
                </c:pt>
                <c:pt idx="9">
                  <c:v>517076.30517004925</c:v>
                </c:pt>
              </c:numCache>
            </c:numRef>
          </c:val>
          <c:extLst>
            <c:ext xmlns:c16="http://schemas.microsoft.com/office/drawing/2014/chart" uri="{C3380CC4-5D6E-409C-BE32-E72D297353CC}">
              <c16:uniqueId val="{00000007-87EB-421A-89CA-DE357EFB09C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max val="1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DTE_cost_per_minute_forecast!$B$207</c:f>
              <c:strCache>
                <c:ptCount val="1"/>
                <c:pt idx="0">
                  <c:v>Human Space Flight</c:v>
                </c:pt>
              </c:strCache>
            </c:strRef>
          </c:tx>
          <c:spPr>
            <a:solidFill>
              <a:schemeClr val="accent1"/>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DTE_cost_per_minute_forecast!$C$207:$L$207</c:f>
              <c:numCache>
                <c:formatCode>_(* #,##0_);_(* \(#,##0\);_(* "-"??_);_(@_)</c:formatCode>
                <c:ptCount val="10"/>
                <c:pt idx="0">
                  <c:v>8850635.6734493114</c:v>
                </c:pt>
                <c:pt idx="1">
                  <c:v>10034779.018947594</c:v>
                </c:pt>
                <c:pt idx="2">
                  <c:v>11255134.599526143</c:v>
                </c:pt>
                <c:pt idx="3">
                  <c:v>12551137.403511222</c:v>
                </c:pt>
                <c:pt idx="4">
                  <c:v>13883650.276655432</c:v>
                </c:pt>
                <c:pt idx="5">
                  <c:v>15267525.464182662</c:v>
                </c:pt>
                <c:pt idx="6">
                  <c:v>16704284.453518962</c:v>
                </c:pt>
                <c:pt idx="7">
                  <c:v>18195489.046661686</c:v>
                </c:pt>
                <c:pt idx="8">
                  <c:v>19742742.36416737</c:v>
                </c:pt>
                <c:pt idx="9">
                  <c:v>21347689.873173263</c:v>
                </c:pt>
              </c:numCache>
            </c:numRef>
          </c:val>
          <c:extLst>
            <c:ext xmlns:c16="http://schemas.microsoft.com/office/drawing/2014/chart" uri="{C3380CC4-5D6E-409C-BE32-E72D297353CC}">
              <c16:uniqueId val="{00000000-4EB1-4494-9883-8DB42BCF31F5}"/>
            </c:ext>
          </c:extLst>
        </c:ser>
        <c:ser>
          <c:idx val="1"/>
          <c:order val="1"/>
          <c:tx>
            <c:strRef>
              <c:f>DTE_cost_per_minute_forecast!$B$208</c:f>
              <c:strCache>
                <c:ptCount val="1"/>
                <c:pt idx="0">
                  <c:v>Near Earth Robotic - LEO Science</c:v>
                </c:pt>
              </c:strCache>
            </c:strRef>
          </c:tx>
          <c:spPr>
            <a:solidFill>
              <a:schemeClr val="accent2"/>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DTE_cost_per_minute_forecast!$C$208:$L$208</c:f>
              <c:numCache>
                <c:formatCode>_(* #,##0_);_(* \(#,##0\);_(* "-"??_);_(@_)</c:formatCode>
                <c:ptCount val="10"/>
                <c:pt idx="0">
                  <c:v>11171234.468633255</c:v>
                </c:pt>
                <c:pt idx="1">
                  <c:v>9374666.4990811963</c:v>
                </c:pt>
                <c:pt idx="2">
                  <c:v>8465610.7771360688</c:v>
                </c:pt>
                <c:pt idx="3">
                  <c:v>7445325.9237880064</c:v>
                </c:pt>
                <c:pt idx="4">
                  <c:v>9169660.5516046714</c:v>
                </c:pt>
                <c:pt idx="5">
                  <c:v>9468903.9780647028</c:v>
                </c:pt>
                <c:pt idx="6">
                  <c:v>9857832.0276165046</c:v>
                </c:pt>
                <c:pt idx="7">
                  <c:v>11436570.45196208</c:v>
                </c:pt>
                <c:pt idx="8">
                  <c:v>12426081.59423141</c:v>
                </c:pt>
                <c:pt idx="9">
                  <c:v>13450612.472399978</c:v>
                </c:pt>
              </c:numCache>
            </c:numRef>
          </c:val>
          <c:extLst>
            <c:ext xmlns:c16="http://schemas.microsoft.com/office/drawing/2014/chart" uri="{C3380CC4-5D6E-409C-BE32-E72D297353CC}">
              <c16:uniqueId val="{00000001-4EB1-4494-9883-8DB42BCF31F5}"/>
            </c:ext>
          </c:extLst>
        </c:ser>
        <c:ser>
          <c:idx val="2"/>
          <c:order val="2"/>
          <c:tx>
            <c:strRef>
              <c:f>DTE_cost_per_minute_forecast!$B$209</c:f>
              <c:strCache>
                <c:ptCount val="1"/>
                <c:pt idx="0">
                  <c:v>Near Earth Robotic - GEO and Near Earth</c:v>
                </c:pt>
              </c:strCache>
            </c:strRef>
          </c:tx>
          <c:spPr>
            <a:solidFill>
              <a:schemeClr val="accent3"/>
            </a:solidFill>
            <a:ln>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DTE_cost_per_minute_forecast!$C$209:$L$209</c:f>
              <c:numCache>
                <c:formatCode>_(* #,##0_);_(* \(#,##0\);_(* "-"??_);_(@_)</c:formatCode>
                <c:ptCount val="10"/>
                <c:pt idx="0">
                  <c:v>189957.06329206791</c:v>
                </c:pt>
                <c:pt idx="1">
                  <c:v>212424.79431431089</c:v>
                </c:pt>
                <c:pt idx="2">
                  <c:v>260384.54867416032</c:v>
                </c:pt>
                <c:pt idx="3">
                  <c:v>286362.07211222494</c:v>
                </c:pt>
                <c:pt idx="4">
                  <c:v>313312.51800604991</c:v>
                </c:pt>
                <c:pt idx="5">
                  <c:v>341264.41224449023</c:v>
                </c:pt>
                <c:pt idx="6">
                  <c:v>370247.03258297296</c:v>
                </c:pt>
                <c:pt idx="7">
                  <c:v>400290.42730780452</c:v>
                </c:pt>
                <c:pt idx="8">
                  <c:v>431425.43434630363</c:v>
                </c:pt>
                <c:pt idx="9">
                  <c:v>463683.70083312667</c:v>
                </c:pt>
              </c:numCache>
            </c:numRef>
          </c:val>
          <c:extLst>
            <c:ext xmlns:c16="http://schemas.microsoft.com/office/drawing/2014/chart" uri="{C3380CC4-5D6E-409C-BE32-E72D297353CC}">
              <c16:uniqueId val="{00000002-4EB1-4494-9883-8DB42BCF31F5}"/>
            </c:ext>
          </c:extLst>
        </c:ser>
        <c:ser>
          <c:idx val="3"/>
          <c:order val="3"/>
          <c:tx>
            <c:strRef>
              <c:f>DTE_cost_per_minute_forecast!$B$210</c:f>
              <c:strCache>
                <c:ptCount val="1"/>
                <c:pt idx="0">
                  <c:v>Deep Space Robotic</c:v>
                </c:pt>
              </c:strCache>
            </c:strRef>
          </c:tx>
          <c:spPr>
            <a:solidFill>
              <a:schemeClr val="accent4"/>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DTE_cost_per_minute_forecast!$C$210:$L$210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EB1-4494-9883-8DB42BCF31F5}"/>
            </c:ext>
          </c:extLst>
        </c:ser>
        <c:ser>
          <c:idx val="4"/>
          <c:order val="4"/>
          <c:tx>
            <c:strRef>
              <c:f>DTE_cost_per_minute_forecast!$B$211</c:f>
              <c:strCache>
                <c:ptCount val="1"/>
                <c:pt idx="0">
                  <c:v>Near Earth Robotic - Low Latency &amp; Complex Needs</c:v>
                </c:pt>
              </c:strCache>
            </c:strRef>
          </c:tx>
          <c:spPr>
            <a:solidFill>
              <a:schemeClr val="accent5"/>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DTE_cost_per_minute_forecast!$C$211:$L$211</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4EB1-4494-9883-8DB42BCF31F5}"/>
            </c:ext>
          </c:extLst>
        </c:ser>
        <c:ser>
          <c:idx val="5"/>
          <c:order val="5"/>
          <c:tx>
            <c:strRef>
              <c:f>DTE_cost_per_minute_forecast!$B$212</c:f>
              <c:strCache>
                <c:ptCount val="1"/>
                <c:pt idx="0">
                  <c:v>Mission Operations</c:v>
                </c:pt>
              </c:strCache>
            </c:strRef>
          </c:tx>
          <c:spPr>
            <a:solidFill>
              <a:schemeClr val="accent6"/>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DTE_cost_per_minute_forecast!$C$212:$L$212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EB1-4494-9883-8DB42BCF31F5}"/>
            </c:ext>
          </c:extLst>
        </c:ser>
        <c:ser>
          <c:idx val="6"/>
          <c:order val="6"/>
          <c:tx>
            <c:strRef>
              <c:f>DTE_cost_per_minute_forecast!$B$213</c:f>
              <c:strCache>
                <c:ptCount val="1"/>
                <c:pt idx="0">
                  <c:v>Launch Events</c:v>
                </c:pt>
              </c:strCache>
            </c:strRef>
          </c:tx>
          <c:spPr>
            <a:solidFill>
              <a:schemeClr val="accent1">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DTE_cost_per_minute_forecast!$C$213:$L$213</c:f>
              <c:numCache>
                <c:formatCode>_(* #,##0_);_(* \(#,##0\);_(* "-"??_);_(@_)</c:formatCode>
                <c:ptCount val="10"/>
                <c:pt idx="0">
                  <c:v>20329.351791670972</c:v>
                </c:pt>
                <c:pt idx="1">
                  <c:v>24922.215756830512</c:v>
                </c:pt>
                <c:pt idx="2">
                  <c:v>28674.060422515151</c:v>
                </c:pt>
                <c:pt idx="3">
                  <c:v>33356.636921670346</c:v>
                </c:pt>
                <c:pt idx="4">
                  <c:v>46286.082035361513</c:v>
                </c:pt>
                <c:pt idx="5">
                  <c:v>51306.179180693565</c:v>
                </c:pt>
                <c:pt idx="6">
                  <c:v>56514.962735970847</c:v>
                </c:pt>
                <c:pt idx="7">
                  <c:v>61917.972118733036</c:v>
                </c:pt>
                <c:pt idx="8">
                  <c:v>67520.89284865743</c:v>
                </c:pt>
                <c:pt idx="9">
                  <c:v>73329.560175877414</c:v>
                </c:pt>
              </c:numCache>
            </c:numRef>
          </c:val>
          <c:extLst>
            <c:ext xmlns:c16="http://schemas.microsoft.com/office/drawing/2014/chart" uri="{C3380CC4-5D6E-409C-BE32-E72D297353CC}">
              <c16:uniqueId val="{00000006-4EB1-4494-9883-8DB42BCF31F5}"/>
            </c:ext>
          </c:extLst>
        </c:ser>
        <c:ser>
          <c:idx val="7"/>
          <c:order val="7"/>
          <c:tx>
            <c:strRef>
              <c:f>DTE_cost_per_minute_forecast!$B$214</c:f>
              <c:strCache>
                <c:ptCount val="1"/>
                <c:pt idx="0">
                  <c:v>Terrestrial &amp; Aerial</c:v>
                </c:pt>
              </c:strCache>
            </c:strRef>
          </c:tx>
          <c:spPr>
            <a:solidFill>
              <a:schemeClr val="accent2">
                <a:lumMod val="60000"/>
              </a:schemeClr>
            </a:solidFill>
            <a:ln w="25400">
              <a:noFill/>
            </a:ln>
            <a:effectLst/>
          </c:spPr>
          <c:cat>
            <c:numRef>
              <c:f>DTE_cost_per_minute_forecast!$C$94:$L$94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DTE_cost_per_minute_forecast!$C$214:$L$214</c:f>
              <c:numCache>
                <c:formatCode>_(* #,##0_);_(* \(#,##0\);_(* "-"??_);_(@_)</c:formatCode>
                <c:ptCount val="10"/>
                <c:pt idx="0">
                  <c:v>1304878.4523147678</c:v>
                </c:pt>
                <c:pt idx="1">
                  <c:v>2626826.8539566486</c:v>
                </c:pt>
                <c:pt idx="2">
                  <c:v>2968093.894775732</c:v>
                </c:pt>
                <c:pt idx="3">
                  <c:v>3323184.370355201</c:v>
                </c:pt>
                <c:pt idx="4">
                  <c:v>3691607.8817452462</c:v>
                </c:pt>
                <c:pt idx="5">
                  <c:v>5153552.6403024541</c:v>
                </c:pt>
                <c:pt idx="6">
                  <c:v>5571905.7480669627</c:v>
                </c:pt>
                <c:pt idx="7">
                  <c:v>6005328.3290326204</c:v>
                </c:pt>
                <c:pt idx="8">
                  <c:v>6454255.8208843684</c:v>
                </c:pt>
                <c:pt idx="9">
                  <c:v>6919135.0510252677</c:v>
                </c:pt>
              </c:numCache>
            </c:numRef>
          </c:val>
          <c:extLst>
            <c:ext xmlns:c16="http://schemas.microsoft.com/office/drawing/2014/chart" uri="{C3380CC4-5D6E-409C-BE32-E72D297353CC}">
              <c16:uniqueId val="{00000007-4EB1-4494-9883-8DB42BCF31F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(20%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SR_cost_per_minute_forecast!$B$3</c:f>
              <c:strCache>
                <c:ptCount val="1"/>
                <c:pt idx="0">
                  <c:v>Human Space Flight</c:v>
                </c:pt>
              </c:strCache>
            </c:strRef>
          </c:tx>
          <c:spPr>
            <a:solidFill>
              <a:schemeClr val="accent1"/>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SR_cost_per_minute_forecast!$C$3:$L$3</c:f>
              <c:numCache>
                <c:formatCode>_(* #,##0_);_(* \(#,##0\);_(* "-"??_);_(@_)</c:formatCode>
                <c:ptCount val="10"/>
                <c:pt idx="0">
                  <c:v>5157318.6296776216</c:v>
                </c:pt>
                <c:pt idx="1">
                  <c:v>5288138.4193084687</c:v>
                </c:pt>
                <c:pt idx="2">
                  <c:v>5424140.685220845</c:v>
                </c:pt>
                <c:pt idx="3">
                  <c:v>5565480.3985501602</c:v>
                </c:pt>
                <c:pt idx="4">
                  <c:v>5712316.6562867267</c:v>
                </c:pt>
                <c:pt idx="5">
                  <c:v>5864812.7843215028</c:v>
                </c:pt>
                <c:pt idx="6">
                  <c:v>6023136.4429633217</c:v>
                </c:pt>
                <c:pt idx="7">
                  <c:v>6187459.7349852519</c:v>
                </c:pt>
                <c:pt idx="8">
                  <c:v>6357959.3162590405</c:v>
                </c:pt>
                <c:pt idx="9">
                  <c:v>6534816.5090379538</c:v>
                </c:pt>
              </c:numCache>
            </c:numRef>
          </c:val>
          <c:extLst>
            <c:ext xmlns:c16="http://schemas.microsoft.com/office/drawing/2014/chart" uri="{C3380CC4-5D6E-409C-BE32-E72D297353CC}">
              <c16:uniqueId val="{00000000-8C23-4269-B36B-24071BB89BE5}"/>
            </c:ext>
          </c:extLst>
        </c:ser>
        <c:ser>
          <c:idx val="1"/>
          <c:order val="1"/>
          <c:tx>
            <c:strRef>
              <c:f>SR_cost_per_minute_forecast!$B$4</c:f>
              <c:strCache>
                <c:ptCount val="1"/>
                <c:pt idx="0">
                  <c:v>Near Earth Robotic - LEO Science</c:v>
                </c:pt>
              </c:strCache>
            </c:strRef>
          </c:tx>
          <c:spPr>
            <a:solidFill>
              <a:schemeClr val="accent2"/>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SR_cost_per_minute_forecast!$C$4:$L$4</c:f>
              <c:numCache>
                <c:formatCode>_(* #,##0_);_(* \(#,##0\);_(* "-"??_);_(@_)</c:formatCode>
                <c:ptCount val="10"/>
                <c:pt idx="0">
                  <c:v>12493153.706076512</c:v>
                </c:pt>
                <c:pt idx="1">
                  <c:v>12247757.918137038</c:v>
                </c:pt>
                <c:pt idx="2">
                  <c:v>13511195.660613988</c:v>
                </c:pt>
                <c:pt idx="3">
                  <c:v>14138575.70061142</c:v>
                </c:pt>
                <c:pt idx="4">
                  <c:v>15269134.857713597</c:v>
                </c:pt>
                <c:pt idx="5">
                  <c:v>16154915.761691894</c:v>
                </c:pt>
                <c:pt idx="6">
                  <c:v>17160290.841306839</c:v>
                </c:pt>
                <c:pt idx="7">
                  <c:v>18180221.362193629</c:v>
                </c:pt>
                <c:pt idx="8">
                  <c:v>19042647.963365618</c:v>
                </c:pt>
                <c:pt idx="9">
                  <c:v>19932591.677882396</c:v>
                </c:pt>
              </c:numCache>
            </c:numRef>
          </c:val>
          <c:extLst>
            <c:ext xmlns:c16="http://schemas.microsoft.com/office/drawing/2014/chart" uri="{C3380CC4-5D6E-409C-BE32-E72D297353CC}">
              <c16:uniqueId val="{00000001-8C23-4269-B36B-24071BB89BE5}"/>
            </c:ext>
          </c:extLst>
        </c:ser>
        <c:ser>
          <c:idx val="2"/>
          <c:order val="2"/>
          <c:tx>
            <c:strRef>
              <c:f>SR_cost_per_minute_forecast!$B$5</c:f>
              <c:strCache>
                <c:ptCount val="1"/>
                <c:pt idx="0">
                  <c:v>Near Earth Robotic - GEO and Near Earth</c:v>
                </c:pt>
              </c:strCache>
            </c:strRef>
          </c:tx>
          <c:spPr>
            <a:solidFill>
              <a:schemeClr val="accent3"/>
            </a:solidFill>
            <a:ln>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SR_cost_per_minute_forecast!$C$5:$L$5</c:f>
              <c:numCache>
                <c:formatCode>_(* #,##0_);_(* \(#,##0\);_(* "-"??_);_(@_)</c:formatCode>
                <c:ptCount val="10"/>
                <c:pt idx="0">
                  <c:v>82841.77526456237</c:v>
                </c:pt>
                <c:pt idx="1">
                  <c:v>88226.490656758921</c:v>
                </c:pt>
                <c:pt idx="2">
                  <c:v>123896.08804129784</c:v>
                </c:pt>
                <c:pt idx="3">
                  <c:v>131868.53196743352</c:v>
                </c:pt>
                <c:pt idx="4">
                  <c:v>140110.31521539815</c:v>
                </c:pt>
                <c:pt idx="5">
                  <c:v>148629.02238049434</c:v>
                </c:pt>
                <c:pt idx="6">
                  <c:v>157432.43370610825</c:v>
                </c:pt>
                <c:pt idx="7">
                  <c:v>166528.52987579445</c:v>
                </c:pt>
                <c:pt idx="8">
                  <c:v>175925.49691878574</c:v>
                </c:pt>
                <c:pt idx="9">
                  <c:v>185631.73123154635</c:v>
                </c:pt>
              </c:numCache>
            </c:numRef>
          </c:val>
          <c:extLst>
            <c:ext xmlns:c16="http://schemas.microsoft.com/office/drawing/2014/chart" uri="{C3380CC4-5D6E-409C-BE32-E72D297353CC}">
              <c16:uniqueId val="{00000002-8C23-4269-B36B-24071BB89BE5}"/>
            </c:ext>
          </c:extLst>
        </c:ser>
        <c:ser>
          <c:idx val="3"/>
          <c:order val="3"/>
          <c:tx>
            <c:strRef>
              <c:f>SR_cost_per_minute_forecast!$B$6</c:f>
              <c:strCache>
                <c:ptCount val="1"/>
                <c:pt idx="0">
                  <c:v>Deep Space Robotic</c:v>
                </c:pt>
              </c:strCache>
            </c:strRef>
          </c:tx>
          <c:spPr>
            <a:solidFill>
              <a:schemeClr val="accent4"/>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SR_cost_per_minute_forecast!$C$6:$L$6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C23-4269-B36B-24071BB89BE5}"/>
            </c:ext>
          </c:extLst>
        </c:ser>
        <c:ser>
          <c:idx val="4"/>
          <c:order val="4"/>
          <c:tx>
            <c:strRef>
              <c:f>SR_cost_per_minute_forecast!$B$7</c:f>
              <c:strCache>
                <c:ptCount val="1"/>
                <c:pt idx="0">
                  <c:v>Near Earth Robotic - Low Latency &amp; Complex Needs</c:v>
                </c:pt>
              </c:strCache>
            </c:strRef>
          </c:tx>
          <c:spPr>
            <a:solidFill>
              <a:schemeClr val="accent5"/>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SR_cost_per_minute_forecast!$C$7:$L$7</c:f>
              <c:numCache>
                <c:formatCode>_(* #,##0_);_(* \(#,##0\);_(* "-"??_);_(@_)</c:formatCode>
                <c:ptCount val="10"/>
                <c:pt idx="0">
                  <c:v>5042.3048067469181</c:v>
                </c:pt>
                <c:pt idx="1">
                  <c:v>5042.3048067469181</c:v>
                </c:pt>
                <c:pt idx="2">
                  <c:v>5042.3048067469181</c:v>
                </c:pt>
                <c:pt idx="3">
                  <c:v>5042.3048067469181</c:v>
                </c:pt>
                <c:pt idx="4">
                  <c:v>5457.9528833454488</c:v>
                </c:pt>
                <c:pt idx="5">
                  <c:v>5567.1119410123583</c:v>
                </c:pt>
                <c:pt idx="6">
                  <c:v>5678.4541798326054</c:v>
                </c:pt>
                <c:pt idx="7">
                  <c:v>5792.0232634292561</c:v>
                </c:pt>
                <c:pt idx="8">
                  <c:v>5907.8637286978428</c:v>
                </c:pt>
                <c:pt idx="9">
                  <c:v>6026.0210032717987</c:v>
                </c:pt>
              </c:numCache>
            </c:numRef>
          </c:val>
          <c:extLst>
            <c:ext xmlns:c16="http://schemas.microsoft.com/office/drawing/2014/chart" uri="{C3380CC4-5D6E-409C-BE32-E72D297353CC}">
              <c16:uniqueId val="{00000004-8C23-4269-B36B-24071BB89BE5}"/>
            </c:ext>
          </c:extLst>
        </c:ser>
        <c:ser>
          <c:idx val="5"/>
          <c:order val="5"/>
          <c:tx>
            <c:strRef>
              <c:f>SR_cost_per_minute_forecast!$B$8</c:f>
              <c:strCache>
                <c:ptCount val="1"/>
                <c:pt idx="0">
                  <c:v>Mission Operations</c:v>
                </c:pt>
              </c:strCache>
            </c:strRef>
          </c:tx>
          <c:spPr>
            <a:solidFill>
              <a:schemeClr val="accent6"/>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SR_cost_per_minute_forecast!$C$8:$L$8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C23-4269-B36B-24071BB89BE5}"/>
            </c:ext>
          </c:extLst>
        </c:ser>
        <c:ser>
          <c:idx val="6"/>
          <c:order val="6"/>
          <c:tx>
            <c:strRef>
              <c:f>SR_cost_per_minute_forecast!$B$9</c:f>
              <c:strCache>
                <c:ptCount val="1"/>
                <c:pt idx="0">
                  <c:v>Launch Events</c:v>
                </c:pt>
              </c:strCache>
            </c:strRef>
          </c:tx>
          <c:spPr>
            <a:solidFill>
              <a:schemeClr val="accent1">
                <a:lumMod val="60000"/>
              </a:schemeClr>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SR_cost_per_minute_forecast!$C$9:$L$9</c:f>
              <c:numCache>
                <c:formatCode>_(* #,##0_);_(* \(#,##0\);_(* "-"??_);_(@_)</c:formatCode>
                <c:ptCount val="10"/>
                <c:pt idx="0">
                  <c:v>80379.046960624924</c:v>
                </c:pt>
                <c:pt idx="1">
                  <c:v>85603.685013065537</c:v>
                </c:pt>
                <c:pt idx="2">
                  <c:v>91035.299111429762</c:v>
                </c:pt>
                <c:pt idx="3">
                  <c:v>96680.078442333572</c:v>
                </c:pt>
                <c:pt idx="4">
                  <c:v>104614.94523809722</c:v>
                </c:pt>
                <c:pt idx="5">
                  <c:v>111249.06622639745</c:v>
                </c:pt>
                <c:pt idx="6">
                  <c:v>118126.80083787459</c:v>
                </c:pt>
                <c:pt idx="7">
                  <c:v>125255.23996906039</c:v>
                </c:pt>
                <c:pt idx="8">
                  <c:v>132641.66070689866</c:v>
                </c:pt>
                <c:pt idx="9">
                  <c:v>140293.53094000299</c:v>
                </c:pt>
              </c:numCache>
            </c:numRef>
          </c:val>
          <c:extLst>
            <c:ext xmlns:c16="http://schemas.microsoft.com/office/drawing/2014/chart" uri="{C3380CC4-5D6E-409C-BE32-E72D297353CC}">
              <c16:uniqueId val="{00000006-8C23-4269-B36B-24071BB89BE5}"/>
            </c:ext>
          </c:extLst>
        </c:ser>
        <c:ser>
          <c:idx val="7"/>
          <c:order val="7"/>
          <c:tx>
            <c:strRef>
              <c:f>SR_cost_per_minute_forecast!$B$10</c:f>
              <c:strCache>
                <c:ptCount val="1"/>
                <c:pt idx="0">
                  <c:v>Terrestrial &amp; Aerial</c:v>
                </c:pt>
              </c:strCache>
            </c:strRef>
          </c:tx>
          <c:spPr>
            <a:solidFill>
              <a:schemeClr val="accent2">
                <a:lumMod val="60000"/>
              </a:schemeClr>
            </a:solidFill>
            <a:ln w="25400">
              <a:noFill/>
            </a:ln>
            <a:effectLst/>
          </c:spP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SR_cost_per_minute_forecast!$C$10:$L$10</c:f>
              <c:numCache>
                <c:formatCode>_(* #,##0_);_(* \(#,##0\);_(* "-"??_);_(@_)</c:formatCode>
                <c:ptCount val="10"/>
                <c:pt idx="0">
                  <c:v>1145243.0145355479</c:v>
                </c:pt>
                <c:pt idx="1">
                  <c:v>1191052.73511697</c:v>
                </c:pt>
                <c:pt idx="2">
                  <c:v>1238532.2939002309</c:v>
                </c:pt>
                <c:pt idx="3">
                  <c:v>1287730.1605251716</c:v>
                </c:pt>
                <c:pt idx="4">
                  <c:v>1338696.0754819461</c:v>
                </c:pt>
                <c:pt idx="5">
                  <c:v>1429931.9889159037</c:v>
                </c:pt>
                <c:pt idx="6">
                  <c:v>1492746.1461454295</c:v>
                </c:pt>
                <c:pt idx="7">
                  <c:v>1557648.6701607676</c:v>
                </c:pt>
                <c:pt idx="8">
                  <c:v>1624697.96997046</c:v>
                </c:pt>
                <c:pt idx="9">
                  <c:v>1693953.9555966735</c:v>
                </c:pt>
              </c:numCache>
            </c:numRef>
          </c:val>
          <c:extLst>
            <c:ext xmlns:c16="http://schemas.microsoft.com/office/drawing/2014/chart" uri="{C3380CC4-5D6E-409C-BE32-E72D297353CC}">
              <c16:uniqueId val="{00000007-8C23-4269-B36B-24071BB89BE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4532445340563085"/>
        </c:manualLayout>
      </c:layout>
      <c:areaChart>
        <c:grouping val="stacked"/>
        <c:varyColors val="0"/>
        <c:ser>
          <c:idx val="0"/>
          <c:order val="0"/>
          <c:tx>
            <c:strRef>
              <c:f>SR_cost_per_minute_forecast!$B$21</c:f>
              <c:strCache>
                <c:ptCount val="1"/>
                <c:pt idx="0">
                  <c:v>Human Space Flight</c:v>
                </c:pt>
              </c:strCache>
            </c:strRef>
          </c:tx>
          <c:spPr>
            <a:solidFill>
              <a:schemeClr val="accent1"/>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SR_cost_per_minute_forecast!$C$21:$L$21</c:f>
              <c:numCache>
                <c:formatCode>_(* #,##0_);_(* \(#,##0\);_(* "-"??_);_(@_)</c:formatCode>
                <c:ptCount val="10"/>
                <c:pt idx="0">
                  <c:v>5534683.4074589107</c:v>
                </c:pt>
                <c:pt idx="1">
                  <c:v>6057962.565982298</c:v>
                </c:pt>
                <c:pt idx="2">
                  <c:v>6601971.6296318062</c:v>
                </c:pt>
                <c:pt idx="3">
                  <c:v>7167330.4829490669</c:v>
                </c:pt>
                <c:pt idx="4">
                  <c:v>7754675.5138953319</c:v>
                </c:pt>
                <c:pt idx="5">
                  <c:v>8364660.0260344353</c:v>
                </c:pt>
                <c:pt idx="6">
                  <c:v>8997954.6606017128</c:v>
                </c:pt>
                <c:pt idx="7">
                  <c:v>9655247.8286894318</c:v>
                </c:pt>
                <c:pt idx="8">
                  <c:v>10337246.153784586</c:v>
                </c:pt>
                <c:pt idx="9">
                  <c:v>11044674.924900239</c:v>
                </c:pt>
              </c:numCache>
            </c:numRef>
          </c:val>
          <c:extLst>
            <c:ext xmlns:c16="http://schemas.microsoft.com/office/drawing/2014/chart" uri="{C3380CC4-5D6E-409C-BE32-E72D297353CC}">
              <c16:uniqueId val="{00000000-8097-45B9-A21E-8048D9F1732C}"/>
            </c:ext>
          </c:extLst>
        </c:ser>
        <c:ser>
          <c:idx val="1"/>
          <c:order val="1"/>
          <c:tx>
            <c:strRef>
              <c:f>SR_cost_per_minute_forecast!$B$22</c:f>
              <c:strCache>
                <c:ptCount val="1"/>
                <c:pt idx="0">
                  <c:v>Near Earth Robotic - LEO Science</c:v>
                </c:pt>
              </c:strCache>
            </c:strRef>
          </c:tx>
          <c:spPr>
            <a:solidFill>
              <a:schemeClr val="accent2"/>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SR_cost_per_minute_forecast!$C$22:$L$22</c:f>
              <c:numCache>
                <c:formatCode>_(* #,##0_);_(* \(#,##0\);_(* "-"??_);_(@_)</c:formatCode>
                <c:ptCount val="10"/>
                <c:pt idx="0">
                  <c:v>13077429.391646687</c:v>
                </c:pt>
                <c:pt idx="1">
                  <c:v>13439680.316700198</c:v>
                </c:pt>
                <c:pt idx="2">
                  <c:v>15334836.930415625</c:v>
                </c:pt>
                <c:pt idx="3">
                  <c:v>16618727.827541647</c:v>
                </c:pt>
                <c:pt idx="4">
                  <c:v>18431328.819549635</c:v>
                </c:pt>
                <c:pt idx="5">
                  <c:v>20025441.170979206</c:v>
                </c:pt>
                <c:pt idx="6">
                  <c:v>21766216.07835874</c:v>
                </c:pt>
                <c:pt idx="7">
                  <c:v>23549414.209956989</c:v>
                </c:pt>
                <c:pt idx="8">
                  <c:v>25203796.756174073</c:v>
                </c:pt>
                <c:pt idx="9">
                  <c:v>26915226.976398643</c:v>
                </c:pt>
              </c:numCache>
            </c:numRef>
          </c:val>
          <c:extLst>
            <c:ext xmlns:c16="http://schemas.microsoft.com/office/drawing/2014/chart" uri="{C3380CC4-5D6E-409C-BE32-E72D297353CC}">
              <c16:uniqueId val="{00000001-8097-45B9-A21E-8048D9F1732C}"/>
            </c:ext>
          </c:extLst>
        </c:ser>
        <c:ser>
          <c:idx val="2"/>
          <c:order val="2"/>
          <c:tx>
            <c:strRef>
              <c:f>SR_cost_per_minute_forecast!$B$23</c:f>
              <c:strCache>
                <c:ptCount val="1"/>
                <c:pt idx="0">
                  <c:v>Near Earth Robotic - GEO and Near Earth</c:v>
                </c:pt>
              </c:strCache>
            </c:strRef>
          </c:tx>
          <c:spPr>
            <a:solidFill>
              <a:schemeClr val="accent3"/>
            </a:solidFill>
            <a:ln>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SR_cost_per_minute_forecast!$C$23:$L$23</c:f>
              <c:numCache>
                <c:formatCode>_(* #,##0_);_(* \(#,##0\);_(* "-"??_);_(@_)</c:formatCode>
                <c:ptCount val="10"/>
                <c:pt idx="0">
                  <c:v>90608.191695615082</c:v>
                </c:pt>
                <c:pt idx="1">
                  <c:v>104069.98017610647</c:v>
                </c:pt>
                <c:pt idx="2">
                  <c:v>148136.62700589959</c:v>
                </c:pt>
                <c:pt idx="3">
                  <c:v>164835.66495929193</c:v>
                </c:pt>
                <c:pt idx="4">
                  <c:v>182143.4097800176</c:v>
                </c:pt>
                <c:pt idx="5">
                  <c:v>200077.53012758857</c:v>
                </c:pt>
                <c:pt idx="6">
                  <c:v>218656.15792515033</c:v>
                </c:pt>
                <c:pt idx="7">
                  <c:v>237897.89982256354</c:v>
                </c:pt>
                <c:pt idx="8">
                  <c:v>257821.84893270329</c:v>
                </c:pt>
                <c:pt idx="9">
                  <c:v>278447.59684731951</c:v>
                </c:pt>
              </c:numCache>
            </c:numRef>
          </c:val>
          <c:extLst>
            <c:ext xmlns:c16="http://schemas.microsoft.com/office/drawing/2014/chart" uri="{C3380CC4-5D6E-409C-BE32-E72D297353CC}">
              <c16:uniqueId val="{00000002-8097-45B9-A21E-8048D9F1732C}"/>
            </c:ext>
          </c:extLst>
        </c:ser>
        <c:ser>
          <c:idx val="3"/>
          <c:order val="3"/>
          <c:tx>
            <c:strRef>
              <c:f>SR_cost_per_minute_forecast!$B$24</c:f>
              <c:strCache>
                <c:ptCount val="1"/>
                <c:pt idx="0">
                  <c:v>Deep Space Robotic</c:v>
                </c:pt>
              </c:strCache>
            </c:strRef>
          </c:tx>
          <c:spPr>
            <a:solidFill>
              <a:schemeClr val="accent4"/>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SR_cost_per_minute_forecast!$C$24:$L$24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097-45B9-A21E-8048D9F1732C}"/>
            </c:ext>
          </c:extLst>
        </c:ser>
        <c:ser>
          <c:idx val="4"/>
          <c:order val="4"/>
          <c:tx>
            <c:strRef>
              <c:f>SR_cost_per_minute_forecast!$B$25</c:f>
              <c:strCache>
                <c:ptCount val="1"/>
                <c:pt idx="0">
                  <c:v>Near Earth Robotic - Low Latency &amp; Complex Needs</c:v>
                </c:pt>
              </c:strCache>
            </c:strRef>
          </c:tx>
          <c:spPr>
            <a:solidFill>
              <a:schemeClr val="accent5"/>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SR_cost_per_minute_forecast!$C$25:$L$25</c:f>
              <c:numCache>
                <c:formatCode>_(* #,##0_);_(* \(#,##0\);_(* "-"??_);_(@_)</c:formatCode>
                <c:ptCount val="10"/>
                <c:pt idx="0">
                  <c:v>5546.5352874216096</c:v>
                </c:pt>
                <c:pt idx="1">
                  <c:v>6070.9349873232895</c:v>
                </c:pt>
                <c:pt idx="2">
                  <c:v>6616.1089830287665</c:v>
                </c:pt>
                <c:pt idx="3">
                  <c:v>7182.678486490232</c:v>
                </c:pt>
                <c:pt idx="4">
                  <c:v>8186.9293250181736</c:v>
                </c:pt>
                <c:pt idx="5">
                  <c:v>8907.3791056197733</c:v>
                </c:pt>
                <c:pt idx="6">
                  <c:v>9653.3721057154307</c:v>
                </c:pt>
                <c:pt idx="7">
                  <c:v>10425.641874172659</c:v>
                </c:pt>
                <c:pt idx="8">
                  <c:v>11224.941084525899</c:v>
                </c:pt>
                <c:pt idx="9">
                  <c:v>12052.042006543597</c:v>
                </c:pt>
              </c:numCache>
            </c:numRef>
          </c:val>
          <c:extLst>
            <c:ext xmlns:c16="http://schemas.microsoft.com/office/drawing/2014/chart" uri="{C3380CC4-5D6E-409C-BE32-E72D297353CC}">
              <c16:uniqueId val="{00000004-8097-45B9-A21E-8048D9F1732C}"/>
            </c:ext>
          </c:extLst>
        </c:ser>
        <c:ser>
          <c:idx val="5"/>
          <c:order val="5"/>
          <c:tx>
            <c:strRef>
              <c:f>SR_cost_per_minute_forecast!$B$26</c:f>
              <c:strCache>
                <c:ptCount val="1"/>
                <c:pt idx="0">
                  <c:v>Mission Operations</c:v>
                </c:pt>
              </c:strCache>
            </c:strRef>
          </c:tx>
          <c:spPr>
            <a:solidFill>
              <a:schemeClr val="accent6"/>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SR_cost_per_minute_forecast!$C$26:$L$26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097-45B9-A21E-8048D9F1732C}"/>
            </c:ext>
          </c:extLst>
        </c:ser>
        <c:ser>
          <c:idx val="6"/>
          <c:order val="6"/>
          <c:tx>
            <c:strRef>
              <c:f>SR_cost_per_minute_forecast!$B$27</c:f>
              <c:strCache>
                <c:ptCount val="1"/>
                <c:pt idx="0">
                  <c:v>Launch Events</c:v>
                </c:pt>
              </c:strCache>
            </c:strRef>
          </c:tx>
          <c:spPr>
            <a:solidFill>
              <a:schemeClr val="accent1">
                <a:lumMod val="60000"/>
              </a:schemeClr>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SR_cost_per_minute_forecast!$C$27:$L$27</c:f>
              <c:numCache>
                <c:formatCode>_(* #,##0_);_(* \(#,##0\);_(* "-"??_);_(@_)</c:formatCode>
                <c:ptCount val="10"/>
                <c:pt idx="0">
                  <c:v>85402.737395663979</c:v>
                </c:pt>
                <c:pt idx="1">
                  <c:v>95852.013500545218</c:v>
                </c:pt>
                <c:pt idx="2">
                  <c:v>106715.24169727367</c:v>
                </c:pt>
                <c:pt idx="3">
                  <c:v>118004.80035908129</c:v>
                </c:pt>
                <c:pt idx="4">
                  <c:v>131803.96568195056</c:v>
                </c:pt>
                <c:pt idx="5">
                  <c:v>144528.42724967393</c:v>
                </c:pt>
                <c:pt idx="6">
                  <c:v>157729.2404555736</c:v>
                </c:pt>
                <c:pt idx="7">
                  <c:v>171420.36958054954</c:v>
                </c:pt>
                <c:pt idx="8">
                  <c:v>185616.14693608246</c:v>
                </c:pt>
                <c:pt idx="9">
                  <c:v>200331.28199974459</c:v>
                </c:pt>
              </c:numCache>
            </c:numRef>
          </c:val>
          <c:extLst>
            <c:ext xmlns:c16="http://schemas.microsoft.com/office/drawing/2014/chart" uri="{C3380CC4-5D6E-409C-BE32-E72D297353CC}">
              <c16:uniqueId val="{00000006-8097-45B9-A21E-8048D9F1732C}"/>
            </c:ext>
          </c:extLst>
        </c:ser>
        <c:ser>
          <c:idx val="7"/>
          <c:order val="7"/>
          <c:tx>
            <c:strRef>
              <c:f>SR_cost_per_minute_forecast!$B$28</c:f>
              <c:strCache>
                <c:ptCount val="1"/>
                <c:pt idx="0">
                  <c:v>Terrestrial &amp; Aerial</c:v>
                </c:pt>
              </c:strCache>
            </c:strRef>
          </c:tx>
          <c:spPr>
            <a:solidFill>
              <a:schemeClr val="accent2">
                <a:lumMod val="60000"/>
              </a:schemeClr>
            </a:solidFill>
            <a:ln w="25400">
              <a:noFill/>
            </a:ln>
            <a:effectLst/>
          </c:spPr>
          <c:cat>
            <c:numRef>
              <c:f>SR_cost_per_minute_forecast!$C$20:$L$20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SR_cost_per_minute_forecast!$C$28:$L$28</c:f>
              <c:numCache>
                <c:formatCode>_(* #,##0_);_(* \(#,##0\);_(* "-"??_);_(@_)</c:formatCode>
                <c:ptCount val="10"/>
                <c:pt idx="0">
                  <c:v>1182186.3375850818</c:v>
                </c:pt>
                <c:pt idx="1">
                  <c:v>1266417.114138019</c:v>
                </c:pt>
                <c:pt idx="2">
                  <c:v>1353839.7938024357</c:v>
                </c:pt>
                <c:pt idx="3">
                  <c:v>1444548.3603921703</c:v>
                </c:pt>
                <c:pt idx="4">
                  <c:v>1538639.2803123693</c:v>
                </c:pt>
                <c:pt idx="5">
                  <c:v>1674662.4716283416</c:v>
                </c:pt>
                <c:pt idx="6">
                  <c:v>1783975.4205732308</c:v>
                </c:pt>
                <c:pt idx="7">
                  <c:v>1897138.7957794617</c:v>
                </c:pt>
                <c:pt idx="8">
                  <c:v>2014262.8891179117</c:v>
                </c:pt>
                <c:pt idx="9">
                  <c:v>2135460.8639637856</c:v>
                </c:pt>
              </c:numCache>
            </c:numRef>
          </c:val>
          <c:extLst>
            <c:ext xmlns:c16="http://schemas.microsoft.com/office/drawing/2014/chart" uri="{C3380CC4-5D6E-409C-BE32-E72D297353CC}">
              <c16:uniqueId val="{00000007-8097-45B9-A21E-8048D9F1732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(20%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SR_cost_per_minute_forecast!$B$39</c:f>
              <c:strCache>
                <c:ptCount val="1"/>
                <c:pt idx="0">
                  <c:v>Human Space Flight</c:v>
                </c:pt>
              </c:strCache>
            </c:strRef>
          </c:tx>
          <c:spPr>
            <a:solidFill>
              <a:schemeClr val="accent1"/>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SR_cost_per_minute_forecast!$C$39:$L$39</c:f>
              <c:numCache>
                <c:formatCode>_(* #,##0_);_(* \(#,##0\);_(* "-"??_);_(@_)</c:formatCode>
                <c:ptCount val="10"/>
                <c:pt idx="0">
                  <c:v>5786259.9259797707</c:v>
                </c:pt>
                <c:pt idx="1">
                  <c:v>6571178.6637648521</c:v>
                </c:pt>
                <c:pt idx="2">
                  <c:v>7387192.259239113</c:v>
                </c:pt>
                <c:pt idx="3">
                  <c:v>8235230.5392150022</c:v>
                </c:pt>
                <c:pt idx="4">
                  <c:v>9116248.0856344011</c:v>
                </c:pt>
                <c:pt idx="5">
                  <c:v>10031224.853843058</c:v>
                </c:pt>
                <c:pt idx="6">
                  <c:v>10981166.805693973</c:v>
                </c:pt>
                <c:pt idx="7">
                  <c:v>11967106.55782555</c:v>
                </c:pt>
                <c:pt idx="8">
                  <c:v>12990104.045468286</c:v>
                </c:pt>
                <c:pt idx="9">
                  <c:v>14051247.202141764</c:v>
                </c:pt>
              </c:numCache>
            </c:numRef>
          </c:val>
          <c:extLst>
            <c:ext xmlns:c16="http://schemas.microsoft.com/office/drawing/2014/chart" uri="{C3380CC4-5D6E-409C-BE32-E72D297353CC}">
              <c16:uniqueId val="{00000000-191F-48B7-A5AC-8C2D8131F408}"/>
            </c:ext>
          </c:extLst>
        </c:ser>
        <c:ser>
          <c:idx val="1"/>
          <c:order val="1"/>
          <c:tx>
            <c:strRef>
              <c:f>SR_cost_per_minute_forecast!$B$40</c:f>
              <c:strCache>
                <c:ptCount val="1"/>
                <c:pt idx="0">
                  <c:v>Near Earth Robotic - LEO Science</c:v>
                </c:pt>
              </c:strCache>
            </c:strRef>
          </c:tx>
          <c:spPr>
            <a:solidFill>
              <a:schemeClr val="accent2"/>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SR_cost_per_minute_forecast!$C$40:$L$40</c:f>
              <c:numCache>
                <c:formatCode>_(* #,##0_);_(* \(#,##0\);_(* "-"??_);_(@_)</c:formatCode>
                <c:ptCount val="10"/>
                <c:pt idx="0">
                  <c:v>13661705.077216865</c:v>
                </c:pt>
                <c:pt idx="1">
                  <c:v>14631602.715263359</c:v>
                </c:pt>
                <c:pt idx="2">
                  <c:v>17158478.200217262</c:v>
                </c:pt>
                <c:pt idx="3">
                  <c:v>19098879.954471871</c:v>
                </c:pt>
                <c:pt idx="4">
                  <c:v>21593522.781385675</c:v>
                </c:pt>
                <c:pt idx="5">
                  <c:v>23895966.580266517</c:v>
                </c:pt>
                <c:pt idx="6">
                  <c:v>26372141.315410636</c:v>
                </c:pt>
                <c:pt idx="7">
                  <c:v>28918607.057720341</c:v>
                </c:pt>
                <c:pt idx="8">
                  <c:v>31364945.548982527</c:v>
                </c:pt>
                <c:pt idx="9">
                  <c:v>33897862.274914891</c:v>
                </c:pt>
              </c:numCache>
            </c:numRef>
          </c:val>
          <c:extLst>
            <c:ext xmlns:c16="http://schemas.microsoft.com/office/drawing/2014/chart" uri="{C3380CC4-5D6E-409C-BE32-E72D297353CC}">
              <c16:uniqueId val="{00000001-191F-48B7-A5AC-8C2D8131F408}"/>
            </c:ext>
          </c:extLst>
        </c:ser>
        <c:ser>
          <c:idx val="2"/>
          <c:order val="2"/>
          <c:tx>
            <c:strRef>
              <c:f>SR_cost_per_minute_forecast!$B$41</c:f>
              <c:strCache>
                <c:ptCount val="1"/>
                <c:pt idx="0">
                  <c:v>Near Earth Robotic - GEO and Near Earth</c:v>
                </c:pt>
              </c:strCache>
            </c:strRef>
          </c:tx>
          <c:spPr>
            <a:solidFill>
              <a:schemeClr val="accent3"/>
            </a:solidFill>
            <a:ln>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SR_cost_per_minute_forecast!$C$41:$L$41</c:f>
              <c:numCache>
                <c:formatCode>_(* #,##0_);_(* \(#,##0\);_(* "-"??_);_(@_)</c:formatCode>
                <c:ptCount val="10"/>
                <c:pt idx="0">
                  <c:v>100963.41360368539</c:v>
                </c:pt>
                <c:pt idx="1">
                  <c:v>125194.63286856988</c:v>
                </c:pt>
                <c:pt idx="2">
                  <c:v>180457.34562536865</c:v>
                </c:pt>
                <c:pt idx="3">
                  <c:v>208791.84228176976</c:v>
                </c:pt>
                <c:pt idx="4">
                  <c:v>238187.53586617683</c:v>
                </c:pt>
                <c:pt idx="5">
                  <c:v>268675.54045704746</c:v>
                </c:pt>
                <c:pt idx="6">
                  <c:v>300287.79021720652</c:v>
                </c:pt>
                <c:pt idx="7">
                  <c:v>333057.05975158897</c:v>
                </c:pt>
                <c:pt idx="8">
                  <c:v>367016.98495125992</c:v>
                </c:pt>
                <c:pt idx="9">
                  <c:v>402202.08433501713</c:v>
                </c:pt>
              </c:numCache>
            </c:numRef>
          </c:val>
          <c:extLst>
            <c:ext xmlns:c16="http://schemas.microsoft.com/office/drawing/2014/chart" uri="{C3380CC4-5D6E-409C-BE32-E72D297353CC}">
              <c16:uniqueId val="{00000002-191F-48B7-A5AC-8C2D8131F408}"/>
            </c:ext>
          </c:extLst>
        </c:ser>
        <c:ser>
          <c:idx val="3"/>
          <c:order val="3"/>
          <c:tx>
            <c:strRef>
              <c:f>SR_cost_per_minute_forecast!$B$42</c:f>
              <c:strCache>
                <c:ptCount val="1"/>
                <c:pt idx="0">
                  <c:v>Deep Space Robotic</c:v>
                </c:pt>
              </c:strCache>
            </c:strRef>
          </c:tx>
          <c:spPr>
            <a:solidFill>
              <a:schemeClr val="accent4"/>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SR_cost_per_minute_forecast!$C$42:$L$42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91F-48B7-A5AC-8C2D8131F408}"/>
            </c:ext>
          </c:extLst>
        </c:ser>
        <c:ser>
          <c:idx val="4"/>
          <c:order val="4"/>
          <c:tx>
            <c:strRef>
              <c:f>SR_cost_per_minute_forecast!$B$43</c:f>
              <c:strCache>
                <c:ptCount val="1"/>
                <c:pt idx="0">
                  <c:v>Near Earth Robotic - Low Latency &amp; Complex Needs</c:v>
                </c:pt>
              </c:strCache>
            </c:strRef>
          </c:tx>
          <c:spPr>
            <a:solidFill>
              <a:schemeClr val="accent5"/>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SR_cost_per_minute_forecast!$C$43:$L$43</c:f>
              <c:numCache>
                <c:formatCode>_(* #,##0_);_(* \(#,##0\);_(* "-"??_);_(@_)</c:formatCode>
                <c:ptCount val="10"/>
                <c:pt idx="0">
                  <c:v>6050.7657680963021</c:v>
                </c:pt>
                <c:pt idx="1">
                  <c:v>7099.565167899661</c:v>
                </c:pt>
                <c:pt idx="2">
                  <c:v>8189.9131593106149</c:v>
                </c:pt>
                <c:pt idx="3">
                  <c:v>9323.052166233545</c:v>
                </c:pt>
                <c:pt idx="4">
                  <c:v>10915.905766690898</c:v>
                </c:pt>
                <c:pt idx="5">
                  <c:v>12247.646270227187</c:v>
                </c:pt>
                <c:pt idx="6">
                  <c:v>13628.290031598253</c:v>
                </c:pt>
                <c:pt idx="7">
                  <c:v>15059.260484916063</c:v>
                </c:pt>
                <c:pt idx="8">
                  <c:v>16542.018440353957</c:v>
                </c:pt>
                <c:pt idx="9">
                  <c:v>18078.063009815396</c:v>
                </c:pt>
              </c:numCache>
            </c:numRef>
          </c:val>
          <c:extLst>
            <c:ext xmlns:c16="http://schemas.microsoft.com/office/drawing/2014/chart" uri="{C3380CC4-5D6E-409C-BE32-E72D297353CC}">
              <c16:uniqueId val="{00000004-191F-48B7-A5AC-8C2D8131F408}"/>
            </c:ext>
          </c:extLst>
        </c:ser>
        <c:ser>
          <c:idx val="5"/>
          <c:order val="5"/>
          <c:tx>
            <c:strRef>
              <c:f>SR_cost_per_minute_forecast!$B$44</c:f>
              <c:strCache>
                <c:ptCount val="1"/>
                <c:pt idx="0">
                  <c:v>Mission Operations</c:v>
                </c:pt>
              </c:strCache>
            </c:strRef>
          </c:tx>
          <c:spPr>
            <a:solidFill>
              <a:schemeClr val="accent6"/>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SR_cost_per_minute_forecast!$C$44:$L$44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191F-48B7-A5AC-8C2D8131F408}"/>
            </c:ext>
          </c:extLst>
        </c:ser>
        <c:ser>
          <c:idx val="6"/>
          <c:order val="6"/>
          <c:tx>
            <c:strRef>
              <c:f>SR_cost_per_minute_forecast!$B$45</c:f>
              <c:strCache>
                <c:ptCount val="1"/>
                <c:pt idx="0">
                  <c:v>Launch Events</c:v>
                </c:pt>
              </c:strCache>
            </c:strRef>
          </c:tx>
          <c:spPr>
            <a:solidFill>
              <a:schemeClr val="accent1">
                <a:lumMod val="60000"/>
              </a:schemeClr>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SR_cost_per_minute_forecast!$C$45:$L$45</c:f>
              <c:numCache>
                <c:formatCode>_(* #,##0_);_(* \(#,##0\);_(* "-"??_);_(@_)</c:formatCode>
                <c:ptCount val="10"/>
                <c:pt idx="0">
                  <c:v>87914.582613183506</c:v>
                </c:pt>
                <c:pt idx="1">
                  <c:v>100976.17774428507</c:v>
                </c:pt>
                <c:pt idx="2">
                  <c:v>114555.21299019564</c:v>
                </c:pt>
                <c:pt idx="3">
                  <c:v>128667.16131745513</c:v>
                </c:pt>
                <c:pt idx="4">
                  <c:v>145398.47590387726</c:v>
                </c:pt>
                <c:pt idx="5">
                  <c:v>161168.10776131216</c:v>
                </c:pt>
                <c:pt idx="6">
                  <c:v>177530.46026442311</c:v>
                </c:pt>
                <c:pt idx="7">
                  <c:v>194502.93438629407</c:v>
                </c:pt>
                <c:pt idx="8">
                  <c:v>212103.39005067432</c:v>
                </c:pt>
                <c:pt idx="9">
                  <c:v>230350.15752961542</c:v>
                </c:pt>
              </c:numCache>
            </c:numRef>
          </c:val>
          <c:extLst>
            <c:ext xmlns:c16="http://schemas.microsoft.com/office/drawing/2014/chart" uri="{C3380CC4-5D6E-409C-BE32-E72D297353CC}">
              <c16:uniqueId val="{00000006-191F-48B7-A5AC-8C2D8131F408}"/>
            </c:ext>
          </c:extLst>
        </c:ser>
        <c:ser>
          <c:idx val="7"/>
          <c:order val="7"/>
          <c:tx>
            <c:strRef>
              <c:f>SR_cost_per_minute_forecast!$B$46</c:f>
              <c:strCache>
                <c:ptCount val="1"/>
                <c:pt idx="0">
                  <c:v>Terrestrial &amp; Aerial</c:v>
                </c:pt>
              </c:strCache>
            </c:strRef>
          </c:tx>
          <c:spPr>
            <a:solidFill>
              <a:schemeClr val="accent2">
                <a:lumMod val="60000"/>
              </a:schemeClr>
            </a:solidFill>
            <a:ln w="25400">
              <a:noFill/>
            </a:ln>
            <a:effectLst/>
          </c:spPr>
          <c:cat>
            <c:numRef>
              <c:f>SR_cost_per_minute_forecast!$C$38:$L$38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SR_cost_per_minute_forecast!$C$46:$L$46</c:f>
              <c:numCache>
                <c:formatCode>_(* #,##0_);_(* \(#,##0\);_(* "-"??_);_(@_)</c:formatCode>
                <c:ptCount val="10"/>
                <c:pt idx="0">
                  <c:v>1219129.6606346157</c:v>
                </c:pt>
                <c:pt idx="1">
                  <c:v>1341781.493159068</c:v>
                </c:pt>
                <c:pt idx="2">
                  <c:v>1469147.2937046406</c:v>
                </c:pt>
                <c:pt idx="3">
                  <c:v>1601366.560259169</c:v>
                </c:pt>
                <c:pt idx="4">
                  <c:v>1738582.485142793</c:v>
                </c:pt>
                <c:pt idx="5">
                  <c:v>1919392.9543407802</c:v>
                </c:pt>
                <c:pt idx="6">
                  <c:v>2075204.695001032</c:v>
                </c:pt>
                <c:pt idx="7">
                  <c:v>2236628.9213981563</c:v>
                </c:pt>
                <c:pt idx="8">
                  <c:v>2403827.8082653633</c:v>
                </c:pt>
                <c:pt idx="9">
                  <c:v>2576967.7723308974</c:v>
                </c:pt>
              </c:numCache>
            </c:numRef>
          </c:val>
          <c:extLst>
            <c:ext xmlns:c16="http://schemas.microsoft.com/office/drawing/2014/chart" uri="{C3380CC4-5D6E-409C-BE32-E72D297353CC}">
              <c16:uniqueId val="{00000007-191F-48B7-A5AC-8C2D8131F40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(40%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SR_cost_per_minute_forecast!$B$59</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SR_cost_per_minute_forecast!$C$59:$L$59</c:f>
              <c:numCache>
                <c:formatCode>_(* #,##0_);_(* \(#,##0\);_(* "-"??_);_(@_)</c:formatCode>
                <c:ptCount val="10"/>
                <c:pt idx="0">
                  <c:v>6016871.7346238913</c:v>
                </c:pt>
                <c:pt idx="1">
                  <c:v>6169494.8225265462</c:v>
                </c:pt>
                <c:pt idx="2">
                  <c:v>6328164.1327576526</c:v>
                </c:pt>
                <c:pt idx="3">
                  <c:v>6493060.4649751866</c:v>
                </c:pt>
                <c:pt idx="4">
                  <c:v>6664369.4323345143</c:v>
                </c:pt>
                <c:pt idx="5">
                  <c:v>6842281.5817084191</c:v>
                </c:pt>
                <c:pt idx="6">
                  <c:v>7026992.5167905418</c:v>
                </c:pt>
                <c:pt idx="7">
                  <c:v>7218703.0241494607</c:v>
                </c:pt>
                <c:pt idx="8">
                  <c:v>7417619.2023022128</c:v>
                </c:pt>
                <c:pt idx="9">
                  <c:v>7623952.5938776126</c:v>
                </c:pt>
              </c:numCache>
            </c:numRef>
          </c:val>
          <c:extLst>
            <c:ext xmlns:c16="http://schemas.microsoft.com/office/drawing/2014/chart" uri="{C3380CC4-5D6E-409C-BE32-E72D297353CC}">
              <c16:uniqueId val="{00000000-F8E5-41E2-A834-8AD717F037AC}"/>
            </c:ext>
          </c:extLst>
        </c:ser>
        <c:ser>
          <c:idx val="1"/>
          <c:order val="1"/>
          <c:tx>
            <c:strRef>
              <c:f>SR_cost_per_minute_forecast!$B$60</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SR_cost_per_minute_forecast!$C$60:$L$60</c:f>
              <c:numCache>
                <c:formatCode>_(* #,##0_);_(* \(#,##0\);_(* "-"??_);_(@_)</c:formatCode>
                <c:ptCount val="10"/>
                <c:pt idx="0">
                  <c:v>14575345.990422597</c:v>
                </c:pt>
                <c:pt idx="1">
                  <c:v>14289050.904493211</c:v>
                </c:pt>
                <c:pt idx="2">
                  <c:v>15763061.604049653</c:v>
                </c:pt>
                <c:pt idx="3">
                  <c:v>16495004.984046655</c:v>
                </c:pt>
                <c:pt idx="4">
                  <c:v>17813990.66733253</c:v>
                </c:pt>
                <c:pt idx="5">
                  <c:v>18847401.721973877</c:v>
                </c:pt>
                <c:pt idx="6">
                  <c:v>20020339.314857978</c:v>
                </c:pt>
                <c:pt idx="7">
                  <c:v>21210258.255892567</c:v>
                </c:pt>
                <c:pt idx="8">
                  <c:v>22216422.623926554</c:v>
                </c:pt>
                <c:pt idx="9">
                  <c:v>23254690.290862795</c:v>
                </c:pt>
              </c:numCache>
            </c:numRef>
          </c:val>
          <c:extLst>
            <c:ext xmlns:c16="http://schemas.microsoft.com/office/drawing/2014/chart" uri="{C3380CC4-5D6E-409C-BE32-E72D297353CC}">
              <c16:uniqueId val="{00000001-F8E5-41E2-A834-8AD717F037AC}"/>
            </c:ext>
          </c:extLst>
        </c:ser>
        <c:ser>
          <c:idx val="2"/>
          <c:order val="2"/>
          <c:tx>
            <c:strRef>
              <c:f>SR_cost_per_minute_forecast!$B$61</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SR_cost_per_minute_forecast!$C$61:$L$61</c:f>
              <c:numCache>
                <c:formatCode>_(* #,##0_);_(* \(#,##0\);_(* "-"??_);_(@_)</c:formatCode>
                <c:ptCount val="10"/>
                <c:pt idx="0">
                  <c:v>96648.737808656093</c:v>
                </c:pt>
                <c:pt idx="1">
                  <c:v>102930.90576621874</c:v>
                </c:pt>
                <c:pt idx="2">
                  <c:v>144545.43604818083</c:v>
                </c:pt>
                <c:pt idx="3">
                  <c:v>153846.62062867245</c:v>
                </c:pt>
                <c:pt idx="4">
                  <c:v>163462.03441796449</c:v>
                </c:pt>
                <c:pt idx="5">
                  <c:v>173400.52611057673</c:v>
                </c:pt>
                <c:pt idx="6">
                  <c:v>183671.17265712627</c:v>
                </c:pt>
                <c:pt idx="7">
                  <c:v>194283.28485509352</c:v>
                </c:pt>
                <c:pt idx="8">
                  <c:v>205246.41307191667</c:v>
                </c:pt>
                <c:pt idx="9">
                  <c:v>216570.35310347073</c:v>
                </c:pt>
              </c:numCache>
            </c:numRef>
          </c:val>
          <c:extLst>
            <c:ext xmlns:c16="http://schemas.microsoft.com/office/drawing/2014/chart" uri="{C3380CC4-5D6E-409C-BE32-E72D297353CC}">
              <c16:uniqueId val="{00000002-F8E5-41E2-A834-8AD717F037AC}"/>
            </c:ext>
          </c:extLst>
        </c:ser>
        <c:ser>
          <c:idx val="3"/>
          <c:order val="3"/>
          <c:tx>
            <c:strRef>
              <c:f>SR_cost_per_minute_forecast!$B$62</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SR_cost_per_minute_forecast!$C$62:$L$62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8E5-41E2-A834-8AD717F037AC}"/>
            </c:ext>
          </c:extLst>
        </c:ser>
        <c:ser>
          <c:idx val="4"/>
          <c:order val="4"/>
          <c:tx>
            <c:strRef>
              <c:f>SR_cost_per_minute_forecast!$B$63</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SR_cost_per_minute_forecast!$C$63:$L$63</c:f>
              <c:numCache>
                <c:formatCode>_(* #,##0_);_(* \(#,##0\);_(* "-"??_);_(@_)</c:formatCode>
                <c:ptCount val="10"/>
                <c:pt idx="0">
                  <c:v>5882.6889412047376</c:v>
                </c:pt>
                <c:pt idx="1">
                  <c:v>5882.6889412047376</c:v>
                </c:pt>
                <c:pt idx="2">
                  <c:v>5882.6889412047376</c:v>
                </c:pt>
                <c:pt idx="3">
                  <c:v>5882.6889412047376</c:v>
                </c:pt>
                <c:pt idx="4">
                  <c:v>6367.611697236357</c:v>
                </c:pt>
                <c:pt idx="5">
                  <c:v>6494.9639311810843</c:v>
                </c:pt>
                <c:pt idx="6">
                  <c:v>6624.8632098047065</c:v>
                </c:pt>
                <c:pt idx="7">
                  <c:v>6757.3604740007986</c:v>
                </c:pt>
                <c:pt idx="8">
                  <c:v>6892.507683480816</c:v>
                </c:pt>
                <c:pt idx="9">
                  <c:v>7030.3578371504318</c:v>
                </c:pt>
              </c:numCache>
            </c:numRef>
          </c:val>
          <c:extLst>
            <c:ext xmlns:c16="http://schemas.microsoft.com/office/drawing/2014/chart" uri="{C3380CC4-5D6E-409C-BE32-E72D297353CC}">
              <c16:uniqueId val="{00000004-F8E5-41E2-A834-8AD717F037AC}"/>
            </c:ext>
          </c:extLst>
        </c:ser>
        <c:ser>
          <c:idx val="5"/>
          <c:order val="5"/>
          <c:tx>
            <c:strRef>
              <c:f>SR_cost_per_minute_forecast!$B$64</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SR_cost_per_minute_forecast!$C$64:$L$64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8E5-41E2-A834-8AD717F037AC}"/>
            </c:ext>
          </c:extLst>
        </c:ser>
        <c:ser>
          <c:idx val="6"/>
          <c:order val="6"/>
          <c:tx>
            <c:strRef>
              <c:f>SR_cost_per_minute_forecast!$B$65</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SR_cost_per_minute_forecast!$C$65:$L$65</c:f>
              <c:numCache>
                <c:formatCode>_(* #,##0_);_(* \(#,##0\);_(* "-"??_);_(@_)</c:formatCode>
                <c:ptCount val="10"/>
                <c:pt idx="0">
                  <c:v>93775.55478739574</c:v>
                </c:pt>
                <c:pt idx="1">
                  <c:v>99870.965848576467</c:v>
                </c:pt>
                <c:pt idx="2">
                  <c:v>106207.84896333472</c:v>
                </c:pt>
                <c:pt idx="3">
                  <c:v>112793.42484938916</c:v>
                </c:pt>
                <c:pt idx="4">
                  <c:v>122050.76944444676</c:v>
                </c:pt>
                <c:pt idx="5">
                  <c:v>129790.57726413035</c:v>
                </c:pt>
                <c:pt idx="6">
                  <c:v>137814.60097752034</c:v>
                </c:pt>
                <c:pt idx="7">
                  <c:v>146131.11329723711</c:v>
                </c:pt>
                <c:pt idx="8">
                  <c:v>154748.60415804843</c:v>
                </c:pt>
                <c:pt idx="9">
                  <c:v>163675.78609667017</c:v>
                </c:pt>
              </c:numCache>
            </c:numRef>
          </c:val>
          <c:extLst>
            <c:ext xmlns:c16="http://schemas.microsoft.com/office/drawing/2014/chart" uri="{C3380CC4-5D6E-409C-BE32-E72D297353CC}">
              <c16:uniqueId val="{00000006-F8E5-41E2-A834-8AD717F037AC}"/>
            </c:ext>
          </c:extLst>
        </c:ser>
        <c:ser>
          <c:idx val="7"/>
          <c:order val="7"/>
          <c:tx>
            <c:strRef>
              <c:f>SR_cost_per_minute_forecast!$B$66</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SR_cost_per_minute_forecast!$C$66:$L$66</c:f>
              <c:numCache>
                <c:formatCode>_(* #,##0_);_(* \(#,##0\);_(* "-"??_);_(@_)</c:formatCode>
                <c:ptCount val="10"/>
                <c:pt idx="0">
                  <c:v>1336116.8502914726</c:v>
                </c:pt>
                <c:pt idx="1">
                  <c:v>1389561.5243031317</c:v>
                </c:pt>
                <c:pt idx="2">
                  <c:v>1444954.3428836027</c:v>
                </c:pt>
                <c:pt idx="3">
                  <c:v>1502351.8539460334</c:v>
                </c:pt>
                <c:pt idx="4">
                  <c:v>1561812.0880622705</c:v>
                </c:pt>
                <c:pt idx="5">
                  <c:v>1668253.9870685542</c:v>
                </c:pt>
                <c:pt idx="6">
                  <c:v>1741537.1705030012</c:v>
                </c:pt>
                <c:pt idx="7">
                  <c:v>1817256.7818542286</c:v>
                </c:pt>
                <c:pt idx="8">
                  <c:v>1895480.9649655365</c:v>
                </c:pt>
                <c:pt idx="9">
                  <c:v>1976279.6148627857</c:v>
                </c:pt>
              </c:numCache>
            </c:numRef>
          </c:val>
          <c:extLst>
            <c:ext xmlns:c16="http://schemas.microsoft.com/office/drawing/2014/chart" uri="{C3380CC4-5D6E-409C-BE32-E72D297353CC}">
              <c16:uniqueId val="{00000007-F8E5-41E2-A834-8AD717F037AC}"/>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 cost by use case (Baseline demand </a:t>
            </a:r>
            <a:r>
              <a:rPr lang="en-US" sz="1200" b="0" i="0" u="none" strike="noStrike" kern="1200" spc="0" baseline="0">
                <a:solidFill>
                  <a:sysClr val="windowText" lastClr="000000">
                    <a:lumMod val="65000"/>
                    <a:lumOff val="35000"/>
                  </a:sysClr>
                </a:solidFill>
                <a:effectLst/>
                <a:latin typeface="+mn-lt"/>
                <a:ea typeface="+mn-ea"/>
                <a:cs typeface="+mn-cs"/>
              </a:rPr>
              <a:t>scenario) (40% profit margin)</a:t>
            </a:r>
            <a:r>
              <a:rPr lang="en-US" sz="1200" b="0" i="0" baseline="0">
                <a:effectLst/>
              </a:rPr>
              <a:t> </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SR_cost_per_minute_forecast!$B$77</c:f>
              <c:strCache>
                <c:ptCount val="1"/>
                <c:pt idx="0">
                  <c:v>Human Space Flight</c:v>
                </c:pt>
              </c:strCache>
            </c:strRef>
          </c:tx>
          <c:spPr>
            <a:solidFill>
              <a:schemeClr val="accent1"/>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SR_cost_per_minute_forecast!$C$77:$L$77</c:f>
              <c:numCache>
                <c:formatCode>_(* #,##0_);_(* \(#,##0\);_(* "-"??_);_(@_)</c:formatCode>
                <c:ptCount val="10"/>
                <c:pt idx="0">
                  <c:v>6457130.6420353958</c:v>
                </c:pt>
                <c:pt idx="1">
                  <c:v>7067622.9936460145</c:v>
                </c:pt>
                <c:pt idx="2">
                  <c:v>7702300.2345704399</c:v>
                </c:pt>
                <c:pt idx="3">
                  <c:v>8361885.5634405771</c:v>
                </c:pt>
                <c:pt idx="4">
                  <c:v>9047121.432877887</c:v>
                </c:pt>
                <c:pt idx="5">
                  <c:v>9758770.0303735062</c:v>
                </c:pt>
                <c:pt idx="6">
                  <c:v>10497613.770701997</c:v>
                </c:pt>
                <c:pt idx="7">
                  <c:v>11264455.800137669</c:v>
                </c:pt>
                <c:pt idx="8">
                  <c:v>12060120.512748685</c:v>
                </c:pt>
                <c:pt idx="9">
                  <c:v>12885454.07905028</c:v>
                </c:pt>
              </c:numCache>
            </c:numRef>
          </c:val>
          <c:extLst>
            <c:ext xmlns:c16="http://schemas.microsoft.com/office/drawing/2014/chart" uri="{C3380CC4-5D6E-409C-BE32-E72D297353CC}">
              <c16:uniqueId val="{00000000-3872-49CC-B700-4537783BB6C5}"/>
            </c:ext>
          </c:extLst>
        </c:ser>
        <c:ser>
          <c:idx val="1"/>
          <c:order val="1"/>
          <c:tx>
            <c:strRef>
              <c:f>SR_cost_per_minute_forecast!$B$78</c:f>
              <c:strCache>
                <c:ptCount val="1"/>
                <c:pt idx="0">
                  <c:v>Near Earth Robotic - LEO Science</c:v>
                </c:pt>
              </c:strCache>
            </c:strRef>
          </c:tx>
          <c:spPr>
            <a:solidFill>
              <a:schemeClr val="accent2"/>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SR_cost_per_minute_forecast!$C$78:$L$78</c:f>
              <c:numCache>
                <c:formatCode>_(* #,##0_);_(* \(#,##0\);_(* "-"??_);_(@_)</c:formatCode>
                <c:ptCount val="10"/>
                <c:pt idx="0">
                  <c:v>15257000.956921134</c:v>
                </c:pt>
                <c:pt idx="1">
                  <c:v>15679627.03615023</c:v>
                </c:pt>
                <c:pt idx="2">
                  <c:v>17890643.085484896</c:v>
                </c:pt>
                <c:pt idx="3">
                  <c:v>19388515.798798587</c:v>
                </c:pt>
                <c:pt idx="4">
                  <c:v>21503216.956141241</c:v>
                </c:pt>
                <c:pt idx="5">
                  <c:v>23363014.699475739</c:v>
                </c:pt>
                <c:pt idx="6">
                  <c:v>25393918.758085195</c:v>
                </c:pt>
                <c:pt idx="7">
                  <c:v>27474316.57828315</c:v>
                </c:pt>
                <c:pt idx="8">
                  <c:v>29404429.548869751</c:v>
                </c:pt>
                <c:pt idx="9">
                  <c:v>31401098.139131747</c:v>
                </c:pt>
              </c:numCache>
            </c:numRef>
          </c:val>
          <c:extLst>
            <c:ext xmlns:c16="http://schemas.microsoft.com/office/drawing/2014/chart" uri="{C3380CC4-5D6E-409C-BE32-E72D297353CC}">
              <c16:uniqueId val="{00000001-3872-49CC-B700-4537783BB6C5}"/>
            </c:ext>
          </c:extLst>
        </c:ser>
        <c:ser>
          <c:idx val="2"/>
          <c:order val="2"/>
          <c:tx>
            <c:strRef>
              <c:f>SR_cost_per_minute_forecast!$B$79</c:f>
              <c:strCache>
                <c:ptCount val="1"/>
                <c:pt idx="0">
                  <c:v>Near Earth Robotic - GEO and Near Earth</c:v>
                </c:pt>
              </c:strCache>
            </c:strRef>
          </c:tx>
          <c:spPr>
            <a:solidFill>
              <a:schemeClr val="accent3"/>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SR_cost_per_minute_forecast!$C$79:$L$79</c:f>
              <c:numCache>
                <c:formatCode>_(* #,##0_);_(* \(#,##0\);_(* "-"??_);_(@_)</c:formatCode>
                <c:ptCount val="10"/>
                <c:pt idx="0">
                  <c:v>105709.55697821759</c:v>
                </c:pt>
                <c:pt idx="1">
                  <c:v>121414.97687212421</c:v>
                </c:pt>
                <c:pt idx="2">
                  <c:v>172826.06484021619</c:v>
                </c:pt>
                <c:pt idx="3">
                  <c:v>192308.27578584058</c:v>
                </c:pt>
                <c:pt idx="4">
                  <c:v>212500.64474335386</c:v>
                </c:pt>
                <c:pt idx="5">
                  <c:v>233423.78514885332</c:v>
                </c:pt>
                <c:pt idx="6">
                  <c:v>255098.85091267538</c:v>
                </c:pt>
                <c:pt idx="7">
                  <c:v>277547.54979299079</c:v>
                </c:pt>
                <c:pt idx="8">
                  <c:v>300792.15708815382</c:v>
                </c:pt>
                <c:pt idx="9">
                  <c:v>324855.52965520608</c:v>
                </c:pt>
              </c:numCache>
            </c:numRef>
          </c:val>
          <c:extLst>
            <c:ext xmlns:c16="http://schemas.microsoft.com/office/drawing/2014/chart" uri="{C3380CC4-5D6E-409C-BE32-E72D297353CC}">
              <c16:uniqueId val="{00000002-3872-49CC-B700-4537783BB6C5}"/>
            </c:ext>
          </c:extLst>
        </c:ser>
        <c:ser>
          <c:idx val="3"/>
          <c:order val="3"/>
          <c:tx>
            <c:strRef>
              <c:f>SR_cost_per_minute_forecast!$B$80</c:f>
              <c:strCache>
                <c:ptCount val="1"/>
                <c:pt idx="0">
                  <c:v>Deep Space Robotic</c:v>
                </c:pt>
              </c:strCache>
            </c:strRef>
          </c:tx>
          <c:spPr>
            <a:solidFill>
              <a:schemeClr val="accent4"/>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SR_cost_per_minute_forecast!$C$80:$L$80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872-49CC-B700-4537783BB6C5}"/>
            </c:ext>
          </c:extLst>
        </c:ser>
        <c:ser>
          <c:idx val="4"/>
          <c:order val="4"/>
          <c:tx>
            <c:strRef>
              <c:f>SR_cost_per_minute_forecast!$B$81</c:f>
              <c:strCache>
                <c:ptCount val="1"/>
                <c:pt idx="0">
                  <c:v>Near Earth Robotic - Low Latency &amp; Complex Needs</c:v>
                </c:pt>
              </c:strCache>
            </c:strRef>
          </c:tx>
          <c:spPr>
            <a:solidFill>
              <a:schemeClr val="accent5"/>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SR_cost_per_minute_forecast!$C$81:$L$81</c:f>
              <c:numCache>
                <c:formatCode>_(* #,##0_);_(* \(#,##0\);_(* "-"??_);_(@_)</c:formatCode>
                <c:ptCount val="10"/>
                <c:pt idx="0">
                  <c:v>6470.9578353252109</c:v>
                </c:pt>
                <c:pt idx="1">
                  <c:v>7082.7574852105035</c:v>
                </c:pt>
                <c:pt idx="2">
                  <c:v>7718.7938135335598</c:v>
                </c:pt>
                <c:pt idx="3">
                  <c:v>8379.791567571936</c:v>
                </c:pt>
                <c:pt idx="4">
                  <c:v>9551.4175458545342</c:v>
                </c:pt>
                <c:pt idx="5">
                  <c:v>10391.942289889736</c:v>
                </c:pt>
                <c:pt idx="6">
                  <c:v>11262.267456668002</c:v>
                </c:pt>
                <c:pt idx="7">
                  <c:v>12163.248853201436</c:v>
                </c:pt>
                <c:pt idx="8">
                  <c:v>13095.764598613549</c:v>
                </c:pt>
                <c:pt idx="9">
                  <c:v>14060.715674300864</c:v>
                </c:pt>
              </c:numCache>
            </c:numRef>
          </c:val>
          <c:extLst>
            <c:ext xmlns:c16="http://schemas.microsoft.com/office/drawing/2014/chart" uri="{C3380CC4-5D6E-409C-BE32-E72D297353CC}">
              <c16:uniqueId val="{00000004-3872-49CC-B700-4537783BB6C5}"/>
            </c:ext>
          </c:extLst>
        </c:ser>
        <c:ser>
          <c:idx val="5"/>
          <c:order val="5"/>
          <c:tx>
            <c:strRef>
              <c:f>SR_cost_per_minute_forecast!$B$82</c:f>
              <c:strCache>
                <c:ptCount val="1"/>
                <c:pt idx="0">
                  <c:v>Mission Operations</c:v>
                </c:pt>
              </c:strCache>
            </c:strRef>
          </c:tx>
          <c:spPr>
            <a:solidFill>
              <a:schemeClr val="accent6"/>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SR_cost_per_minute_forecast!$C$82:$L$82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3872-49CC-B700-4537783BB6C5}"/>
            </c:ext>
          </c:extLst>
        </c:ser>
        <c:ser>
          <c:idx val="6"/>
          <c:order val="6"/>
          <c:tx>
            <c:strRef>
              <c:f>SR_cost_per_minute_forecast!$B$83</c:f>
              <c:strCache>
                <c:ptCount val="1"/>
                <c:pt idx="0">
                  <c:v>Launch Events</c:v>
                </c:pt>
              </c:strCache>
            </c:strRef>
          </c:tx>
          <c:spPr>
            <a:solidFill>
              <a:schemeClr val="accent1">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SR_cost_per_minute_forecast!$C$83:$L$83</c:f>
              <c:numCache>
                <c:formatCode>_(* #,##0_);_(* \(#,##0\);_(* "-"??_);_(@_)</c:formatCode>
                <c:ptCount val="10"/>
                <c:pt idx="0">
                  <c:v>99636.526961607975</c:v>
                </c:pt>
                <c:pt idx="1">
                  <c:v>111827.34908396941</c:v>
                </c:pt>
                <c:pt idx="2">
                  <c:v>124501.11531348595</c:v>
                </c:pt>
                <c:pt idx="3">
                  <c:v>137672.26708559482</c:v>
                </c:pt>
                <c:pt idx="4">
                  <c:v>153771.29329560901</c:v>
                </c:pt>
                <c:pt idx="5">
                  <c:v>168616.49845795293</c:v>
                </c:pt>
                <c:pt idx="6">
                  <c:v>184017.44719816919</c:v>
                </c:pt>
                <c:pt idx="7">
                  <c:v>199990.43117730776</c:v>
                </c:pt>
                <c:pt idx="8">
                  <c:v>216552.17142542952</c:v>
                </c:pt>
                <c:pt idx="9">
                  <c:v>233719.82899970203</c:v>
                </c:pt>
              </c:numCache>
            </c:numRef>
          </c:val>
          <c:extLst>
            <c:ext xmlns:c16="http://schemas.microsoft.com/office/drawing/2014/chart" uri="{C3380CC4-5D6E-409C-BE32-E72D297353CC}">
              <c16:uniqueId val="{00000006-3872-49CC-B700-4537783BB6C5}"/>
            </c:ext>
          </c:extLst>
        </c:ser>
        <c:ser>
          <c:idx val="7"/>
          <c:order val="7"/>
          <c:tx>
            <c:strRef>
              <c:f>SR_cost_per_minute_forecast!$B$84</c:f>
              <c:strCache>
                <c:ptCount val="1"/>
                <c:pt idx="0">
                  <c:v>Terrestrial &amp; Aerial</c:v>
                </c:pt>
              </c:strCache>
            </c:strRef>
          </c:tx>
          <c:spPr>
            <a:solidFill>
              <a:schemeClr val="accent2">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SR_cost_per_minute_forecast!$C$84:$L$84</c:f>
              <c:numCache>
                <c:formatCode>_(* #,##0_);_(* \(#,##0\);_(* "-"??_);_(@_)</c:formatCode>
                <c:ptCount val="10"/>
                <c:pt idx="0">
                  <c:v>1379217.393849262</c:v>
                </c:pt>
                <c:pt idx="1">
                  <c:v>1477486.6331610221</c:v>
                </c:pt>
                <c:pt idx="2">
                  <c:v>1579479.759436175</c:v>
                </c:pt>
                <c:pt idx="3">
                  <c:v>1685306.4204575319</c:v>
                </c:pt>
                <c:pt idx="4">
                  <c:v>1795079.1603644309</c:v>
                </c:pt>
                <c:pt idx="5">
                  <c:v>1953772.8835663986</c:v>
                </c:pt>
                <c:pt idx="6">
                  <c:v>2081304.6573354357</c:v>
                </c:pt>
                <c:pt idx="7">
                  <c:v>2213328.5950760385</c:v>
                </c:pt>
                <c:pt idx="8">
                  <c:v>2349973.3706375635</c:v>
                </c:pt>
                <c:pt idx="9">
                  <c:v>2491371.00795775</c:v>
                </c:pt>
              </c:numCache>
            </c:numRef>
          </c:val>
          <c:extLst>
            <c:ext xmlns:c16="http://schemas.microsoft.com/office/drawing/2014/chart" uri="{C3380CC4-5D6E-409C-BE32-E72D297353CC}">
              <c16:uniqueId val="{00000007-3872-49CC-B700-4537783BB6C5}"/>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a:t>
            </a:r>
            <a:r>
              <a:rPr lang="en-US" sz="1200" b="0" i="0" u="none" strike="noStrike" baseline="0">
                <a:effectLst/>
              </a:rPr>
              <a:t> (40% profit margin) </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SR_cost_per_minute_forecast!$B$95</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SR_cost_per_minute_forecast!$C$95:$L$95</c:f>
              <c:numCache>
                <c:formatCode>_(* #,##0_);_(* \(#,##0\);_(* "-"??_);_(@_)</c:formatCode>
                <c:ptCount val="10"/>
                <c:pt idx="0">
                  <c:v>6750636.5803097319</c:v>
                </c:pt>
                <c:pt idx="1">
                  <c:v>7666375.1077256603</c:v>
                </c:pt>
                <c:pt idx="2">
                  <c:v>8618390.9691122975</c:v>
                </c:pt>
                <c:pt idx="3">
                  <c:v>9607768.962417502</c:v>
                </c:pt>
                <c:pt idx="4">
                  <c:v>10635622.766573468</c:v>
                </c:pt>
                <c:pt idx="5">
                  <c:v>11703095.662816901</c:v>
                </c:pt>
                <c:pt idx="6">
                  <c:v>12811361.273309635</c:v>
                </c:pt>
                <c:pt idx="7">
                  <c:v>13961624.317463141</c:v>
                </c:pt>
                <c:pt idx="8">
                  <c:v>15155121.386379665</c:v>
                </c:pt>
                <c:pt idx="9">
                  <c:v>16393121.735832058</c:v>
                </c:pt>
              </c:numCache>
            </c:numRef>
          </c:val>
          <c:extLst>
            <c:ext xmlns:c16="http://schemas.microsoft.com/office/drawing/2014/chart" uri="{C3380CC4-5D6E-409C-BE32-E72D297353CC}">
              <c16:uniqueId val="{00000000-A452-4826-A3E9-999FA93FA8F8}"/>
            </c:ext>
          </c:extLst>
        </c:ser>
        <c:ser>
          <c:idx val="1"/>
          <c:order val="1"/>
          <c:tx>
            <c:strRef>
              <c:f>SR_cost_per_minute_forecast!$B$96</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SR_cost_per_minute_forecast!$C$96:$L$96</c:f>
              <c:numCache>
                <c:formatCode>_(* #,##0_);_(* \(#,##0\);_(* "-"??_);_(@_)</c:formatCode>
                <c:ptCount val="10"/>
                <c:pt idx="0">
                  <c:v>15938655.923419675</c:v>
                </c:pt>
                <c:pt idx="1">
                  <c:v>17070203.167807251</c:v>
                </c:pt>
                <c:pt idx="2">
                  <c:v>20018224.566920139</c:v>
                </c:pt>
                <c:pt idx="3">
                  <c:v>22282026.613550518</c:v>
                </c:pt>
                <c:pt idx="4">
                  <c:v>25192443.244949952</c:v>
                </c:pt>
                <c:pt idx="5">
                  <c:v>27878627.676977601</c:v>
                </c:pt>
                <c:pt idx="6">
                  <c:v>30767498.201312408</c:v>
                </c:pt>
                <c:pt idx="7">
                  <c:v>33738374.900673732</c:v>
                </c:pt>
                <c:pt idx="8">
                  <c:v>36592436.473812945</c:v>
                </c:pt>
                <c:pt idx="9">
                  <c:v>39547505.987400703</c:v>
                </c:pt>
              </c:numCache>
            </c:numRef>
          </c:val>
          <c:extLst>
            <c:ext xmlns:c16="http://schemas.microsoft.com/office/drawing/2014/chart" uri="{C3380CC4-5D6E-409C-BE32-E72D297353CC}">
              <c16:uniqueId val="{00000001-A452-4826-A3E9-999FA93FA8F8}"/>
            </c:ext>
          </c:extLst>
        </c:ser>
        <c:ser>
          <c:idx val="2"/>
          <c:order val="2"/>
          <c:tx>
            <c:strRef>
              <c:f>SR_cost_per_minute_forecast!$B$97</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SR_cost_per_minute_forecast!$C$97:$L$97</c:f>
              <c:numCache>
                <c:formatCode>_(* #,##0_);_(* \(#,##0\);_(* "-"??_);_(@_)</c:formatCode>
                <c:ptCount val="10"/>
                <c:pt idx="0">
                  <c:v>117790.64920429961</c:v>
                </c:pt>
                <c:pt idx="1">
                  <c:v>146060.40501333153</c:v>
                </c:pt>
                <c:pt idx="2">
                  <c:v>210533.56989626339</c:v>
                </c:pt>
                <c:pt idx="3">
                  <c:v>243590.48266206469</c:v>
                </c:pt>
                <c:pt idx="4">
                  <c:v>277885.45851053961</c:v>
                </c:pt>
                <c:pt idx="5">
                  <c:v>313454.79719988868</c:v>
                </c:pt>
                <c:pt idx="6">
                  <c:v>350335.75525340758</c:v>
                </c:pt>
                <c:pt idx="7">
                  <c:v>388566.56971018709</c:v>
                </c:pt>
                <c:pt idx="8">
                  <c:v>428186.48244313651</c:v>
                </c:pt>
                <c:pt idx="9">
                  <c:v>469235.76505751995</c:v>
                </c:pt>
              </c:numCache>
            </c:numRef>
          </c:val>
          <c:extLst>
            <c:ext xmlns:c16="http://schemas.microsoft.com/office/drawing/2014/chart" uri="{C3380CC4-5D6E-409C-BE32-E72D297353CC}">
              <c16:uniqueId val="{00000002-A452-4826-A3E9-999FA93FA8F8}"/>
            </c:ext>
          </c:extLst>
        </c:ser>
        <c:ser>
          <c:idx val="3"/>
          <c:order val="3"/>
          <c:tx>
            <c:strRef>
              <c:f>SR_cost_per_minute_forecast!$B$98</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SR_cost_per_minute_forecast!$C$98:$L$98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452-4826-A3E9-999FA93FA8F8}"/>
            </c:ext>
          </c:extLst>
        </c:ser>
        <c:ser>
          <c:idx val="4"/>
          <c:order val="4"/>
          <c:tx>
            <c:strRef>
              <c:f>SR_cost_per_minute_forecast!$B$99</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SR_cost_per_minute_forecast!$C$99:$L$99</c:f>
              <c:numCache>
                <c:formatCode>_(* #,##0_);_(* \(#,##0\);_(* "-"??_);_(@_)</c:formatCode>
                <c:ptCount val="10"/>
                <c:pt idx="0">
                  <c:v>7059.2267294456851</c:v>
                </c:pt>
                <c:pt idx="1">
                  <c:v>8282.8260292162704</c:v>
                </c:pt>
                <c:pt idx="2">
                  <c:v>9554.898685862383</c:v>
                </c:pt>
                <c:pt idx="3">
                  <c:v>10876.894193939135</c:v>
                </c:pt>
                <c:pt idx="4">
                  <c:v>12735.223394472714</c:v>
                </c:pt>
                <c:pt idx="5">
                  <c:v>14288.920648598385</c:v>
                </c:pt>
                <c:pt idx="6">
                  <c:v>15899.671703531296</c:v>
                </c:pt>
                <c:pt idx="7">
                  <c:v>17569.137232402074</c:v>
                </c:pt>
                <c:pt idx="8">
                  <c:v>19299.02151374628</c:v>
                </c:pt>
                <c:pt idx="9">
                  <c:v>21091.073511451297</c:v>
                </c:pt>
              </c:numCache>
            </c:numRef>
          </c:val>
          <c:extLst>
            <c:ext xmlns:c16="http://schemas.microsoft.com/office/drawing/2014/chart" uri="{C3380CC4-5D6E-409C-BE32-E72D297353CC}">
              <c16:uniqueId val="{00000004-A452-4826-A3E9-999FA93FA8F8}"/>
            </c:ext>
          </c:extLst>
        </c:ser>
        <c:ser>
          <c:idx val="5"/>
          <c:order val="5"/>
          <c:tx>
            <c:strRef>
              <c:f>SR_cost_per_minute_forecast!$B$100</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SR_cost_per_minute_forecast!$C$100:$L$100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452-4826-A3E9-999FA93FA8F8}"/>
            </c:ext>
          </c:extLst>
        </c:ser>
        <c:ser>
          <c:idx val="6"/>
          <c:order val="6"/>
          <c:tx>
            <c:strRef>
              <c:f>SR_cost_per_minute_forecast!$B$101</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SR_cost_per_minute_forecast!$C$101:$L$101</c:f>
              <c:numCache>
                <c:formatCode>_(* #,##0_);_(* \(#,##0\);_(* "-"??_);_(@_)</c:formatCode>
                <c:ptCount val="10"/>
                <c:pt idx="0">
                  <c:v>102567.01304871409</c:v>
                </c:pt>
                <c:pt idx="1">
                  <c:v>117805.5407016659</c:v>
                </c:pt>
                <c:pt idx="2">
                  <c:v>133647.74848856157</c:v>
                </c:pt>
                <c:pt idx="3">
                  <c:v>150111.68820369765</c:v>
                </c:pt>
                <c:pt idx="4">
                  <c:v>169631.55522119012</c:v>
                </c:pt>
                <c:pt idx="5">
                  <c:v>188029.45905486419</c:v>
                </c:pt>
                <c:pt idx="6">
                  <c:v>207118.87030849361</c:v>
                </c:pt>
                <c:pt idx="7">
                  <c:v>226920.09011734309</c:v>
                </c:pt>
                <c:pt idx="8">
                  <c:v>247453.95505912002</c:v>
                </c:pt>
                <c:pt idx="9">
                  <c:v>268741.85045121796</c:v>
                </c:pt>
              </c:numCache>
            </c:numRef>
          </c:val>
          <c:extLst>
            <c:ext xmlns:c16="http://schemas.microsoft.com/office/drawing/2014/chart" uri="{C3380CC4-5D6E-409C-BE32-E72D297353CC}">
              <c16:uniqueId val="{00000006-A452-4826-A3E9-999FA93FA8F8}"/>
            </c:ext>
          </c:extLst>
        </c:ser>
        <c:ser>
          <c:idx val="7"/>
          <c:order val="7"/>
          <c:tx>
            <c:strRef>
              <c:f>SR_cost_per_minute_forecast!$B$102</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SR_cost_per_minute_forecast!$C$102:$L$102</c:f>
              <c:numCache>
                <c:formatCode>_(* #,##0_);_(* \(#,##0\);_(* "-"??_);_(@_)</c:formatCode>
                <c:ptCount val="10"/>
                <c:pt idx="0">
                  <c:v>1422317.9374070514</c:v>
                </c:pt>
                <c:pt idx="1">
                  <c:v>1565411.7420189127</c:v>
                </c:pt>
                <c:pt idx="2">
                  <c:v>1714005.1759887473</c:v>
                </c:pt>
                <c:pt idx="3">
                  <c:v>1868260.9869690302</c:v>
                </c:pt>
                <c:pt idx="4">
                  <c:v>2028346.2326665916</c:v>
                </c:pt>
                <c:pt idx="5">
                  <c:v>2239291.7800642434</c:v>
                </c:pt>
                <c:pt idx="6">
                  <c:v>2421072.1441678707</c:v>
                </c:pt>
                <c:pt idx="7">
                  <c:v>2609400.4082978489</c:v>
                </c:pt>
                <c:pt idx="8">
                  <c:v>2804465.7763095903</c:v>
                </c:pt>
                <c:pt idx="9">
                  <c:v>3006462.4010527134</c:v>
                </c:pt>
              </c:numCache>
            </c:numRef>
          </c:val>
          <c:extLst>
            <c:ext xmlns:c16="http://schemas.microsoft.com/office/drawing/2014/chart" uri="{C3380CC4-5D6E-409C-BE32-E72D297353CC}">
              <c16:uniqueId val="{00000007-A452-4826-A3E9-999FA93FA8F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 (60% profit margin)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SR_cost_per_minute_forecast!$B$115</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SR_cost_per_minute_forecast!$C$115:$L$115</c:f>
              <c:numCache>
                <c:formatCode>_(* #,##0_);_(* \(#,##0\);_(* "-"??_);_(@_)</c:formatCode>
                <c:ptCount val="10"/>
                <c:pt idx="0">
                  <c:v>6876424.8395701637</c:v>
                </c:pt>
                <c:pt idx="1">
                  <c:v>7050851.2257446256</c:v>
                </c:pt>
                <c:pt idx="2">
                  <c:v>7232187.580294461</c:v>
                </c:pt>
                <c:pt idx="3">
                  <c:v>7420640.5314002149</c:v>
                </c:pt>
                <c:pt idx="4">
                  <c:v>7616422.2083823038</c:v>
                </c:pt>
                <c:pt idx="5">
                  <c:v>7819750.3790953383</c:v>
                </c:pt>
                <c:pt idx="6">
                  <c:v>8030848.5906177638</c:v>
                </c:pt>
                <c:pt idx="7">
                  <c:v>8249946.3133136714</c:v>
                </c:pt>
                <c:pt idx="8">
                  <c:v>8477279.088345388</c:v>
                </c:pt>
                <c:pt idx="9">
                  <c:v>8713088.6787172724</c:v>
                </c:pt>
              </c:numCache>
            </c:numRef>
          </c:val>
          <c:extLst>
            <c:ext xmlns:c16="http://schemas.microsoft.com/office/drawing/2014/chart" uri="{C3380CC4-5D6E-409C-BE32-E72D297353CC}">
              <c16:uniqueId val="{00000000-AE2B-4778-AF9D-D5CFF7D39912}"/>
            </c:ext>
          </c:extLst>
        </c:ser>
        <c:ser>
          <c:idx val="1"/>
          <c:order val="1"/>
          <c:tx>
            <c:strRef>
              <c:f>SR_cost_per_minute_forecast!$B$116</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SR_cost_per_minute_forecast!$C$116:$L$116</c:f>
              <c:numCache>
                <c:formatCode>_(* #,##0_);_(* \(#,##0\);_(* "-"??_);_(@_)</c:formatCode>
                <c:ptCount val="10"/>
                <c:pt idx="0">
                  <c:v>16657538.274768686</c:v>
                </c:pt>
                <c:pt idx="1">
                  <c:v>16330343.890849387</c:v>
                </c:pt>
                <c:pt idx="2">
                  <c:v>18014927.547485322</c:v>
                </c:pt>
                <c:pt idx="3">
                  <c:v>18851434.267481897</c:v>
                </c:pt>
                <c:pt idx="4">
                  <c:v>20358846.476951465</c:v>
                </c:pt>
                <c:pt idx="5">
                  <c:v>21539887.682255864</c:v>
                </c:pt>
                <c:pt idx="6">
                  <c:v>22880387.788409121</c:v>
                </c:pt>
                <c:pt idx="7">
                  <c:v>24240295.149591513</c:v>
                </c:pt>
                <c:pt idx="8">
                  <c:v>25390197.284487493</c:v>
                </c:pt>
                <c:pt idx="9">
                  <c:v>26576788.903843202</c:v>
                </c:pt>
              </c:numCache>
            </c:numRef>
          </c:val>
          <c:extLst>
            <c:ext xmlns:c16="http://schemas.microsoft.com/office/drawing/2014/chart" uri="{C3380CC4-5D6E-409C-BE32-E72D297353CC}">
              <c16:uniqueId val="{00000001-AE2B-4778-AF9D-D5CFF7D39912}"/>
            </c:ext>
          </c:extLst>
        </c:ser>
        <c:ser>
          <c:idx val="2"/>
          <c:order val="2"/>
          <c:tx>
            <c:strRef>
              <c:f>SR_cost_per_minute_forecast!$B$117</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SR_cost_per_minute_forecast!$C$117:$L$117</c:f>
              <c:numCache>
                <c:formatCode>_(* #,##0_);_(* \(#,##0\);_(* "-"??_);_(@_)</c:formatCode>
                <c:ptCount val="10"/>
                <c:pt idx="0">
                  <c:v>110455.70035274985</c:v>
                </c:pt>
                <c:pt idx="1">
                  <c:v>117635.32087567858</c:v>
                </c:pt>
                <c:pt idx="2">
                  <c:v>165194.78405506382</c:v>
                </c:pt>
                <c:pt idx="3">
                  <c:v>175824.70928991141</c:v>
                </c:pt>
                <c:pt idx="4">
                  <c:v>186813.75362053089</c:v>
                </c:pt>
                <c:pt idx="5">
                  <c:v>198172.02984065915</c:v>
                </c:pt>
                <c:pt idx="6">
                  <c:v>209909.91160814435</c:v>
                </c:pt>
                <c:pt idx="7">
                  <c:v>222038.03983439264</c:v>
                </c:pt>
                <c:pt idx="8">
                  <c:v>234567.32922504767</c:v>
                </c:pt>
                <c:pt idx="9">
                  <c:v>247508.97497539519</c:v>
                </c:pt>
              </c:numCache>
            </c:numRef>
          </c:val>
          <c:extLst>
            <c:ext xmlns:c16="http://schemas.microsoft.com/office/drawing/2014/chart" uri="{C3380CC4-5D6E-409C-BE32-E72D297353CC}">
              <c16:uniqueId val="{00000002-AE2B-4778-AF9D-D5CFF7D39912}"/>
            </c:ext>
          </c:extLst>
        </c:ser>
        <c:ser>
          <c:idx val="3"/>
          <c:order val="3"/>
          <c:tx>
            <c:strRef>
              <c:f>SR_cost_per_minute_forecast!$B$118</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SR_cost_per_minute_forecast!$C$118:$L$118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AE2B-4778-AF9D-D5CFF7D39912}"/>
            </c:ext>
          </c:extLst>
        </c:ser>
        <c:ser>
          <c:idx val="4"/>
          <c:order val="4"/>
          <c:tx>
            <c:strRef>
              <c:f>SR_cost_per_minute_forecast!$B$119</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SR_cost_per_minute_forecast!$C$119:$L$119</c:f>
              <c:numCache>
                <c:formatCode>_(* #,##0_);_(* \(#,##0\);_(* "-"??_);_(@_)</c:formatCode>
                <c:ptCount val="10"/>
                <c:pt idx="0">
                  <c:v>6723.073075662558</c:v>
                </c:pt>
                <c:pt idx="1">
                  <c:v>6723.073075662558</c:v>
                </c:pt>
                <c:pt idx="2">
                  <c:v>6723.073075662558</c:v>
                </c:pt>
                <c:pt idx="3">
                  <c:v>6723.073075662558</c:v>
                </c:pt>
                <c:pt idx="4">
                  <c:v>7277.2705111272662</c:v>
                </c:pt>
                <c:pt idx="5">
                  <c:v>7422.815921349812</c:v>
                </c:pt>
                <c:pt idx="6">
                  <c:v>7571.2722397768084</c:v>
                </c:pt>
                <c:pt idx="7">
                  <c:v>7722.697684572342</c:v>
                </c:pt>
                <c:pt idx="8">
                  <c:v>7877.151638263791</c:v>
                </c:pt>
                <c:pt idx="9">
                  <c:v>8034.6946710290667</c:v>
                </c:pt>
              </c:numCache>
            </c:numRef>
          </c:val>
          <c:extLst>
            <c:ext xmlns:c16="http://schemas.microsoft.com/office/drawing/2014/chart" uri="{C3380CC4-5D6E-409C-BE32-E72D297353CC}">
              <c16:uniqueId val="{00000004-AE2B-4778-AF9D-D5CFF7D39912}"/>
            </c:ext>
          </c:extLst>
        </c:ser>
        <c:ser>
          <c:idx val="5"/>
          <c:order val="5"/>
          <c:tx>
            <c:strRef>
              <c:f>SR_cost_per_minute_forecast!$B$120</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SR_cost_per_minute_forecast!$C$120:$L$120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AE2B-4778-AF9D-D5CFF7D39912}"/>
            </c:ext>
          </c:extLst>
        </c:ser>
        <c:ser>
          <c:idx val="6"/>
          <c:order val="6"/>
          <c:tx>
            <c:strRef>
              <c:f>SR_cost_per_minute_forecast!$B$121</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SR_cost_per_minute_forecast!$C$121:$L$121</c:f>
              <c:numCache>
                <c:formatCode>_(* #,##0_);_(* \(#,##0\);_(* "-"??_);_(@_)</c:formatCode>
                <c:ptCount val="10"/>
                <c:pt idx="0">
                  <c:v>107172.06261416659</c:v>
                </c:pt>
                <c:pt idx="1">
                  <c:v>114138.24668408741</c:v>
                </c:pt>
                <c:pt idx="2">
                  <c:v>121380.39881523971</c:v>
                </c:pt>
                <c:pt idx="3">
                  <c:v>128906.77125644479</c:v>
                </c:pt>
                <c:pt idx="4">
                  <c:v>139486.59365079633</c:v>
                </c:pt>
                <c:pt idx="5">
                  <c:v>148332.08830186329</c:v>
                </c:pt>
                <c:pt idx="6">
                  <c:v>157502.40111716616</c:v>
                </c:pt>
                <c:pt idx="7">
                  <c:v>167006.98662541388</c:v>
                </c:pt>
                <c:pt idx="8">
                  <c:v>176855.54760919823</c:v>
                </c:pt>
                <c:pt idx="9">
                  <c:v>187058.04125333737</c:v>
                </c:pt>
              </c:numCache>
            </c:numRef>
          </c:val>
          <c:extLst>
            <c:ext xmlns:c16="http://schemas.microsoft.com/office/drawing/2014/chart" uri="{C3380CC4-5D6E-409C-BE32-E72D297353CC}">
              <c16:uniqueId val="{00000006-AE2B-4778-AF9D-D5CFF7D39912}"/>
            </c:ext>
          </c:extLst>
        </c:ser>
        <c:ser>
          <c:idx val="7"/>
          <c:order val="7"/>
          <c:tx>
            <c:strRef>
              <c:f>SR_cost_per_minute_forecast!$B$122</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SR_cost_per_minute_forecast!$C$122:$L$122</c:f>
              <c:numCache>
                <c:formatCode>_(* #,##0_);_(* \(#,##0\);_(* "-"??_);_(@_)</c:formatCode>
                <c:ptCount val="10"/>
                <c:pt idx="0">
                  <c:v>1526990.6860473976</c:v>
                </c:pt>
                <c:pt idx="1">
                  <c:v>1588070.3134892937</c:v>
                </c:pt>
                <c:pt idx="2">
                  <c:v>1651376.3918669748</c:v>
                </c:pt>
                <c:pt idx="3">
                  <c:v>1716973.5473668957</c:v>
                </c:pt>
                <c:pt idx="4">
                  <c:v>1784928.1006425952</c:v>
                </c:pt>
                <c:pt idx="5">
                  <c:v>1906575.985221205</c:v>
                </c:pt>
                <c:pt idx="6">
                  <c:v>1990328.1948605732</c:v>
                </c:pt>
                <c:pt idx="7">
                  <c:v>2076864.8935476902</c:v>
                </c:pt>
                <c:pt idx="8">
                  <c:v>2166263.9599606134</c:v>
                </c:pt>
                <c:pt idx="9">
                  <c:v>2258605.2741288985</c:v>
                </c:pt>
              </c:numCache>
            </c:numRef>
          </c:val>
          <c:extLst>
            <c:ext xmlns:c16="http://schemas.microsoft.com/office/drawing/2014/chart" uri="{C3380CC4-5D6E-409C-BE32-E72D297353CC}">
              <c16:uniqueId val="{00000007-AE2B-4778-AF9D-D5CFF7D39912}"/>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SR_cost_per_minute_forecast!$B$133</c:f>
              <c:strCache>
                <c:ptCount val="1"/>
                <c:pt idx="0">
                  <c:v>Human Space Flight</c:v>
                </c:pt>
              </c:strCache>
            </c:strRef>
          </c:tx>
          <c:spPr>
            <a:solidFill>
              <a:schemeClr val="accent1"/>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SR_cost_per_minute_forecast!$C$133:$L$133</c:f>
              <c:numCache>
                <c:formatCode>_(* #,##0_);_(* \(#,##0\);_(* "-"??_);_(@_)</c:formatCode>
                <c:ptCount val="10"/>
                <c:pt idx="0">
                  <c:v>7379577.8766118819</c:v>
                </c:pt>
                <c:pt idx="1">
                  <c:v>8077283.4213097328</c:v>
                </c:pt>
                <c:pt idx="2">
                  <c:v>8802628.8395090755</c:v>
                </c:pt>
                <c:pt idx="3">
                  <c:v>9556440.6439320911</c:v>
                </c:pt>
                <c:pt idx="4">
                  <c:v>10339567.351860445</c:v>
                </c:pt>
                <c:pt idx="5">
                  <c:v>11152880.034712581</c:v>
                </c:pt>
                <c:pt idx="6">
                  <c:v>11997272.880802285</c:v>
                </c:pt>
                <c:pt idx="7">
                  <c:v>12873663.77158591</c:v>
                </c:pt>
                <c:pt idx="8">
                  <c:v>13782994.871712785</c:v>
                </c:pt>
                <c:pt idx="9">
                  <c:v>14726233.233200323</c:v>
                </c:pt>
              </c:numCache>
            </c:numRef>
          </c:val>
          <c:extLst>
            <c:ext xmlns:c16="http://schemas.microsoft.com/office/drawing/2014/chart" uri="{C3380CC4-5D6E-409C-BE32-E72D297353CC}">
              <c16:uniqueId val="{00000000-8505-4F3B-8446-D51ACDF5E406}"/>
            </c:ext>
          </c:extLst>
        </c:ser>
        <c:ser>
          <c:idx val="1"/>
          <c:order val="1"/>
          <c:tx>
            <c:strRef>
              <c:f>SR_cost_per_minute_forecast!$B$134</c:f>
              <c:strCache>
                <c:ptCount val="1"/>
                <c:pt idx="0">
                  <c:v>Near Earth Robotic - LEO Science</c:v>
                </c:pt>
              </c:strCache>
            </c:strRef>
          </c:tx>
          <c:spPr>
            <a:solidFill>
              <a:schemeClr val="accent2"/>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SR_cost_per_minute_forecast!$C$134:$L$134</c:f>
              <c:numCache>
                <c:formatCode>_(* #,##0_);_(* \(#,##0\);_(* "-"??_);_(@_)</c:formatCode>
                <c:ptCount val="10"/>
                <c:pt idx="0">
                  <c:v>17436572.522195585</c:v>
                </c:pt>
                <c:pt idx="1">
                  <c:v>17919573.755600266</c:v>
                </c:pt>
                <c:pt idx="2">
                  <c:v>20446449.240554169</c:v>
                </c:pt>
                <c:pt idx="3">
                  <c:v>22158303.770055532</c:v>
                </c:pt>
                <c:pt idx="4">
                  <c:v>24575105.09273285</c:v>
                </c:pt>
                <c:pt idx="5">
                  <c:v>26700588.227972277</c:v>
                </c:pt>
                <c:pt idx="6">
                  <c:v>29021621.437811658</c:v>
                </c:pt>
                <c:pt idx="7">
                  <c:v>31399218.946609322</c:v>
                </c:pt>
                <c:pt idx="8">
                  <c:v>33605062.341565438</c:v>
                </c:pt>
                <c:pt idx="9">
                  <c:v>35886969.301864862</c:v>
                </c:pt>
              </c:numCache>
            </c:numRef>
          </c:val>
          <c:extLst>
            <c:ext xmlns:c16="http://schemas.microsoft.com/office/drawing/2014/chart" uri="{C3380CC4-5D6E-409C-BE32-E72D297353CC}">
              <c16:uniqueId val="{00000001-8505-4F3B-8446-D51ACDF5E406}"/>
            </c:ext>
          </c:extLst>
        </c:ser>
        <c:ser>
          <c:idx val="2"/>
          <c:order val="2"/>
          <c:tx>
            <c:strRef>
              <c:f>SR_cost_per_minute_forecast!$B$135</c:f>
              <c:strCache>
                <c:ptCount val="1"/>
                <c:pt idx="0">
                  <c:v>Near Earth Robotic - GEO and Near Earth</c:v>
                </c:pt>
              </c:strCache>
            </c:strRef>
          </c:tx>
          <c:spPr>
            <a:solidFill>
              <a:schemeClr val="accent3"/>
            </a:solidFill>
            <a:ln>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SR_cost_per_minute_forecast!$C$135:$L$135</c:f>
              <c:numCache>
                <c:formatCode>_(* #,##0_);_(* \(#,##0\);_(* "-"??_);_(@_)</c:formatCode>
                <c:ptCount val="10"/>
                <c:pt idx="0">
                  <c:v>120810.92226082014</c:v>
                </c:pt>
                <c:pt idx="1">
                  <c:v>138759.97356814198</c:v>
                </c:pt>
                <c:pt idx="2">
                  <c:v>197515.50267453282</c:v>
                </c:pt>
                <c:pt idx="3">
                  <c:v>219780.88661238927</c:v>
                </c:pt>
                <c:pt idx="4">
                  <c:v>242857.87970669018</c:v>
                </c:pt>
                <c:pt idx="5">
                  <c:v>266770.04017011815</c:v>
                </c:pt>
                <c:pt idx="6">
                  <c:v>291541.54390020052</c:v>
                </c:pt>
                <c:pt idx="7">
                  <c:v>317197.19976341812</c:v>
                </c:pt>
                <c:pt idx="8">
                  <c:v>343762.46524360444</c:v>
                </c:pt>
                <c:pt idx="9">
                  <c:v>371263.46246309276</c:v>
                </c:pt>
              </c:numCache>
            </c:numRef>
          </c:val>
          <c:extLst>
            <c:ext xmlns:c16="http://schemas.microsoft.com/office/drawing/2014/chart" uri="{C3380CC4-5D6E-409C-BE32-E72D297353CC}">
              <c16:uniqueId val="{00000002-8505-4F3B-8446-D51ACDF5E406}"/>
            </c:ext>
          </c:extLst>
        </c:ser>
        <c:ser>
          <c:idx val="3"/>
          <c:order val="3"/>
          <c:tx>
            <c:strRef>
              <c:f>SR_cost_per_minute_forecast!$B$136</c:f>
              <c:strCache>
                <c:ptCount val="1"/>
                <c:pt idx="0">
                  <c:v>Deep Space Robotic</c:v>
                </c:pt>
              </c:strCache>
            </c:strRef>
          </c:tx>
          <c:spPr>
            <a:solidFill>
              <a:schemeClr val="accent4"/>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SR_cost_per_minute_forecast!$C$136:$L$136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505-4F3B-8446-D51ACDF5E406}"/>
            </c:ext>
          </c:extLst>
        </c:ser>
        <c:ser>
          <c:idx val="4"/>
          <c:order val="4"/>
          <c:tx>
            <c:strRef>
              <c:f>SR_cost_per_minute_forecast!$B$137</c:f>
              <c:strCache>
                <c:ptCount val="1"/>
                <c:pt idx="0">
                  <c:v>Near Earth Robotic - Low Latency &amp; Complex Needs</c:v>
                </c:pt>
              </c:strCache>
            </c:strRef>
          </c:tx>
          <c:spPr>
            <a:solidFill>
              <a:schemeClr val="accent5"/>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SR_cost_per_minute_forecast!$C$137:$L$137</c:f>
              <c:numCache>
                <c:formatCode>_(* #,##0_);_(* \(#,##0\);_(* "-"??_);_(@_)</c:formatCode>
                <c:ptCount val="10"/>
                <c:pt idx="0">
                  <c:v>7395.380383228814</c:v>
                </c:pt>
                <c:pt idx="1">
                  <c:v>8094.5799830977203</c:v>
                </c:pt>
                <c:pt idx="2">
                  <c:v>8821.4786440383559</c:v>
                </c:pt>
                <c:pt idx="3">
                  <c:v>9576.9046486536445</c:v>
                </c:pt>
                <c:pt idx="4">
                  <c:v>10915.905766690899</c:v>
                </c:pt>
                <c:pt idx="5">
                  <c:v>11876.5054741597</c:v>
                </c:pt>
                <c:pt idx="6">
                  <c:v>12871.162807620574</c:v>
                </c:pt>
                <c:pt idx="7">
                  <c:v>13900.855832230216</c:v>
                </c:pt>
                <c:pt idx="8">
                  <c:v>14966.588112701202</c:v>
                </c:pt>
                <c:pt idx="9">
                  <c:v>16069.389342058133</c:v>
                </c:pt>
              </c:numCache>
            </c:numRef>
          </c:val>
          <c:extLst>
            <c:ext xmlns:c16="http://schemas.microsoft.com/office/drawing/2014/chart" uri="{C3380CC4-5D6E-409C-BE32-E72D297353CC}">
              <c16:uniqueId val="{00000004-8505-4F3B-8446-D51ACDF5E406}"/>
            </c:ext>
          </c:extLst>
        </c:ser>
        <c:ser>
          <c:idx val="5"/>
          <c:order val="5"/>
          <c:tx>
            <c:strRef>
              <c:f>SR_cost_per_minute_forecast!$B$138</c:f>
              <c:strCache>
                <c:ptCount val="1"/>
                <c:pt idx="0">
                  <c:v>Mission Operations</c:v>
                </c:pt>
              </c:strCache>
            </c:strRef>
          </c:tx>
          <c:spPr>
            <a:solidFill>
              <a:schemeClr val="accent6"/>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SR_cost_per_minute_forecast!$C$138:$L$138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8505-4F3B-8446-D51ACDF5E406}"/>
            </c:ext>
          </c:extLst>
        </c:ser>
        <c:ser>
          <c:idx val="6"/>
          <c:order val="6"/>
          <c:tx>
            <c:strRef>
              <c:f>SR_cost_per_minute_forecast!$B$139</c:f>
              <c:strCache>
                <c:ptCount val="1"/>
                <c:pt idx="0">
                  <c:v>Launch Events</c:v>
                </c:pt>
              </c:strCache>
            </c:strRef>
          </c:tx>
          <c:spPr>
            <a:solidFill>
              <a:schemeClr val="accent1">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SR_cost_per_minute_forecast!$C$139:$L$139</c:f>
              <c:numCache>
                <c:formatCode>_(* #,##0_);_(* \(#,##0\);_(* "-"??_);_(@_)</c:formatCode>
                <c:ptCount val="10"/>
                <c:pt idx="0">
                  <c:v>113870.316527552</c:v>
                </c:pt>
                <c:pt idx="1">
                  <c:v>127802.68466739365</c:v>
                </c:pt>
                <c:pt idx="2">
                  <c:v>142286.98892969824</c:v>
                </c:pt>
                <c:pt idx="3">
                  <c:v>157339.7338121084</c:v>
                </c:pt>
                <c:pt idx="4">
                  <c:v>175738.62090926745</c:v>
                </c:pt>
                <c:pt idx="5">
                  <c:v>192704.56966623195</c:v>
                </c:pt>
                <c:pt idx="6">
                  <c:v>210305.65394076484</c:v>
                </c:pt>
                <c:pt idx="7">
                  <c:v>228560.49277406608</c:v>
                </c:pt>
                <c:pt idx="8">
                  <c:v>247488.19591477665</c:v>
                </c:pt>
                <c:pt idx="9">
                  <c:v>267108.37599965953</c:v>
                </c:pt>
              </c:numCache>
            </c:numRef>
          </c:val>
          <c:extLst>
            <c:ext xmlns:c16="http://schemas.microsoft.com/office/drawing/2014/chart" uri="{C3380CC4-5D6E-409C-BE32-E72D297353CC}">
              <c16:uniqueId val="{00000006-8505-4F3B-8446-D51ACDF5E406}"/>
            </c:ext>
          </c:extLst>
        </c:ser>
        <c:ser>
          <c:idx val="7"/>
          <c:order val="7"/>
          <c:tx>
            <c:strRef>
              <c:f>SR_cost_per_minute_forecast!$B$140</c:f>
              <c:strCache>
                <c:ptCount val="1"/>
                <c:pt idx="0">
                  <c:v>Terrestrial &amp; Aerial</c:v>
                </c:pt>
              </c:strCache>
            </c:strRef>
          </c:tx>
          <c:spPr>
            <a:solidFill>
              <a:schemeClr val="accent2">
                <a:lumMod val="60000"/>
              </a:schemeClr>
            </a:solidFill>
            <a:ln w="25400">
              <a:noFill/>
            </a:ln>
            <a:effectLst/>
          </c:spPr>
          <c:cat>
            <c:numRef>
              <c:f>SR_cost_per_minute_forecast!$C$76:$L$76</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SR_cost_per_minute_forecast!$C$140:$L$140</c:f>
              <c:numCache>
                <c:formatCode>_(* #,##0_);_(* \(#,##0\);_(* "-"??_);_(@_)</c:formatCode>
                <c:ptCount val="10"/>
                <c:pt idx="0">
                  <c:v>1576248.4501134427</c:v>
                </c:pt>
                <c:pt idx="1">
                  <c:v>1688556.1521840256</c:v>
                </c:pt>
                <c:pt idx="2">
                  <c:v>1805119.7250699147</c:v>
                </c:pt>
                <c:pt idx="3">
                  <c:v>1926064.4805228941</c:v>
                </c:pt>
                <c:pt idx="4">
                  <c:v>2051519.0404164928</c:v>
                </c:pt>
                <c:pt idx="5">
                  <c:v>2232883.2955044559</c:v>
                </c:pt>
                <c:pt idx="6">
                  <c:v>2378633.8940976416</c:v>
                </c:pt>
                <c:pt idx="7">
                  <c:v>2529518.394372616</c:v>
                </c:pt>
                <c:pt idx="8">
                  <c:v>2685683.8521572161</c:v>
                </c:pt>
                <c:pt idx="9">
                  <c:v>2847281.1519517144</c:v>
                </c:pt>
              </c:numCache>
            </c:numRef>
          </c:val>
          <c:extLst>
            <c:ext xmlns:c16="http://schemas.microsoft.com/office/drawing/2014/chart" uri="{C3380CC4-5D6E-409C-BE32-E72D297353CC}">
              <c16:uniqueId val="{00000007-8505-4F3B-8446-D51ACDF5E406}"/>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(60%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SR_cost_per_minute_forecast!$B$151</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SR_cost_per_minute_forecast!$C$151:$L$151</c:f>
              <c:numCache>
                <c:formatCode>_(* #,##0_);_(* \(#,##0\);_(* "-"??_);_(@_)</c:formatCode>
                <c:ptCount val="10"/>
                <c:pt idx="0">
                  <c:v>7715013.2346396958</c:v>
                </c:pt>
                <c:pt idx="1">
                  <c:v>8761571.5516864713</c:v>
                </c:pt>
                <c:pt idx="2">
                  <c:v>9849589.6789854858</c:v>
                </c:pt>
                <c:pt idx="3">
                  <c:v>10980307.385620005</c:v>
                </c:pt>
                <c:pt idx="4">
                  <c:v>12154997.447512537</c:v>
                </c:pt>
                <c:pt idx="5">
                  <c:v>13374966.471790746</c:v>
                </c:pt>
                <c:pt idx="6">
                  <c:v>14641555.740925299</c:v>
                </c:pt>
                <c:pt idx="7">
                  <c:v>15956142.077100735</c:v>
                </c:pt>
                <c:pt idx="8">
                  <c:v>17320138.727291051</c:v>
                </c:pt>
                <c:pt idx="9">
                  <c:v>18734996.269522354</c:v>
                </c:pt>
              </c:numCache>
            </c:numRef>
          </c:val>
          <c:extLst>
            <c:ext xmlns:c16="http://schemas.microsoft.com/office/drawing/2014/chart" uri="{C3380CC4-5D6E-409C-BE32-E72D297353CC}">
              <c16:uniqueId val="{00000000-F17B-49B3-B3EA-7200A29DF807}"/>
            </c:ext>
          </c:extLst>
        </c:ser>
        <c:ser>
          <c:idx val="1"/>
          <c:order val="1"/>
          <c:tx>
            <c:strRef>
              <c:f>SR_cost_per_minute_forecast!$B$152</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SR_cost_per_minute_forecast!$C$152:$L$152</c:f>
              <c:numCache>
                <c:formatCode>_(* #,##0_);_(* \(#,##0\);_(* "-"??_);_(@_)</c:formatCode>
                <c:ptCount val="10"/>
                <c:pt idx="0">
                  <c:v>18215606.76962249</c:v>
                </c:pt>
                <c:pt idx="1">
                  <c:v>19508803.620351151</c:v>
                </c:pt>
                <c:pt idx="2">
                  <c:v>22877970.93362302</c:v>
                </c:pt>
                <c:pt idx="3">
                  <c:v>25465173.272629168</c:v>
                </c:pt>
                <c:pt idx="4">
                  <c:v>28791363.708514236</c:v>
                </c:pt>
                <c:pt idx="5">
                  <c:v>31861288.773688693</c:v>
                </c:pt>
                <c:pt idx="6">
                  <c:v>35162855.087214187</c:v>
                </c:pt>
                <c:pt idx="7">
                  <c:v>38558142.743627124</c:v>
                </c:pt>
                <c:pt idx="8">
                  <c:v>41819927.398643374</c:v>
                </c:pt>
                <c:pt idx="9">
                  <c:v>45197149.699886531</c:v>
                </c:pt>
              </c:numCache>
            </c:numRef>
          </c:val>
          <c:extLst>
            <c:ext xmlns:c16="http://schemas.microsoft.com/office/drawing/2014/chart" uri="{C3380CC4-5D6E-409C-BE32-E72D297353CC}">
              <c16:uniqueId val="{00000001-F17B-49B3-B3EA-7200A29DF807}"/>
            </c:ext>
          </c:extLst>
        </c:ser>
        <c:ser>
          <c:idx val="2"/>
          <c:order val="2"/>
          <c:tx>
            <c:strRef>
              <c:f>SR_cost_per_minute_forecast!$B$153</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SR_cost_per_minute_forecast!$C$153:$L$153</c:f>
              <c:numCache>
                <c:formatCode>_(* #,##0_);_(* \(#,##0\);_(* "-"??_);_(@_)</c:formatCode>
                <c:ptCount val="10"/>
                <c:pt idx="0">
                  <c:v>134617.88480491386</c:v>
                </c:pt>
                <c:pt idx="1">
                  <c:v>166926.1771580932</c:v>
                </c:pt>
                <c:pt idx="2">
                  <c:v>240609.79416715822</c:v>
                </c:pt>
                <c:pt idx="3">
                  <c:v>278389.12304235972</c:v>
                </c:pt>
                <c:pt idx="4">
                  <c:v>317583.38115490251</c:v>
                </c:pt>
                <c:pt idx="5">
                  <c:v>358234.05394273001</c:v>
                </c:pt>
                <c:pt idx="6">
                  <c:v>400383.72028960875</c:v>
                </c:pt>
                <c:pt idx="7">
                  <c:v>444076.07966878533</c:v>
                </c:pt>
                <c:pt idx="8">
                  <c:v>489355.97993501328</c:v>
                </c:pt>
                <c:pt idx="9">
                  <c:v>536269.44578002288</c:v>
                </c:pt>
              </c:numCache>
            </c:numRef>
          </c:val>
          <c:extLst>
            <c:ext xmlns:c16="http://schemas.microsoft.com/office/drawing/2014/chart" uri="{C3380CC4-5D6E-409C-BE32-E72D297353CC}">
              <c16:uniqueId val="{00000002-F17B-49B3-B3EA-7200A29DF807}"/>
            </c:ext>
          </c:extLst>
        </c:ser>
        <c:ser>
          <c:idx val="3"/>
          <c:order val="3"/>
          <c:tx>
            <c:strRef>
              <c:f>SR_cost_per_minute_forecast!$B$154</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SR_cost_per_minute_forecast!$C$154:$L$154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F17B-49B3-B3EA-7200A29DF807}"/>
            </c:ext>
          </c:extLst>
        </c:ser>
        <c:ser>
          <c:idx val="4"/>
          <c:order val="4"/>
          <c:tx>
            <c:strRef>
              <c:f>SR_cost_per_minute_forecast!$B$155</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SR_cost_per_minute_forecast!$C$155:$L$155</c:f>
              <c:numCache>
                <c:formatCode>_(* #,##0_);_(* \(#,##0\);_(* "-"??_);_(@_)</c:formatCode>
                <c:ptCount val="10"/>
                <c:pt idx="0">
                  <c:v>8067.68769079507</c:v>
                </c:pt>
                <c:pt idx="1">
                  <c:v>9466.0868905328825</c:v>
                </c:pt>
                <c:pt idx="2">
                  <c:v>10919.884212414154</c:v>
                </c:pt>
                <c:pt idx="3">
                  <c:v>12430.736221644729</c:v>
                </c:pt>
                <c:pt idx="4">
                  <c:v>14554.541022254532</c:v>
                </c:pt>
                <c:pt idx="5">
                  <c:v>16330.195026969586</c:v>
                </c:pt>
                <c:pt idx="6">
                  <c:v>18171.05337546434</c:v>
                </c:pt>
                <c:pt idx="7">
                  <c:v>20079.013979888088</c:v>
                </c:pt>
                <c:pt idx="8">
                  <c:v>22056.024587138611</c:v>
                </c:pt>
                <c:pt idx="9">
                  <c:v>24104.084013087202</c:v>
                </c:pt>
              </c:numCache>
            </c:numRef>
          </c:val>
          <c:extLst>
            <c:ext xmlns:c16="http://schemas.microsoft.com/office/drawing/2014/chart" uri="{C3380CC4-5D6E-409C-BE32-E72D297353CC}">
              <c16:uniqueId val="{00000004-F17B-49B3-B3EA-7200A29DF807}"/>
            </c:ext>
          </c:extLst>
        </c:ser>
        <c:ser>
          <c:idx val="5"/>
          <c:order val="5"/>
          <c:tx>
            <c:strRef>
              <c:f>SR_cost_per_minute_forecast!$B$156</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SR_cost_per_minute_forecast!$C$156:$L$156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F17B-49B3-B3EA-7200A29DF807}"/>
            </c:ext>
          </c:extLst>
        </c:ser>
        <c:ser>
          <c:idx val="6"/>
          <c:order val="6"/>
          <c:tx>
            <c:strRef>
              <c:f>SR_cost_per_minute_forecast!$B$157</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SR_cost_per_minute_forecast!$C$157:$L$157</c:f>
              <c:numCache>
                <c:formatCode>_(* #,##0_);_(* \(#,##0\);_(* "-"??_);_(@_)</c:formatCode>
                <c:ptCount val="10"/>
                <c:pt idx="0">
                  <c:v>117219.44348424469</c:v>
                </c:pt>
                <c:pt idx="1">
                  <c:v>134634.90365904677</c:v>
                </c:pt>
                <c:pt idx="2">
                  <c:v>152740.28398692753</c:v>
                </c:pt>
                <c:pt idx="3">
                  <c:v>171556.2150899402</c:v>
                </c:pt>
                <c:pt idx="4">
                  <c:v>193864.63453850301</c:v>
                </c:pt>
                <c:pt idx="5">
                  <c:v>214890.81034841627</c:v>
                </c:pt>
                <c:pt idx="6">
                  <c:v>236707.28035256418</c:v>
                </c:pt>
                <c:pt idx="7">
                  <c:v>259337.24584839217</c:v>
                </c:pt>
                <c:pt idx="8">
                  <c:v>282804.52006756578</c:v>
                </c:pt>
                <c:pt idx="9">
                  <c:v>307133.5433728206</c:v>
                </c:pt>
              </c:numCache>
            </c:numRef>
          </c:val>
          <c:extLst>
            <c:ext xmlns:c16="http://schemas.microsoft.com/office/drawing/2014/chart" uri="{C3380CC4-5D6E-409C-BE32-E72D297353CC}">
              <c16:uniqueId val="{00000006-F17B-49B3-B3EA-7200A29DF807}"/>
            </c:ext>
          </c:extLst>
        </c:ser>
        <c:ser>
          <c:idx val="7"/>
          <c:order val="7"/>
          <c:tx>
            <c:strRef>
              <c:f>SR_cost_per_minute_forecast!$B$158</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SR_cost_per_minute_forecast!$C$158:$L$158</c:f>
              <c:numCache>
                <c:formatCode>_(* #,##0_);_(* \(#,##0\);_(* "-"??_);_(@_)</c:formatCode>
                <c:ptCount val="10"/>
                <c:pt idx="0">
                  <c:v>1625506.2141794879</c:v>
                </c:pt>
                <c:pt idx="1">
                  <c:v>1789041.9908787578</c:v>
                </c:pt>
                <c:pt idx="2">
                  <c:v>1958863.0582728544</c:v>
                </c:pt>
                <c:pt idx="3">
                  <c:v>2135155.413678892</c:v>
                </c:pt>
                <c:pt idx="4">
                  <c:v>2318109.9801903912</c:v>
                </c:pt>
                <c:pt idx="5">
                  <c:v>2559190.605787707</c:v>
                </c:pt>
                <c:pt idx="6">
                  <c:v>2766939.5933347098</c:v>
                </c:pt>
                <c:pt idx="7">
                  <c:v>2982171.8951975419</c:v>
                </c:pt>
                <c:pt idx="8">
                  <c:v>3205103.7443538182</c:v>
                </c:pt>
                <c:pt idx="9">
                  <c:v>3435957.0297745303</c:v>
                </c:pt>
              </c:numCache>
            </c:numRef>
          </c:val>
          <c:extLst>
            <c:ext xmlns:c16="http://schemas.microsoft.com/office/drawing/2014/chart" uri="{C3380CC4-5D6E-409C-BE32-E72D297353CC}">
              <c16:uniqueId val="{00000007-F17B-49B3-B3EA-7200A29DF807}"/>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r>
              <a:rPr lang="en-US" baseline="0"/>
              <a:t> Forecast </a:t>
            </a:r>
            <a:r>
              <a:rPr lang="en-US"/>
              <a:t>(High)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55071182579744"/>
          <c:y val="0.10605799289048519"/>
          <c:w val="0.83749276491559022"/>
          <c:h val="0.59813085403477473"/>
        </c:manualLayout>
      </c:layout>
      <c:areaChart>
        <c:grouping val="stacked"/>
        <c:varyColors val="0"/>
        <c:ser>
          <c:idx val="0"/>
          <c:order val="0"/>
          <c:tx>
            <c:strRef>
              <c:f>DTE_demand_forecast!$B$220</c:f>
              <c:strCache>
                <c:ptCount val="1"/>
                <c:pt idx="0">
                  <c:v>Human Space Flight</c:v>
                </c:pt>
              </c:strCache>
            </c:strRef>
          </c:tx>
          <c:spPr>
            <a:solidFill>
              <a:schemeClr val="accent1"/>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DTE_demand_forecast!$C$220:$L$220</c:f>
              <c:numCache>
                <c:formatCode>0</c:formatCode>
                <c:ptCount val="10"/>
                <c:pt idx="0">
                  <c:v>798168.64647733339</c:v>
                </c:pt>
                <c:pt idx="1">
                  <c:v>904957.14463535999</c:v>
                </c:pt>
                <c:pt idx="2">
                  <c:v>1015011.3371148284</c:v>
                </c:pt>
                <c:pt idx="3">
                  <c:v>1131887.5527962334</c:v>
                </c:pt>
                <c:pt idx="4">
                  <c:v>1252056.3220928502</c:v>
                </c:pt>
                <c:pt idx="5">
                  <c:v>1376857.0512241735</c:v>
                </c:pt>
                <c:pt idx="6">
                  <c:v>1506426.9510758719</c:v>
                </c:pt>
                <c:pt idx="7">
                  <c:v>1640906.8681851081</c:v>
                </c:pt>
                <c:pt idx="8">
                  <c:v>1780441.3752822436</c:v>
                </c:pt>
                <c:pt idx="9">
                  <c:v>1925178.8639999502</c:v>
                </c:pt>
              </c:numCache>
            </c:numRef>
          </c:val>
          <c:extLst>
            <c:ext xmlns:c16="http://schemas.microsoft.com/office/drawing/2014/chart" uri="{C3380CC4-5D6E-409C-BE32-E72D297353CC}">
              <c16:uniqueId val="{00000000-553E-4A6C-A8C9-9DACE9FB41FD}"/>
            </c:ext>
          </c:extLst>
        </c:ser>
        <c:ser>
          <c:idx val="1"/>
          <c:order val="1"/>
          <c:tx>
            <c:strRef>
              <c:f>DTE_demand_forecast!$B$221</c:f>
              <c:strCache>
                <c:ptCount val="1"/>
                <c:pt idx="0">
                  <c:v>Near Earth Robotic - LEO Science</c:v>
                </c:pt>
              </c:strCache>
            </c:strRef>
          </c:tx>
          <c:spPr>
            <a:solidFill>
              <a:schemeClr val="accent2"/>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DTE_demand_forecast!$C$221:$L$221</c:f>
              <c:numCache>
                <c:formatCode>0</c:formatCode>
                <c:ptCount val="10"/>
                <c:pt idx="0">
                  <c:v>1007445.0496316664</c:v>
                </c:pt>
                <c:pt idx="1">
                  <c:v>845426.83111391705</c:v>
                </c:pt>
                <c:pt idx="2">
                  <c:v>763446.30429887061</c:v>
                </c:pt>
                <c:pt idx="3">
                  <c:v>671434.90416169027</c:v>
                </c:pt>
                <c:pt idx="4">
                  <c:v>826938.97039358411</c:v>
                </c:pt>
                <c:pt idx="5">
                  <c:v>853925.36204693723</c:v>
                </c:pt>
                <c:pt idx="6">
                  <c:v>888999.69866425835</c:v>
                </c:pt>
                <c:pt idx="7">
                  <c:v>1031373.5978726272</c:v>
                </c:pt>
                <c:pt idx="8">
                  <c:v>1120609.7610409555</c:v>
                </c:pt>
                <c:pt idx="9">
                  <c:v>1213004.0764860227</c:v>
                </c:pt>
              </c:numCache>
            </c:numRef>
          </c:val>
          <c:extLst>
            <c:ext xmlns:c16="http://schemas.microsoft.com/office/drawing/2014/chart" uri="{C3380CC4-5D6E-409C-BE32-E72D297353CC}">
              <c16:uniqueId val="{00000001-553E-4A6C-A8C9-9DACE9FB41FD}"/>
            </c:ext>
          </c:extLst>
        </c:ser>
        <c:ser>
          <c:idx val="2"/>
          <c:order val="2"/>
          <c:tx>
            <c:strRef>
              <c:f>DTE_demand_forecast!$B$222</c:f>
              <c:strCache>
                <c:ptCount val="1"/>
                <c:pt idx="0">
                  <c:v>Near Earth Robotic - GEO and Near Earth</c:v>
                </c:pt>
              </c:strCache>
            </c:strRef>
          </c:tx>
          <c:spPr>
            <a:solidFill>
              <a:schemeClr val="accent3"/>
            </a:solidFill>
            <a:ln>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DTE_demand_forecast!$C$222:$L$222</c:f>
              <c:numCache>
                <c:formatCode>0</c:formatCode>
                <c:ptCount val="10"/>
                <c:pt idx="0">
                  <c:v>17130.721192317455</c:v>
                </c:pt>
                <c:pt idx="1">
                  <c:v>19156.907685705395</c:v>
                </c:pt>
                <c:pt idx="2">
                  <c:v>23482.017613981065</c:v>
                </c:pt>
                <c:pt idx="3">
                  <c:v>25824.724452947867</c:v>
                </c:pt>
                <c:pt idx="4">
                  <c:v>28255.171452993851</c:v>
                </c:pt>
                <c:pt idx="5">
                  <c:v>30775.931137826592</c:v>
                </c:pt>
                <c:pt idx="6">
                  <c:v>33389.643836037532</c:v>
                </c:pt>
                <c:pt idx="7">
                  <c:v>36099.019364287873</c:v>
                </c:pt>
                <c:pt idx="8">
                  <c:v>38906.838750699928</c:v>
                </c:pt>
                <c:pt idx="9">
                  <c:v>41815.955999388825</c:v>
                </c:pt>
              </c:numCache>
            </c:numRef>
          </c:val>
          <c:extLst>
            <c:ext xmlns:c16="http://schemas.microsoft.com/office/drawing/2014/chart" uri="{C3380CC4-5D6E-409C-BE32-E72D297353CC}">
              <c16:uniqueId val="{00000002-553E-4A6C-A8C9-9DACE9FB41FD}"/>
            </c:ext>
          </c:extLst>
        </c:ser>
        <c:ser>
          <c:idx val="3"/>
          <c:order val="3"/>
          <c:tx>
            <c:strRef>
              <c:f>DTE_demand_forecast!$B$223</c:f>
              <c:strCache>
                <c:ptCount val="1"/>
                <c:pt idx="0">
                  <c:v>Deep Space Robotic</c:v>
                </c:pt>
              </c:strCache>
            </c:strRef>
          </c:tx>
          <c:spPr>
            <a:solidFill>
              <a:schemeClr val="accent4"/>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DTE_demand_forecast!$C$223:$L$223</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53E-4A6C-A8C9-9DACE9FB41FD}"/>
            </c:ext>
          </c:extLst>
        </c:ser>
        <c:ser>
          <c:idx val="4"/>
          <c:order val="4"/>
          <c:tx>
            <c:strRef>
              <c:f>DTE_demand_forecast!$B$224</c:f>
              <c:strCache>
                <c:ptCount val="1"/>
                <c:pt idx="0">
                  <c:v>Near Earth Robotic - Low Latency &amp; Complex Needs</c:v>
                </c:pt>
              </c:strCache>
            </c:strRef>
          </c:tx>
          <c:spPr>
            <a:solidFill>
              <a:schemeClr val="accent5"/>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DTE_demand_forecast!$C$224:$L$224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553E-4A6C-A8C9-9DACE9FB41FD}"/>
            </c:ext>
          </c:extLst>
        </c:ser>
        <c:ser>
          <c:idx val="5"/>
          <c:order val="5"/>
          <c:tx>
            <c:strRef>
              <c:f>DTE_demand_forecast!$B$225</c:f>
              <c:strCache>
                <c:ptCount val="1"/>
                <c:pt idx="0">
                  <c:v>Mission Operations</c:v>
                </c:pt>
              </c:strCache>
            </c:strRef>
          </c:tx>
          <c:spPr>
            <a:solidFill>
              <a:schemeClr val="accent6"/>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DTE_demand_forecast!$C$225:$L$225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553E-4A6C-A8C9-9DACE9FB41FD}"/>
            </c:ext>
          </c:extLst>
        </c:ser>
        <c:ser>
          <c:idx val="6"/>
          <c:order val="6"/>
          <c:tx>
            <c:strRef>
              <c:f>DTE_demand_forecast!$B$226</c:f>
              <c:strCache>
                <c:ptCount val="1"/>
                <c:pt idx="0">
                  <c:v>Launch Events</c:v>
                </c:pt>
              </c:strCache>
            </c:strRef>
          </c:tx>
          <c:spPr>
            <a:solidFill>
              <a:schemeClr val="accent1">
                <a:lumMod val="60000"/>
              </a:schemeClr>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DTE_demand_forecast!$C$226:$L$226</c:f>
              <c:numCache>
                <c:formatCode>0</c:formatCode>
                <c:ptCount val="10"/>
                <c:pt idx="0">
                  <c:v>1833.3430277777777</c:v>
                </c:pt>
                <c:pt idx="1">
                  <c:v>2247.5370077111111</c:v>
                </c:pt>
                <c:pt idx="2">
                  <c:v>2585.8861262479995</c:v>
                </c:pt>
                <c:pt idx="3">
                  <c:v>3008.1705682083907</c:v>
                </c:pt>
                <c:pt idx="4">
                  <c:v>4174.1746934325329</c:v>
                </c:pt>
                <c:pt idx="5">
                  <c:v>4626.897445956909</c:v>
                </c:pt>
                <c:pt idx="6">
                  <c:v>5096.6363295244419</c:v>
                </c:pt>
                <c:pt idx="7">
                  <c:v>5583.8909002758483</c:v>
                </c:pt>
                <c:pt idx="8">
                  <c:v>6089.1738901450572</c:v>
                </c:pt>
                <c:pt idx="9">
                  <c:v>6613.0115340684797</c:v>
                </c:pt>
              </c:numCache>
            </c:numRef>
          </c:val>
          <c:extLst>
            <c:ext xmlns:c16="http://schemas.microsoft.com/office/drawing/2014/chart" uri="{C3380CC4-5D6E-409C-BE32-E72D297353CC}">
              <c16:uniqueId val="{00000006-553E-4A6C-A8C9-9DACE9FB41FD}"/>
            </c:ext>
          </c:extLst>
        </c:ser>
        <c:ser>
          <c:idx val="7"/>
          <c:order val="7"/>
          <c:tx>
            <c:strRef>
              <c:f>DTE_demand_forecast!$B$227</c:f>
              <c:strCache>
                <c:ptCount val="1"/>
                <c:pt idx="0">
                  <c:v>Terrestrial &amp; Aerial</c:v>
                </c:pt>
              </c:strCache>
            </c:strRef>
          </c:tx>
          <c:spPr>
            <a:solidFill>
              <a:schemeClr val="accent2">
                <a:lumMod val="60000"/>
              </a:schemeClr>
            </a:solidFill>
            <a:ln w="25400">
              <a:noFill/>
            </a:ln>
            <a:effectLst/>
          </c:spPr>
          <c:cat>
            <c:numRef>
              <c:f>DTE_demand_forecast!$C$219:$L$219</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DTE_demand_forecast!$C$227:$L$227</c:f>
              <c:numCache>
                <c:formatCode>0</c:formatCode>
                <c:ptCount val="10"/>
                <c:pt idx="0">
                  <c:v>117676.64002100003</c:v>
                </c:pt>
                <c:pt idx="1">
                  <c:v>236892.68340832897</c:v>
                </c:pt>
                <c:pt idx="2">
                  <c:v>267668.85159645369</c:v>
                </c:pt>
                <c:pt idx="3">
                  <c:v>299691.64574676368</c:v>
                </c:pt>
                <c:pt idx="4">
                  <c:v>332916.84066680435</c:v>
                </c:pt>
                <c:pt idx="5">
                  <c:v>464758.04532317875</c:v>
                </c:pt>
                <c:pt idx="6">
                  <c:v>502485.99460208608</c:v>
                </c:pt>
                <c:pt idx="7">
                  <c:v>541572.94016915502</c:v>
                </c:pt>
                <c:pt idx="8">
                  <c:v>582058.15069620044</c:v>
                </c:pt>
                <c:pt idx="9">
                  <c:v>623981.92200339492</c:v>
                </c:pt>
              </c:numCache>
            </c:numRef>
          </c:val>
          <c:extLst>
            <c:ext xmlns:c16="http://schemas.microsoft.com/office/drawing/2014/chart" uri="{C3380CC4-5D6E-409C-BE32-E72D297353CC}">
              <c16:uniqueId val="{00000007-553E-4A6C-A8C9-9DACE9FB41F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cost by use case (Low demand scenario) </a:t>
            </a:r>
            <a:r>
              <a:rPr lang="en-US" sz="1200" b="0" i="0" u="none" strike="noStrike" baseline="0">
                <a:effectLst/>
              </a:rPr>
              <a:t>(80% profit margin)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80466952930259"/>
          <c:y val="0.18126685397946379"/>
          <c:w val="0.80223880721208529"/>
          <c:h val="0.48459830760805012"/>
        </c:manualLayout>
      </c:layout>
      <c:areaChart>
        <c:grouping val="stacked"/>
        <c:varyColors val="0"/>
        <c:ser>
          <c:idx val="0"/>
          <c:order val="0"/>
          <c:tx>
            <c:strRef>
              <c:f>SR_cost_per_minute_forecast!$B$171</c:f>
              <c:strCache>
                <c:ptCount val="1"/>
                <c:pt idx="0">
                  <c:v>Human Space Flight</c:v>
                </c:pt>
              </c:strCache>
            </c:strRef>
          </c:tx>
          <c:spPr>
            <a:solidFill>
              <a:schemeClr val="accent1"/>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SR_cost_per_minute_forecast!$C$171:$L$171</c:f>
              <c:numCache>
                <c:formatCode>_(* #,##0_);_(* \(#,##0\);_(* "-"??_);_(@_)</c:formatCode>
                <c:ptCount val="10"/>
                <c:pt idx="0">
                  <c:v>7735977.9445164325</c:v>
                </c:pt>
                <c:pt idx="1">
                  <c:v>7932207.6289627021</c:v>
                </c:pt>
                <c:pt idx="2">
                  <c:v>8136211.0278312676</c:v>
                </c:pt>
                <c:pt idx="3">
                  <c:v>8348220.5978252403</c:v>
                </c:pt>
                <c:pt idx="4">
                  <c:v>8568474.9844300896</c:v>
                </c:pt>
                <c:pt idx="5">
                  <c:v>8797219.1764822546</c:v>
                </c:pt>
                <c:pt idx="6">
                  <c:v>9034704.664444983</c:v>
                </c:pt>
                <c:pt idx="7">
                  <c:v>9281189.6024778783</c:v>
                </c:pt>
                <c:pt idx="8">
                  <c:v>9536938.9743885603</c:v>
                </c:pt>
                <c:pt idx="9">
                  <c:v>9802224.7635569312</c:v>
                </c:pt>
              </c:numCache>
            </c:numRef>
          </c:val>
          <c:extLst>
            <c:ext xmlns:c16="http://schemas.microsoft.com/office/drawing/2014/chart" uri="{C3380CC4-5D6E-409C-BE32-E72D297353CC}">
              <c16:uniqueId val="{00000000-05BB-43C7-B6C8-5252BEE63648}"/>
            </c:ext>
          </c:extLst>
        </c:ser>
        <c:ser>
          <c:idx val="1"/>
          <c:order val="1"/>
          <c:tx>
            <c:strRef>
              <c:f>SR_cost_per_minute_forecast!$B$172</c:f>
              <c:strCache>
                <c:ptCount val="1"/>
                <c:pt idx="0">
                  <c:v>Near Earth Robotic - LEO Science</c:v>
                </c:pt>
              </c:strCache>
            </c:strRef>
          </c:tx>
          <c:spPr>
            <a:solidFill>
              <a:schemeClr val="accent2"/>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SR_cost_per_minute_forecast!$C$172:$L$172</c:f>
              <c:numCache>
                <c:formatCode>_(* #,##0_);_(* \(#,##0\);_(* "-"??_);_(@_)</c:formatCode>
                <c:ptCount val="10"/>
                <c:pt idx="0">
                  <c:v>18739730.559114769</c:v>
                </c:pt>
                <c:pt idx="1">
                  <c:v>18371636.877205558</c:v>
                </c:pt>
                <c:pt idx="2">
                  <c:v>20266793.490920983</c:v>
                </c:pt>
                <c:pt idx="3">
                  <c:v>21207863.55091713</c:v>
                </c:pt>
                <c:pt idx="4">
                  <c:v>22903702.286570396</c:v>
                </c:pt>
                <c:pt idx="5">
                  <c:v>24232373.642537843</c:v>
                </c:pt>
                <c:pt idx="6">
                  <c:v>25740436.261960257</c:v>
                </c:pt>
                <c:pt idx="7">
                  <c:v>27270332.043290447</c:v>
                </c:pt>
                <c:pt idx="8">
                  <c:v>28563971.945048425</c:v>
                </c:pt>
                <c:pt idx="9">
                  <c:v>29898887.516823597</c:v>
                </c:pt>
              </c:numCache>
            </c:numRef>
          </c:val>
          <c:extLst>
            <c:ext xmlns:c16="http://schemas.microsoft.com/office/drawing/2014/chart" uri="{C3380CC4-5D6E-409C-BE32-E72D297353CC}">
              <c16:uniqueId val="{00000001-05BB-43C7-B6C8-5252BEE63648}"/>
            </c:ext>
          </c:extLst>
        </c:ser>
        <c:ser>
          <c:idx val="2"/>
          <c:order val="2"/>
          <c:tx>
            <c:strRef>
              <c:f>SR_cost_per_minute_forecast!$B$173</c:f>
              <c:strCache>
                <c:ptCount val="1"/>
                <c:pt idx="0">
                  <c:v>Near Earth Robotic - GEO and Near Earth</c:v>
                </c:pt>
              </c:strCache>
            </c:strRef>
          </c:tx>
          <c:spPr>
            <a:solidFill>
              <a:schemeClr val="accent3"/>
            </a:solidFill>
            <a:ln>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SR_cost_per_minute_forecast!$C$173:$L$173</c:f>
              <c:numCache>
                <c:formatCode>_(* #,##0_);_(* \(#,##0\);_(* "-"??_);_(@_)</c:formatCode>
                <c:ptCount val="10"/>
                <c:pt idx="0">
                  <c:v>124262.66289684355</c:v>
                </c:pt>
                <c:pt idx="1">
                  <c:v>132339.73598513837</c:v>
                </c:pt>
                <c:pt idx="2">
                  <c:v>185844.13206194676</c:v>
                </c:pt>
                <c:pt idx="3">
                  <c:v>197802.79795115028</c:v>
                </c:pt>
                <c:pt idx="4">
                  <c:v>210165.4728230972</c:v>
                </c:pt>
                <c:pt idx="5">
                  <c:v>222943.53357074151</c:v>
                </c:pt>
                <c:pt idx="6">
                  <c:v>236148.65055916237</c:v>
                </c:pt>
                <c:pt idx="7">
                  <c:v>249792.79481369167</c:v>
                </c:pt>
                <c:pt idx="8">
                  <c:v>263888.2453781786</c:v>
                </c:pt>
                <c:pt idx="9">
                  <c:v>278447.59684731951</c:v>
                </c:pt>
              </c:numCache>
            </c:numRef>
          </c:val>
          <c:extLst>
            <c:ext xmlns:c16="http://schemas.microsoft.com/office/drawing/2014/chart" uri="{C3380CC4-5D6E-409C-BE32-E72D297353CC}">
              <c16:uniqueId val="{00000002-05BB-43C7-B6C8-5252BEE63648}"/>
            </c:ext>
          </c:extLst>
        </c:ser>
        <c:ser>
          <c:idx val="3"/>
          <c:order val="3"/>
          <c:tx>
            <c:strRef>
              <c:f>SR_cost_per_minute_forecast!$B$174</c:f>
              <c:strCache>
                <c:ptCount val="1"/>
                <c:pt idx="0">
                  <c:v>Deep Space Robotic</c:v>
                </c:pt>
              </c:strCache>
            </c:strRef>
          </c:tx>
          <c:spPr>
            <a:solidFill>
              <a:schemeClr val="accent4"/>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SR_cost_per_minute_forecast!$C$174:$L$174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05BB-43C7-B6C8-5252BEE63648}"/>
            </c:ext>
          </c:extLst>
        </c:ser>
        <c:ser>
          <c:idx val="4"/>
          <c:order val="4"/>
          <c:tx>
            <c:strRef>
              <c:f>SR_cost_per_minute_forecast!$B$175</c:f>
              <c:strCache>
                <c:ptCount val="1"/>
                <c:pt idx="0">
                  <c:v>Near Earth Robotic - Low Latency &amp; Complex Needs</c:v>
                </c:pt>
              </c:strCache>
            </c:strRef>
          </c:tx>
          <c:spPr>
            <a:solidFill>
              <a:schemeClr val="accent5"/>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SR_cost_per_minute_forecast!$C$175:$L$175</c:f>
              <c:numCache>
                <c:formatCode>_(* #,##0_);_(* \(#,##0\);_(* "-"??_);_(@_)</c:formatCode>
                <c:ptCount val="10"/>
                <c:pt idx="0">
                  <c:v>7563.4572101203767</c:v>
                </c:pt>
                <c:pt idx="1">
                  <c:v>7563.4572101203767</c:v>
                </c:pt>
                <c:pt idx="2">
                  <c:v>7563.4572101203767</c:v>
                </c:pt>
                <c:pt idx="3">
                  <c:v>7563.4572101203767</c:v>
                </c:pt>
                <c:pt idx="4">
                  <c:v>8186.9293250181736</c:v>
                </c:pt>
                <c:pt idx="5">
                  <c:v>8350.6679115185379</c:v>
                </c:pt>
                <c:pt idx="6">
                  <c:v>8517.6812697489077</c:v>
                </c:pt>
                <c:pt idx="7">
                  <c:v>8688.0348951438846</c:v>
                </c:pt>
                <c:pt idx="8">
                  <c:v>8861.7955930467633</c:v>
                </c:pt>
                <c:pt idx="9">
                  <c:v>9039.031504907698</c:v>
                </c:pt>
              </c:numCache>
            </c:numRef>
          </c:val>
          <c:extLst>
            <c:ext xmlns:c16="http://schemas.microsoft.com/office/drawing/2014/chart" uri="{C3380CC4-5D6E-409C-BE32-E72D297353CC}">
              <c16:uniqueId val="{00000004-05BB-43C7-B6C8-5252BEE63648}"/>
            </c:ext>
          </c:extLst>
        </c:ser>
        <c:ser>
          <c:idx val="5"/>
          <c:order val="5"/>
          <c:tx>
            <c:strRef>
              <c:f>SR_cost_per_minute_forecast!$B$176</c:f>
              <c:strCache>
                <c:ptCount val="1"/>
                <c:pt idx="0">
                  <c:v>Mission Operations</c:v>
                </c:pt>
              </c:strCache>
            </c:strRef>
          </c:tx>
          <c:spPr>
            <a:solidFill>
              <a:schemeClr val="accent6"/>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SR_cost_per_minute_forecast!$C$176:$L$176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5BB-43C7-B6C8-5252BEE63648}"/>
            </c:ext>
          </c:extLst>
        </c:ser>
        <c:ser>
          <c:idx val="6"/>
          <c:order val="6"/>
          <c:tx>
            <c:strRef>
              <c:f>SR_cost_per_minute_forecast!$B$177</c:f>
              <c:strCache>
                <c:ptCount val="1"/>
                <c:pt idx="0">
                  <c:v>Launch Events</c:v>
                </c:pt>
              </c:strCache>
            </c:strRef>
          </c:tx>
          <c:spPr>
            <a:solidFill>
              <a:schemeClr val="accent1">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SR_cost_per_minute_forecast!$C$177:$L$177</c:f>
              <c:numCache>
                <c:formatCode>_(* #,##0_);_(* \(#,##0\);_(* "-"??_);_(@_)</c:formatCode>
                <c:ptCount val="10"/>
                <c:pt idx="0">
                  <c:v>120568.57044093739</c:v>
                </c:pt>
                <c:pt idx="1">
                  <c:v>128405.52751959831</c:v>
                </c:pt>
                <c:pt idx="2">
                  <c:v>136552.94866714464</c:v>
                </c:pt>
                <c:pt idx="3">
                  <c:v>145020.11766350036</c:v>
                </c:pt>
                <c:pt idx="4">
                  <c:v>156922.41785714583</c:v>
                </c:pt>
                <c:pt idx="5">
                  <c:v>166873.59933959617</c:v>
                </c:pt>
                <c:pt idx="6">
                  <c:v>177190.20125681188</c:v>
                </c:pt>
                <c:pt idx="7">
                  <c:v>187882.85995359058</c:v>
                </c:pt>
                <c:pt idx="8">
                  <c:v>198962.49106034799</c:v>
                </c:pt>
                <c:pt idx="9">
                  <c:v>210440.29641000449</c:v>
                </c:pt>
              </c:numCache>
            </c:numRef>
          </c:val>
          <c:extLst>
            <c:ext xmlns:c16="http://schemas.microsoft.com/office/drawing/2014/chart" uri="{C3380CC4-5D6E-409C-BE32-E72D297353CC}">
              <c16:uniqueId val="{00000006-05BB-43C7-B6C8-5252BEE63648}"/>
            </c:ext>
          </c:extLst>
        </c:ser>
        <c:ser>
          <c:idx val="7"/>
          <c:order val="7"/>
          <c:tx>
            <c:strRef>
              <c:f>SR_cost_per_minute_forecast!$B$178</c:f>
              <c:strCache>
                <c:ptCount val="1"/>
                <c:pt idx="0">
                  <c:v>Terrestrial &amp; Aerial</c:v>
                </c:pt>
              </c:strCache>
            </c:strRef>
          </c:tx>
          <c:spPr>
            <a:solidFill>
              <a:schemeClr val="accent2">
                <a:lumMod val="60000"/>
              </a:schemeClr>
            </a:solidFill>
            <a:ln w="25400">
              <a:noFill/>
            </a:ln>
            <a:effectLst/>
          </c:spP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SR_cost_per_minute_forecast!$C$178:$L$178</c:f>
              <c:numCache>
                <c:formatCode>_(* #,##0_);_(* \(#,##0\);_(* "-"??_);_(@_)</c:formatCode>
                <c:ptCount val="10"/>
                <c:pt idx="0">
                  <c:v>1717864.521803322</c:v>
                </c:pt>
                <c:pt idx="1">
                  <c:v>1786579.1026754552</c:v>
                </c:pt>
                <c:pt idx="2">
                  <c:v>1857798.4408503463</c:v>
                </c:pt>
                <c:pt idx="3">
                  <c:v>1931595.2407877573</c:v>
                </c:pt>
                <c:pt idx="4">
                  <c:v>2008044.1132229192</c:v>
                </c:pt>
                <c:pt idx="5">
                  <c:v>2144897.9833738552</c:v>
                </c:pt>
                <c:pt idx="6">
                  <c:v>2239119.2192181442</c:v>
                </c:pt>
                <c:pt idx="7">
                  <c:v>2336473.0052411514</c:v>
                </c:pt>
                <c:pt idx="8">
                  <c:v>2437046.9549556901</c:v>
                </c:pt>
                <c:pt idx="9">
                  <c:v>2540930.93339501</c:v>
                </c:pt>
              </c:numCache>
            </c:numRef>
          </c:val>
          <c:extLst>
            <c:ext xmlns:c16="http://schemas.microsoft.com/office/drawing/2014/chart" uri="{C3380CC4-5D6E-409C-BE32-E72D297353CC}">
              <c16:uniqueId val="{00000007-05BB-43C7-B6C8-5252BEE63648}"/>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r"/>
      <c:layout>
        <c:manualLayout>
          <c:xMode val="edge"/>
          <c:yMode val="edge"/>
          <c:x val="4.4387242158854021E-2"/>
          <c:y val="0.77799516251514711"/>
          <c:w val="0.91285533192475909"/>
          <c:h val="0.189836936953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(Baseline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91303187231501"/>
          <c:y val="0.14037169986104678"/>
          <c:w val="0.81213044486907282"/>
          <c:h val="0.57779952138335644"/>
        </c:manualLayout>
      </c:layout>
      <c:areaChart>
        <c:grouping val="stacked"/>
        <c:varyColors val="0"/>
        <c:ser>
          <c:idx val="0"/>
          <c:order val="0"/>
          <c:tx>
            <c:strRef>
              <c:f>SR_cost_per_minute_forecast!$B$189</c:f>
              <c:strCache>
                <c:ptCount val="1"/>
                <c:pt idx="0">
                  <c:v>Human Space Flight</c:v>
                </c:pt>
              </c:strCache>
            </c:strRef>
          </c:tx>
          <c:spPr>
            <a:solidFill>
              <a:schemeClr val="accent1"/>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SR_cost_per_minute_forecast!$D$189:$M$189</c:f>
              <c:numCache>
                <c:formatCode>_(* #,##0_);_(* \(#,##0\);_(* "-"??_);_(@_)</c:formatCode>
                <c:ptCount val="10"/>
                <c:pt idx="0">
                  <c:v>9086943.8489734475</c:v>
                </c:pt>
                <c:pt idx="1">
                  <c:v>9902957.4444477092</c:v>
                </c:pt>
                <c:pt idx="2">
                  <c:v>10750995.7244236</c:v>
                </c:pt>
                <c:pt idx="3">
                  <c:v>11632013.270842997</c:v>
                </c:pt>
                <c:pt idx="4">
                  <c:v>12546990.039051652</c:v>
                </c:pt>
                <c:pt idx="5">
                  <c:v>13496931.990902569</c:v>
                </c:pt>
                <c:pt idx="6">
                  <c:v>14482871.743034147</c:v>
                </c:pt>
                <c:pt idx="7">
                  <c:v>15505869.23067688</c:v>
                </c:pt>
                <c:pt idx="8">
                  <c:v>16567012.38735036</c:v>
                </c:pt>
                <c:pt idx="9">
                  <c:v>19460638.419257939</c:v>
                </c:pt>
              </c:numCache>
            </c:numRef>
          </c:val>
          <c:extLst>
            <c:ext xmlns:c16="http://schemas.microsoft.com/office/drawing/2014/chart" uri="{C3380CC4-5D6E-409C-BE32-E72D297353CC}">
              <c16:uniqueId val="{00000000-D5F2-44FC-B45E-4B87A743081D}"/>
            </c:ext>
          </c:extLst>
        </c:ser>
        <c:ser>
          <c:idx val="1"/>
          <c:order val="1"/>
          <c:tx>
            <c:strRef>
              <c:f>SR_cost_per_minute_forecast!$B$190</c:f>
              <c:strCache>
                <c:ptCount val="1"/>
                <c:pt idx="0">
                  <c:v>Near Earth Robotic - LEO Science</c:v>
                </c:pt>
              </c:strCache>
            </c:strRef>
          </c:tx>
          <c:spPr>
            <a:solidFill>
              <a:schemeClr val="accent2"/>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SR_cost_per_minute_forecast!$D$190:$M$190</c:f>
              <c:numCache>
                <c:formatCode>_(* #,##0_);_(* \(#,##0\);_(* "-"??_);_(@_)</c:formatCode>
                <c:ptCount val="10"/>
                <c:pt idx="0">
                  <c:v>20159520.475050297</c:v>
                </c:pt>
                <c:pt idx="1">
                  <c:v>23002255.395623438</c:v>
                </c:pt>
                <c:pt idx="2">
                  <c:v>24928091.74131247</c:v>
                </c:pt>
                <c:pt idx="3">
                  <c:v>27646993.229324453</c:v>
                </c:pt>
                <c:pt idx="4">
                  <c:v>30038161.756468806</c:v>
                </c:pt>
                <c:pt idx="5">
                  <c:v>32649324.117538113</c:v>
                </c:pt>
                <c:pt idx="6">
                  <c:v>35324121.314935483</c:v>
                </c:pt>
                <c:pt idx="7">
                  <c:v>37805695.134261109</c:v>
                </c:pt>
                <c:pt idx="8">
                  <c:v>40372840.464597963</c:v>
                </c:pt>
                <c:pt idx="9">
                  <c:v>41158386.935681045</c:v>
                </c:pt>
              </c:numCache>
            </c:numRef>
          </c:val>
          <c:extLst>
            <c:ext xmlns:c16="http://schemas.microsoft.com/office/drawing/2014/chart" uri="{C3380CC4-5D6E-409C-BE32-E72D297353CC}">
              <c16:uniqueId val="{00000001-D5F2-44FC-B45E-4B87A743081D}"/>
            </c:ext>
          </c:extLst>
        </c:ser>
        <c:ser>
          <c:idx val="2"/>
          <c:order val="2"/>
          <c:tx>
            <c:strRef>
              <c:f>SR_cost_per_minute_forecast!$B$191</c:f>
              <c:strCache>
                <c:ptCount val="1"/>
                <c:pt idx="0">
                  <c:v>Near Earth Robotic - GEO and Near Earth</c:v>
                </c:pt>
              </c:strCache>
            </c:strRef>
          </c:tx>
          <c:spPr>
            <a:solidFill>
              <a:schemeClr val="accent3"/>
            </a:solidFill>
            <a:ln>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SR_cost_per_minute_forecast!$D$191:$M$191</c:f>
              <c:numCache>
                <c:formatCode>_(* #,##0_);_(* \(#,##0\);_(* "-"??_);_(@_)</c:formatCode>
                <c:ptCount val="10"/>
                <c:pt idx="0">
                  <c:v>156104.97026415973</c:v>
                </c:pt>
                <c:pt idx="1">
                  <c:v>222204.94050884939</c:v>
                </c:pt>
                <c:pt idx="2">
                  <c:v>247253.49743893789</c:v>
                </c:pt>
                <c:pt idx="3">
                  <c:v>273215.11467002641</c:v>
                </c:pt>
                <c:pt idx="4">
                  <c:v>300116.29519138287</c:v>
                </c:pt>
                <c:pt idx="5">
                  <c:v>327984.23688772548</c:v>
                </c:pt>
                <c:pt idx="6">
                  <c:v>356846.84973384527</c:v>
                </c:pt>
                <c:pt idx="7">
                  <c:v>386732.77339905489</c:v>
                </c:pt>
                <c:pt idx="8">
                  <c:v>417671.39527097926</c:v>
                </c:pt>
                <c:pt idx="9">
                  <c:v>426024.82317639882</c:v>
                </c:pt>
              </c:numCache>
            </c:numRef>
          </c:val>
          <c:extLst>
            <c:ext xmlns:c16="http://schemas.microsoft.com/office/drawing/2014/chart" uri="{C3380CC4-5D6E-409C-BE32-E72D297353CC}">
              <c16:uniqueId val="{00000002-D5F2-44FC-B45E-4B87A743081D}"/>
            </c:ext>
          </c:extLst>
        </c:ser>
        <c:ser>
          <c:idx val="3"/>
          <c:order val="3"/>
          <c:tx>
            <c:strRef>
              <c:f>SR_cost_per_minute_forecast!$B$192</c:f>
              <c:strCache>
                <c:ptCount val="1"/>
                <c:pt idx="0">
                  <c:v>Deep Space Robotic</c:v>
                </c:pt>
              </c:strCache>
            </c:strRef>
          </c:tx>
          <c:spPr>
            <a:solidFill>
              <a:schemeClr val="accent4"/>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SR_cost_per_minute_forecast!$D$192:$M$192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D5F2-44FC-B45E-4B87A743081D}"/>
            </c:ext>
          </c:extLst>
        </c:ser>
        <c:ser>
          <c:idx val="4"/>
          <c:order val="4"/>
          <c:tx>
            <c:strRef>
              <c:f>SR_cost_per_minute_forecast!$B$193</c:f>
              <c:strCache>
                <c:ptCount val="1"/>
                <c:pt idx="0">
                  <c:v>Near Earth Robotic - Low Latency &amp; Complex Needs</c:v>
                </c:pt>
              </c:strCache>
            </c:strRef>
          </c:tx>
          <c:spPr>
            <a:solidFill>
              <a:schemeClr val="accent5"/>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SR_cost_per_minute_forecast!$D$193:$M$193</c:f>
              <c:numCache>
                <c:formatCode>_(* #,##0_);_(* \(#,##0\);_(* "-"??_);_(@_)</c:formatCode>
                <c:ptCount val="10"/>
                <c:pt idx="0">
                  <c:v>9106.4024809849343</c:v>
                </c:pt>
                <c:pt idx="1">
                  <c:v>9924.1634745431493</c:v>
                </c:pt>
                <c:pt idx="2">
                  <c:v>10774.017729735348</c:v>
                </c:pt>
                <c:pt idx="3">
                  <c:v>12280.393987527259</c:v>
                </c:pt>
                <c:pt idx="4">
                  <c:v>13361.06865842966</c:v>
                </c:pt>
                <c:pt idx="5">
                  <c:v>14480.058158573145</c:v>
                </c:pt>
                <c:pt idx="6">
                  <c:v>15638.462811258989</c:v>
                </c:pt>
                <c:pt idx="7">
                  <c:v>16837.411626788849</c:v>
                </c:pt>
                <c:pt idx="8">
                  <c:v>18078.063009815396</c:v>
                </c:pt>
                <c:pt idx="9">
                  <c:v>18439.624270011707</c:v>
                </c:pt>
              </c:numCache>
            </c:numRef>
          </c:val>
          <c:extLst>
            <c:ext xmlns:c16="http://schemas.microsoft.com/office/drawing/2014/chart" uri="{C3380CC4-5D6E-409C-BE32-E72D297353CC}">
              <c16:uniqueId val="{00000004-D5F2-44FC-B45E-4B87A743081D}"/>
            </c:ext>
          </c:extLst>
        </c:ser>
        <c:ser>
          <c:idx val="5"/>
          <c:order val="5"/>
          <c:tx>
            <c:strRef>
              <c:f>SR_cost_per_minute_forecast!$B$194</c:f>
              <c:strCache>
                <c:ptCount val="1"/>
                <c:pt idx="0">
                  <c:v>Mission Operations</c:v>
                </c:pt>
              </c:strCache>
            </c:strRef>
          </c:tx>
          <c:spPr>
            <a:solidFill>
              <a:schemeClr val="accent6"/>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SR_cost_per_minute_forecast!$D$194:$M$194</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D5F2-44FC-B45E-4B87A743081D}"/>
            </c:ext>
          </c:extLst>
        </c:ser>
        <c:ser>
          <c:idx val="6"/>
          <c:order val="6"/>
          <c:tx>
            <c:strRef>
              <c:f>SR_cost_per_minute_forecast!$B$195</c:f>
              <c:strCache>
                <c:ptCount val="1"/>
                <c:pt idx="0">
                  <c:v>Launch Events</c:v>
                </c:pt>
              </c:strCache>
            </c:strRef>
          </c:tx>
          <c:spPr>
            <a:solidFill>
              <a:schemeClr val="accent1">
                <a:lumMod val="60000"/>
              </a:schemeClr>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SR_cost_per_minute_forecast!$D$195:$M$195</c:f>
              <c:numCache>
                <c:formatCode>_(* #,##0_);_(* \(#,##0\);_(* "-"??_);_(@_)</c:formatCode>
                <c:ptCount val="10"/>
                <c:pt idx="0">
                  <c:v>143778.02025081782</c:v>
                </c:pt>
                <c:pt idx="1">
                  <c:v>160072.8625459105</c:v>
                </c:pt>
                <c:pt idx="2">
                  <c:v>177007.20053862192</c:v>
                </c:pt>
                <c:pt idx="3">
                  <c:v>197705.94852292587</c:v>
                </c:pt>
                <c:pt idx="4">
                  <c:v>216792.64087451089</c:v>
                </c:pt>
                <c:pt idx="5">
                  <c:v>236593.8606833604</c:v>
                </c:pt>
                <c:pt idx="6">
                  <c:v>257130.55437082431</c:v>
                </c:pt>
                <c:pt idx="7">
                  <c:v>278424.22040412371</c:v>
                </c:pt>
                <c:pt idx="8">
                  <c:v>300496.92299961689</c:v>
                </c:pt>
                <c:pt idx="9">
                  <c:v>304999.75432909757</c:v>
                </c:pt>
              </c:numCache>
            </c:numRef>
          </c:val>
          <c:extLst>
            <c:ext xmlns:c16="http://schemas.microsoft.com/office/drawing/2014/chart" uri="{C3380CC4-5D6E-409C-BE32-E72D297353CC}">
              <c16:uniqueId val="{00000006-D5F2-44FC-B45E-4B87A743081D}"/>
            </c:ext>
          </c:extLst>
        </c:ser>
        <c:ser>
          <c:idx val="7"/>
          <c:order val="7"/>
          <c:tx>
            <c:strRef>
              <c:f>SR_cost_per_minute_forecast!$B$196</c:f>
              <c:strCache>
                <c:ptCount val="1"/>
                <c:pt idx="0">
                  <c:v>Terrestrial &amp; Aerial</c:v>
                </c:pt>
              </c:strCache>
            </c:strRef>
          </c:tx>
          <c:spPr>
            <a:solidFill>
              <a:schemeClr val="accent2">
                <a:lumMod val="60000"/>
              </a:schemeClr>
            </a:solidFill>
            <a:ln w="25400">
              <a:noFill/>
            </a:ln>
            <a:effectLst/>
          </c:spPr>
          <c:cat>
            <c:numRef>
              <c:f>SR_cost_per_minute_forecast!$D$76:$M$76</c:f>
              <c:numCache>
                <c:formatCode>General</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SR_cost_per_minute_forecast!$D$196:$M$196</c:f>
              <c:numCache>
                <c:formatCode>_(* #,##0_);_(* \(#,##0\);_(* "-"??_);_(@_)</c:formatCode>
                <c:ptCount val="10"/>
                <c:pt idx="0">
                  <c:v>1899625.6712070284</c:v>
                </c:pt>
                <c:pt idx="1">
                  <c:v>2030759.6907036537</c:v>
                </c:pt>
                <c:pt idx="2">
                  <c:v>2166822.5405882555</c:v>
                </c:pt>
                <c:pt idx="3">
                  <c:v>2307958.9204685539</c:v>
                </c:pt>
                <c:pt idx="4">
                  <c:v>2511993.7074425127</c:v>
                </c:pt>
                <c:pt idx="5">
                  <c:v>2675963.1308598462</c:v>
                </c:pt>
                <c:pt idx="6">
                  <c:v>2845708.1936691925</c:v>
                </c:pt>
                <c:pt idx="7">
                  <c:v>3021394.3336768672</c:v>
                </c:pt>
                <c:pt idx="8">
                  <c:v>3203191.2959456784</c:v>
                </c:pt>
                <c:pt idx="9">
                  <c:v>3256172.1249497319</c:v>
                </c:pt>
              </c:numCache>
            </c:numRef>
          </c:val>
          <c:extLst>
            <c:ext xmlns:c16="http://schemas.microsoft.com/office/drawing/2014/chart" uri="{C3380CC4-5D6E-409C-BE32-E72D297353CC}">
              <c16:uniqueId val="{00000007-D5F2-44FC-B45E-4B87A743081D}"/>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Total cost by use case (High demand scenario) </a:t>
            </a:r>
            <a:r>
              <a:rPr lang="en-US" sz="1200" b="0" i="0" u="none" strike="noStrike" baseline="0">
                <a:effectLst/>
              </a:rPr>
              <a:t>(80% profit margin)</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48066522503069"/>
          <c:y val="0.13755100539470003"/>
          <c:w val="0.80156281151635722"/>
          <c:h val="0.56663816329744165"/>
        </c:manualLayout>
      </c:layout>
      <c:areaChart>
        <c:grouping val="stacked"/>
        <c:varyColors val="0"/>
        <c:ser>
          <c:idx val="0"/>
          <c:order val="0"/>
          <c:tx>
            <c:strRef>
              <c:f>SR_cost_per_minute_forecast!$B$207</c:f>
              <c:strCache>
                <c:ptCount val="1"/>
                <c:pt idx="0">
                  <c:v>Human Space Flight</c:v>
                </c:pt>
              </c:strCache>
            </c:strRef>
          </c:tx>
          <c:spPr>
            <a:solidFill>
              <a:schemeClr val="accent1"/>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SR_cost_per_minute_forecast!$C$207:$L$207</c:f>
              <c:numCache>
                <c:formatCode>_(* #,##0_);_(* \(#,##0\);_(* "-"??_);_(@_)</c:formatCode>
                <c:ptCount val="10"/>
                <c:pt idx="0">
                  <c:v>8679389.8889696561</c:v>
                </c:pt>
                <c:pt idx="1">
                  <c:v>9856767.9956472777</c:v>
                </c:pt>
                <c:pt idx="2">
                  <c:v>11080788.388858669</c:v>
                </c:pt>
                <c:pt idx="3">
                  <c:v>12352845.808822503</c:v>
                </c:pt>
                <c:pt idx="4">
                  <c:v>13674372.128451603</c:v>
                </c:pt>
                <c:pt idx="5">
                  <c:v>15046837.280764587</c:v>
                </c:pt>
                <c:pt idx="6">
                  <c:v>16471750.208540959</c:v>
                </c:pt>
                <c:pt idx="7">
                  <c:v>17950659.836738326</c:v>
                </c:pt>
                <c:pt idx="8">
                  <c:v>19485156.068202429</c:v>
                </c:pt>
                <c:pt idx="9">
                  <c:v>21076870.803212646</c:v>
                </c:pt>
              </c:numCache>
            </c:numRef>
          </c:val>
          <c:extLst>
            <c:ext xmlns:c16="http://schemas.microsoft.com/office/drawing/2014/chart" uri="{C3380CC4-5D6E-409C-BE32-E72D297353CC}">
              <c16:uniqueId val="{00000000-4FC4-4128-BCD5-62AB0F8ED9F9}"/>
            </c:ext>
          </c:extLst>
        </c:ser>
        <c:ser>
          <c:idx val="1"/>
          <c:order val="1"/>
          <c:tx>
            <c:strRef>
              <c:f>SR_cost_per_minute_forecast!$B$208</c:f>
              <c:strCache>
                <c:ptCount val="1"/>
                <c:pt idx="0">
                  <c:v>Near Earth Robotic - LEO Science</c:v>
                </c:pt>
              </c:strCache>
            </c:strRef>
          </c:tx>
          <c:spPr>
            <a:solidFill>
              <a:schemeClr val="accent2"/>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SR_cost_per_minute_forecast!$C$208:$L$208</c:f>
              <c:numCache>
                <c:formatCode>_(* #,##0_);_(* \(#,##0\);_(* "-"??_);_(@_)</c:formatCode>
                <c:ptCount val="10"/>
                <c:pt idx="0">
                  <c:v>20492557.615825299</c:v>
                </c:pt>
                <c:pt idx="1">
                  <c:v>21947404.072895039</c:v>
                </c:pt>
                <c:pt idx="2">
                  <c:v>25737717.300325893</c:v>
                </c:pt>
                <c:pt idx="3">
                  <c:v>28648319.931707811</c:v>
                </c:pt>
                <c:pt idx="4">
                  <c:v>32390284.172078509</c:v>
                </c:pt>
                <c:pt idx="5">
                  <c:v>35843949.870399773</c:v>
                </c:pt>
                <c:pt idx="6">
                  <c:v>39558211.973115958</c:v>
                </c:pt>
                <c:pt idx="7">
                  <c:v>43377910.586580507</c:v>
                </c:pt>
                <c:pt idx="8">
                  <c:v>47047418.323473789</c:v>
                </c:pt>
                <c:pt idx="9">
                  <c:v>50846793.412372336</c:v>
                </c:pt>
              </c:numCache>
            </c:numRef>
          </c:val>
          <c:extLst>
            <c:ext xmlns:c16="http://schemas.microsoft.com/office/drawing/2014/chart" uri="{C3380CC4-5D6E-409C-BE32-E72D297353CC}">
              <c16:uniqueId val="{00000001-4FC4-4128-BCD5-62AB0F8ED9F9}"/>
            </c:ext>
          </c:extLst>
        </c:ser>
        <c:ser>
          <c:idx val="2"/>
          <c:order val="2"/>
          <c:tx>
            <c:strRef>
              <c:f>SR_cost_per_minute_forecast!$B$209</c:f>
              <c:strCache>
                <c:ptCount val="1"/>
                <c:pt idx="0">
                  <c:v>Near Earth Robotic - GEO and Near Earth</c:v>
                </c:pt>
              </c:strCache>
            </c:strRef>
          </c:tx>
          <c:spPr>
            <a:solidFill>
              <a:schemeClr val="accent3"/>
            </a:solidFill>
            <a:ln>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SR_cost_per_minute_forecast!$C$209:$L$209</c:f>
              <c:numCache>
                <c:formatCode>_(* #,##0_);_(* \(#,##0\);_(* "-"??_);_(@_)</c:formatCode>
                <c:ptCount val="10"/>
                <c:pt idx="0">
                  <c:v>151445.12040552808</c:v>
                </c:pt>
                <c:pt idx="1">
                  <c:v>187791.94930285483</c:v>
                </c:pt>
                <c:pt idx="2">
                  <c:v>270686.01843805297</c:v>
                </c:pt>
                <c:pt idx="3">
                  <c:v>313187.76342265465</c:v>
                </c:pt>
                <c:pt idx="4">
                  <c:v>357281.30379926524</c:v>
                </c:pt>
                <c:pt idx="5">
                  <c:v>403013.31068557117</c:v>
                </c:pt>
                <c:pt idx="6">
                  <c:v>450431.68532580975</c:v>
                </c:pt>
                <c:pt idx="7">
                  <c:v>499585.58962738339</c:v>
                </c:pt>
                <c:pt idx="8">
                  <c:v>550525.47742688982</c:v>
                </c:pt>
                <c:pt idx="9">
                  <c:v>603303.12650252564</c:v>
                </c:pt>
              </c:numCache>
            </c:numRef>
          </c:val>
          <c:extLst>
            <c:ext xmlns:c16="http://schemas.microsoft.com/office/drawing/2014/chart" uri="{C3380CC4-5D6E-409C-BE32-E72D297353CC}">
              <c16:uniqueId val="{00000002-4FC4-4128-BCD5-62AB0F8ED9F9}"/>
            </c:ext>
          </c:extLst>
        </c:ser>
        <c:ser>
          <c:idx val="3"/>
          <c:order val="3"/>
          <c:tx>
            <c:strRef>
              <c:f>SR_cost_per_minute_forecast!$B$210</c:f>
              <c:strCache>
                <c:ptCount val="1"/>
                <c:pt idx="0">
                  <c:v>Deep Space Robotic</c:v>
                </c:pt>
              </c:strCache>
            </c:strRef>
          </c:tx>
          <c:spPr>
            <a:solidFill>
              <a:schemeClr val="accent4"/>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SR_cost_per_minute_forecast!$C$210:$L$210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FC4-4128-BCD5-62AB0F8ED9F9}"/>
            </c:ext>
          </c:extLst>
        </c:ser>
        <c:ser>
          <c:idx val="4"/>
          <c:order val="4"/>
          <c:tx>
            <c:strRef>
              <c:f>SR_cost_per_minute_forecast!$B$211</c:f>
              <c:strCache>
                <c:ptCount val="1"/>
                <c:pt idx="0">
                  <c:v>Near Earth Robotic - Low Latency &amp; Complex Needs</c:v>
                </c:pt>
              </c:strCache>
            </c:strRef>
          </c:tx>
          <c:spPr>
            <a:solidFill>
              <a:schemeClr val="accent5"/>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SR_cost_per_minute_forecast!$C$211:$L$211</c:f>
              <c:numCache>
                <c:formatCode>_(* #,##0_);_(* \(#,##0\);_(* "-"??_);_(@_)</c:formatCode>
                <c:ptCount val="10"/>
                <c:pt idx="0">
                  <c:v>9076.1486521444531</c:v>
                </c:pt>
                <c:pt idx="1">
                  <c:v>10649.347751849491</c:v>
                </c:pt>
                <c:pt idx="2">
                  <c:v>12284.869738965921</c:v>
                </c:pt>
                <c:pt idx="3">
                  <c:v>13984.578249350317</c:v>
                </c:pt>
                <c:pt idx="4">
                  <c:v>16373.858650036347</c:v>
                </c:pt>
                <c:pt idx="5">
                  <c:v>18371.469405340784</c:v>
                </c:pt>
                <c:pt idx="6">
                  <c:v>20442.435047397383</c:v>
                </c:pt>
                <c:pt idx="7">
                  <c:v>22588.890727374095</c:v>
                </c:pt>
                <c:pt idx="8">
                  <c:v>24813.027660530934</c:v>
                </c:pt>
                <c:pt idx="9">
                  <c:v>27117.094514723096</c:v>
                </c:pt>
              </c:numCache>
            </c:numRef>
          </c:val>
          <c:extLst>
            <c:ext xmlns:c16="http://schemas.microsoft.com/office/drawing/2014/chart" uri="{C3380CC4-5D6E-409C-BE32-E72D297353CC}">
              <c16:uniqueId val="{00000004-4FC4-4128-BCD5-62AB0F8ED9F9}"/>
            </c:ext>
          </c:extLst>
        </c:ser>
        <c:ser>
          <c:idx val="5"/>
          <c:order val="5"/>
          <c:tx>
            <c:strRef>
              <c:f>SR_cost_per_minute_forecast!$B$212</c:f>
              <c:strCache>
                <c:ptCount val="1"/>
                <c:pt idx="0">
                  <c:v>Mission Operations</c:v>
                </c:pt>
              </c:strCache>
            </c:strRef>
          </c:tx>
          <c:spPr>
            <a:solidFill>
              <a:schemeClr val="accent6"/>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SR_cost_per_minute_forecast!$C$212:$L$212</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4FC4-4128-BCD5-62AB0F8ED9F9}"/>
            </c:ext>
          </c:extLst>
        </c:ser>
        <c:ser>
          <c:idx val="6"/>
          <c:order val="6"/>
          <c:tx>
            <c:strRef>
              <c:f>SR_cost_per_minute_forecast!$B$213</c:f>
              <c:strCache>
                <c:ptCount val="1"/>
                <c:pt idx="0">
                  <c:v>Launch Events</c:v>
                </c:pt>
              </c:strCache>
            </c:strRef>
          </c:tx>
          <c:spPr>
            <a:solidFill>
              <a:schemeClr val="accent1">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SR_cost_per_minute_forecast!$C$213:$L$213</c:f>
              <c:numCache>
                <c:formatCode>_(* #,##0_);_(* \(#,##0\);_(* "-"??_);_(@_)</c:formatCode>
                <c:ptCount val="10"/>
                <c:pt idx="0">
                  <c:v>131871.87391977527</c:v>
                </c:pt>
                <c:pt idx="1">
                  <c:v>151464.2666164276</c:v>
                </c:pt>
                <c:pt idx="2">
                  <c:v>171832.81948529344</c:v>
                </c:pt>
                <c:pt idx="3">
                  <c:v>193000.7419761827</c:v>
                </c:pt>
                <c:pt idx="4">
                  <c:v>218097.71385581588</c:v>
                </c:pt>
                <c:pt idx="5">
                  <c:v>241752.16164196824</c:v>
                </c:pt>
                <c:pt idx="6">
                  <c:v>266295.69039663469</c:v>
                </c:pt>
                <c:pt idx="7">
                  <c:v>291754.40157944115</c:v>
                </c:pt>
                <c:pt idx="8">
                  <c:v>318155.08507601148</c:v>
                </c:pt>
                <c:pt idx="9">
                  <c:v>345525.23629442311</c:v>
                </c:pt>
              </c:numCache>
            </c:numRef>
          </c:val>
          <c:extLst>
            <c:ext xmlns:c16="http://schemas.microsoft.com/office/drawing/2014/chart" uri="{C3380CC4-5D6E-409C-BE32-E72D297353CC}">
              <c16:uniqueId val="{00000006-4FC4-4128-BCD5-62AB0F8ED9F9}"/>
            </c:ext>
          </c:extLst>
        </c:ser>
        <c:ser>
          <c:idx val="7"/>
          <c:order val="7"/>
          <c:tx>
            <c:strRef>
              <c:f>SR_cost_per_minute_forecast!$B$214</c:f>
              <c:strCache>
                <c:ptCount val="1"/>
                <c:pt idx="0">
                  <c:v>Terrestrial &amp; Aerial</c:v>
                </c:pt>
              </c:strCache>
            </c:strRef>
          </c:tx>
          <c:spPr>
            <a:solidFill>
              <a:schemeClr val="accent2">
                <a:lumMod val="60000"/>
              </a:schemeClr>
            </a:solidFill>
            <a:ln w="25400">
              <a:noFill/>
            </a:ln>
            <a:effectLst/>
          </c:spPr>
          <c:cat>
            <c:numRef>
              <c:f>SR_cost_per_minute_forecast!$C$94:$L$94</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SR_cost_per_minute_forecast!$C$214:$L$214</c:f>
              <c:numCache>
                <c:formatCode>_(* #,##0_);_(* \(#,##0\);_(* "-"??_);_(@_)</c:formatCode>
                <c:ptCount val="10"/>
                <c:pt idx="0">
                  <c:v>1828694.4909519234</c:v>
                </c:pt>
                <c:pt idx="1">
                  <c:v>2012672.2397386022</c:v>
                </c:pt>
                <c:pt idx="2">
                  <c:v>2203720.9405569606</c:v>
                </c:pt>
                <c:pt idx="3">
                  <c:v>2402049.8403887535</c:v>
                </c:pt>
                <c:pt idx="4">
                  <c:v>2607873.7277141893</c:v>
                </c:pt>
                <c:pt idx="5">
                  <c:v>2879089.4315111702</c:v>
                </c:pt>
                <c:pt idx="6">
                  <c:v>3112807.0425015478</c:v>
                </c:pt>
                <c:pt idx="7">
                  <c:v>3354943.382097234</c:v>
                </c:pt>
                <c:pt idx="8">
                  <c:v>3605741.7123980448</c:v>
                </c:pt>
                <c:pt idx="9">
                  <c:v>3865451.6584963463</c:v>
                </c:pt>
              </c:numCache>
            </c:numRef>
          </c:val>
          <c:extLst>
            <c:ext xmlns:c16="http://schemas.microsoft.com/office/drawing/2014/chart" uri="{C3380CC4-5D6E-409C-BE32-E72D297353CC}">
              <c16:uniqueId val="{00000007-4FC4-4128-BCD5-62AB0F8ED9F9}"/>
            </c:ext>
          </c:extLst>
        </c:ser>
        <c:dLbls>
          <c:showLegendKey val="0"/>
          <c:showVal val="0"/>
          <c:showCatName val="0"/>
          <c:showSerName val="0"/>
          <c:showPercent val="0"/>
          <c:showBubbleSize val="0"/>
        </c:dLbls>
        <c:axId val="556239023"/>
        <c:axId val="775238351"/>
      </c:areaChart>
      <c:catAx>
        <c:axId val="55623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238351"/>
        <c:crosses val="autoZero"/>
        <c:auto val="1"/>
        <c:lblAlgn val="ctr"/>
        <c:lblOffset val="100"/>
        <c:noMultiLvlLbl val="0"/>
      </c:catAx>
      <c:valAx>
        <c:axId val="77523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239023"/>
        <c:crosses val="autoZero"/>
        <c:crossBetween val="midCat"/>
      </c:valAx>
      <c:spPr>
        <a:noFill/>
        <a:ln>
          <a:noFill/>
        </a:ln>
        <a:effectLst/>
      </c:spPr>
    </c:plotArea>
    <c:legend>
      <c:legendPos val="b"/>
      <c:layout>
        <c:manualLayout>
          <c:xMode val="edge"/>
          <c:yMode val="edge"/>
          <c:x val="4.143537876426872E-2"/>
          <c:y val="0.8041231403269079"/>
          <c:w val="0.90748717991544758"/>
          <c:h val="0.17871999913540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(20%</a:t>
            </a:r>
            <a:r>
              <a:rPr lang="en-US" baseline="0"/>
              <a:t>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c:f>
              <c:strCache>
                <c:ptCount val="1"/>
                <c:pt idx="0">
                  <c:v>Low Demand</c:v>
                </c:pt>
              </c:strCache>
            </c:strRef>
          </c:tx>
          <c:spPr>
            <a:ln w="28575" cap="rnd">
              <a:solidFill>
                <a:schemeClr val="accent1"/>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DTE_cost_per_minute_forecast!$C$11:$L$11</c:f>
              <c:numCache>
                <c:formatCode>_(* #,##0_);_(* \(#,##0\);_(* "-"??_);_(@_)</c:formatCode>
                <c:ptCount val="10"/>
                <c:pt idx="0">
                  <c:v>13265990.176295459</c:v>
                </c:pt>
                <c:pt idx="1">
                  <c:v>12653329.712266441</c:v>
                </c:pt>
                <c:pt idx="2">
                  <c:v>12083246.545625066</c:v>
                </c:pt>
                <c:pt idx="3">
                  <c:v>11114835.888185339</c:v>
                </c:pt>
                <c:pt idx="4">
                  <c:v>12147632.518449074</c:v>
                </c:pt>
                <c:pt idx="5">
                  <c:v>12939784.526900178</c:v>
                </c:pt>
                <c:pt idx="6">
                  <c:v>13081374.615338625</c:v>
                </c:pt>
                <c:pt idx="7">
                  <c:v>14011161.867545798</c:v>
                </c:pt>
                <c:pt idx="8">
                  <c:v>14542967.866942436</c:v>
                </c:pt>
                <c:pt idx="9">
                  <c:v>15092799.851600753</c:v>
                </c:pt>
              </c:numCache>
            </c:numRef>
          </c:val>
          <c:smooth val="0"/>
          <c:extLst>
            <c:ext xmlns:c16="http://schemas.microsoft.com/office/drawing/2014/chart" uri="{C3380CC4-5D6E-409C-BE32-E72D297353CC}">
              <c16:uniqueId val="{00000000-CC23-44A7-97BF-2EB7E547CF55}"/>
            </c:ext>
          </c:extLst>
        </c:ser>
        <c:ser>
          <c:idx val="1"/>
          <c:order val="1"/>
          <c:tx>
            <c:strRef>
              <c:f>DTE_cost_per_minute_forecast!$B$19</c:f>
              <c:strCache>
                <c:ptCount val="1"/>
                <c:pt idx="0">
                  <c:v>Baseline Demand</c:v>
                </c:pt>
              </c:strCache>
            </c:strRef>
          </c:tx>
          <c:spPr>
            <a:ln w="28575" cap="rnd">
              <a:solidFill>
                <a:schemeClr val="accent2"/>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DTE_cost_per_minute_forecast!$C$29:$L$29</c:f>
              <c:numCache>
                <c:formatCode>_(* #,##0_);_(* \(#,##0\);_(* "-"??_);_(@_)</c:formatCode>
                <c:ptCount val="10"/>
                <c:pt idx="0">
                  <c:v>13874899.147071294</c:v>
                </c:pt>
                <c:pt idx="1">
                  <c:v>13879505.123909026</c:v>
                </c:pt>
                <c:pt idx="2">
                  <c:v>13897222.291172197</c:v>
                </c:pt>
                <c:pt idx="3">
                  <c:v>13704174.37211556</c:v>
                </c:pt>
                <c:pt idx="4">
                  <c:v>15449039.085460108</c:v>
                </c:pt>
                <c:pt idx="5">
                  <c:v>16980706.164921679</c:v>
                </c:pt>
                <c:pt idx="6">
                  <c:v>17890071.364584215</c:v>
                </c:pt>
                <c:pt idx="7">
                  <c:v>19616728.363809224</c:v>
                </c:pt>
                <c:pt idx="8">
                  <c:v>20975355.421404716</c:v>
                </c:pt>
                <c:pt idx="9">
                  <c:v>22382839.079991337</c:v>
                </c:pt>
              </c:numCache>
            </c:numRef>
          </c:val>
          <c:smooth val="0"/>
          <c:extLst>
            <c:ext xmlns:c16="http://schemas.microsoft.com/office/drawing/2014/chart" uri="{C3380CC4-5D6E-409C-BE32-E72D297353CC}">
              <c16:uniqueId val="{00000001-CC23-44A7-97BF-2EB7E547CF55}"/>
            </c:ext>
          </c:extLst>
        </c:ser>
        <c:ser>
          <c:idx val="2"/>
          <c:order val="2"/>
          <c:tx>
            <c:strRef>
              <c:f>DTE_cost_per_minute_forecast!$B$37</c:f>
              <c:strCache>
                <c:ptCount val="1"/>
                <c:pt idx="0">
                  <c:v>High Demand</c:v>
                </c:pt>
              </c:strCache>
            </c:strRef>
          </c:tx>
          <c:spPr>
            <a:ln w="28575" cap="rnd">
              <a:solidFill>
                <a:schemeClr val="accent3"/>
              </a:solidFill>
              <a:round/>
            </a:ln>
            <a:effectLst/>
          </c:spPr>
          <c:marker>
            <c:symbol val="none"/>
          </c:marker>
          <c:cat>
            <c:numRef>
              <c:f>DTE_cost_per_minute_forecast!$C$2:$L$2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DTE_cost_per_minute_forecast!$C$47:$L$47</c:f>
              <c:numCache>
                <c:formatCode>_(* #,##0_);_(* \(#,##0\);_(* "-"??_);_(@_)</c:formatCode>
                <c:ptCount val="10"/>
                <c:pt idx="0">
                  <c:v>14358023.339654047</c:v>
                </c:pt>
                <c:pt idx="1">
                  <c:v>14849079.588037722</c:v>
                </c:pt>
                <c:pt idx="2">
                  <c:v>15318598.587023078</c:v>
                </c:pt>
                <c:pt idx="3">
                  <c:v>15759577.604458883</c:v>
                </c:pt>
                <c:pt idx="4">
                  <c:v>18069678.206697837</c:v>
                </c:pt>
                <c:pt idx="5">
                  <c:v>20188368.449316666</c:v>
                </c:pt>
                <c:pt idx="6">
                  <c:v>21707189.483014245</c:v>
                </c:pt>
                <c:pt idx="7">
                  <c:v>24066397.484721951</c:v>
                </c:pt>
                <c:pt idx="8">
                  <c:v>26081350.737652071</c:v>
                </c:pt>
                <c:pt idx="9">
                  <c:v>28169633.771738339</c:v>
                </c:pt>
              </c:numCache>
            </c:numRef>
          </c:val>
          <c:smooth val="0"/>
          <c:extLst>
            <c:ext xmlns:c16="http://schemas.microsoft.com/office/drawing/2014/chart" uri="{C3380CC4-5D6E-409C-BE32-E72D297353CC}">
              <c16:uniqueId val="{00000002-CC23-44A7-97BF-2EB7E547CF55}"/>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(40%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DTE_cost_per_minute_forecast!$B$57</c:f>
              <c:strCache>
                <c:ptCount val="1"/>
                <c:pt idx="0">
                  <c:v>Low Demand</c:v>
                </c:pt>
              </c:strCache>
            </c:strRef>
          </c:tx>
          <c:spPr>
            <a:ln w="28575" cap="rnd">
              <a:solidFill>
                <a:schemeClr val="accent1"/>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DTE_cost_per_minute_forecast!$C$67:$L$67</c:f>
              <c:numCache>
                <c:formatCode>_(* #,##0_);_(* \(#,##0\);_(* "-"??_);_(@_)</c:formatCode>
                <c:ptCount val="10"/>
                <c:pt idx="0">
                  <c:v>15476988.53901137</c:v>
                </c:pt>
                <c:pt idx="1">
                  <c:v>14762217.997644184</c:v>
                </c:pt>
                <c:pt idx="2">
                  <c:v>14097120.96989591</c:v>
                </c:pt>
                <c:pt idx="3">
                  <c:v>12967308.536216229</c:v>
                </c:pt>
                <c:pt idx="4">
                  <c:v>14172237.938190587</c:v>
                </c:pt>
                <c:pt idx="5">
                  <c:v>15096415.281383539</c:v>
                </c:pt>
                <c:pt idx="6">
                  <c:v>15261603.717895063</c:v>
                </c:pt>
                <c:pt idx="7">
                  <c:v>16346355.512136767</c:v>
                </c:pt>
                <c:pt idx="8">
                  <c:v>16966795.844766177</c:v>
                </c:pt>
                <c:pt idx="9">
                  <c:v>17608266.493534211</c:v>
                </c:pt>
              </c:numCache>
            </c:numRef>
          </c:val>
          <c:smooth val="0"/>
          <c:extLst>
            <c:ext xmlns:c16="http://schemas.microsoft.com/office/drawing/2014/chart" uri="{C3380CC4-5D6E-409C-BE32-E72D297353CC}">
              <c16:uniqueId val="{00000000-FE4B-4B46-B4E9-E22FC8910F71}"/>
            </c:ext>
          </c:extLst>
        </c:ser>
        <c:ser>
          <c:idx val="1"/>
          <c:order val="1"/>
          <c:tx>
            <c:strRef>
              <c:f>DTE_cost_per_minute_forecast!$B$75</c:f>
              <c:strCache>
                <c:ptCount val="1"/>
                <c:pt idx="0">
                  <c:v>Baseline Demand</c:v>
                </c:pt>
              </c:strCache>
            </c:strRef>
          </c:tx>
          <c:spPr>
            <a:ln w="28575" cap="rnd">
              <a:solidFill>
                <a:schemeClr val="accent2"/>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DTE_cost_per_minute_forecast!$C$85:$L$85</c:f>
              <c:numCache>
                <c:formatCode>_(* #,##0_);_(* \(#,##0\);_(* "-"??_);_(@_)</c:formatCode>
                <c:ptCount val="10"/>
                <c:pt idx="0">
                  <c:v>16187382.338249844</c:v>
                </c:pt>
                <c:pt idx="1">
                  <c:v>16192755.977893863</c:v>
                </c:pt>
                <c:pt idx="2">
                  <c:v>16213426.006367564</c:v>
                </c:pt>
                <c:pt idx="3">
                  <c:v>15988203.43413482</c:v>
                </c:pt>
                <c:pt idx="4">
                  <c:v>18023878.933036793</c:v>
                </c:pt>
                <c:pt idx="5">
                  <c:v>19810823.859075293</c:v>
                </c:pt>
                <c:pt idx="6">
                  <c:v>20871749.925348252</c:v>
                </c:pt>
                <c:pt idx="7">
                  <c:v>22886183.091110766</c:v>
                </c:pt>
                <c:pt idx="8">
                  <c:v>24471247.991638839</c:v>
                </c:pt>
                <c:pt idx="9">
                  <c:v>26113312.259989895</c:v>
                </c:pt>
              </c:numCache>
            </c:numRef>
          </c:val>
          <c:smooth val="0"/>
          <c:extLst>
            <c:ext xmlns:c16="http://schemas.microsoft.com/office/drawing/2014/chart" uri="{C3380CC4-5D6E-409C-BE32-E72D297353CC}">
              <c16:uniqueId val="{00000001-FE4B-4B46-B4E9-E22FC8910F71}"/>
            </c:ext>
          </c:extLst>
        </c:ser>
        <c:ser>
          <c:idx val="2"/>
          <c:order val="2"/>
          <c:tx>
            <c:strRef>
              <c:f>DTE_cost_per_minute_forecast!$B$93</c:f>
              <c:strCache>
                <c:ptCount val="1"/>
                <c:pt idx="0">
                  <c:v>High Demand</c:v>
                </c:pt>
              </c:strCache>
            </c:strRef>
          </c:tx>
          <c:spPr>
            <a:ln w="28575" cap="rnd">
              <a:solidFill>
                <a:schemeClr val="accent3"/>
              </a:solidFill>
              <a:round/>
            </a:ln>
            <a:effectLst/>
          </c:spPr>
          <c:marker>
            <c:symbol val="none"/>
          </c:marker>
          <c:cat>
            <c:numRef>
              <c:f>DTE_cost_per_minute_forecast!$C$58:$L$58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DTE_cost_per_minute_forecast!$C$103:$L$103</c:f>
              <c:numCache>
                <c:formatCode>_(* #,##0_);_(* \(#,##0\);_(* "-"??_);_(@_)</c:formatCode>
                <c:ptCount val="10"/>
                <c:pt idx="0">
                  <c:v>16751027.229596389</c:v>
                </c:pt>
                <c:pt idx="1">
                  <c:v>17323926.186044008</c:v>
                </c:pt>
                <c:pt idx="2">
                  <c:v>17871698.351526923</c:v>
                </c:pt>
                <c:pt idx="3">
                  <c:v>18386173.871868696</c:v>
                </c:pt>
                <c:pt idx="4">
                  <c:v>21081291.241147477</c:v>
                </c:pt>
                <c:pt idx="5">
                  <c:v>23553096.524202779</c:v>
                </c:pt>
                <c:pt idx="6">
                  <c:v>25325054.396849953</c:v>
                </c:pt>
                <c:pt idx="7">
                  <c:v>28077463.732175611</c:v>
                </c:pt>
                <c:pt idx="8">
                  <c:v>30428242.527260751</c:v>
                </c:pt>
                <c:pt idx="9">
                  <c:v>32864572.733694732</c:v>
                </c:pt>
              </c:numCache>
            </c:numRef>
          </c:val>
          <c:smooth val="0"/>
          <c:extLst>
            <c:ext xmlns:c16="http://schemas.microsoft.com/office/drawing/2014/chart" uri="{C3380CC4-5D6E-409C-BE32-E72D297353CC}">
              <c16:uniqueId val="{00000002-FE4B-4B46-B4E9-E22FC8910F71}"/>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(60%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DTE_cost_per_minute_forecast!$B$113</c:f>
              <c:strCache>
                <c:ptCount val="1"/>
                <c:pt idx="0">
                  <c:v>Low Demand</c:v>
                </c:pt>
              </c:strCache>
            </c:strRef>
          </c:tx>
          <c:spPr>
            <a:ln w="28575" cap="rnd">
              <a:solidFill>
                <a:schemeClr val="accent1"/>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DTE_cost_per_minute_forecast!$C$123:$L$123</c:f>
              <c:numCache>
                <c:formatCode>_(* #,##0_);_(* \(#,##0\);_(* "-"??_);_(@_)</c:formatCode>
                <c:ptCount val="10"/>
                <c:pt idx="0">
                  <c:v>17687986.901727285</c:v>
                </c:pt>
                <c:pt idx="1">
                  <c:v>16871106.283021927</c:v>
                </c:pt>
                <c:pt idx="2">
                  <c:v>16110995.39416676</c:v>
                </c:pt>
                <c:pt idx="3">
                  <c:v>14819781.184247125</c:v>
                </c:pt>
                <c:pt idx="4">
                  <c:v>16196843.357932106</c:v>
                </c:pt>
                <c:pt idx="5">
                  <c:v>17253046.035866905</c:v>
                </c:pt>
                <c:pt idx="6">
                  <c:v>17441832.820451505</c:v>
                </c:pt>
                <c:pt idx="7">
                  <c:v>18681549.156727735</c:v>
                </c:pt>
                <c:pt idx="8">
                  <c:v>19390623.822589919</c:v>
                </c:pt>
                <c:pt idx="9">
                  <c:v>20123733.135467675</c:v>
                </c:pt>
              </c:numCache>
            </c:numRef>
          </c:val>
          <c:smooth val="0"/>
          <c:extLst>
            <c:ext xmlns:c16="http://schemas.microsoft.com/office/drawing/2014/chart" uri="{C3380CC4-5D6E-409C-BE32-E72D297353CC}">
              <c16:uniqueId val="{00000000-2008-418A-A723-AF83794B2BB7}"/>
            </c:ext>
          </c:extLst>
        </c:ser>
        <c:ser>
          <c:idx val="1"/>
          <c:order val="1"/>
          <c:tx>
            <c:strRef>
              <c:f>DTE_cost_per_minute_forecast!$B$131</c:f>
              <c:strCache>
                <c:ptCount val="1"/>
                <c:pt idx="0">
                  <c:v>Baseline Demand</c:v>
                </c:pt>
              </c:strCache>
            </c:strRef>
          </c:tx>
          <c:spPr>
            <a:ln w="28575" cap="rnd">
              <a:solidFill>
                <a:schemeClr val="accent2"/>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DTE_cost_per_minute_forecast!$C$141:$L$141</c:f>
              <c:numCache>
                <c:formatCode>_(* #,##0_);_(* \(#,##0\);_(* "-"??_);_(@_)</c:formatCode>
                <c:ptCount val="10"/>
                <c:pt idx="0">
                  <c:v>18499865.5294284</c:v>
                </c:pt>
                <c:pt idx="1">
                  <c:v>18506006.831878703</c:v>
                </c:pt>
                <c:pt idx="2">
                  <c:v>18529629.721562933</c:v>
                </c:pt>
                <c:pt idx="3">
                  <c:v>18272232.496154089</c:v>
                </c:pt>
                <c:pt idx="4">
                  <c:v>20598718.780613482</c:v>
                </c:pt>
                <c:pt idx="5">
                  <c:v>22640941.553228907</c:v>
                </c:pt>
                <c:pt idx="6">
                  <c:v>23853428.486112289</c:v>
                </c:pt>
                <c:pt idx="7">
                  <c:v>26155637.818412304</c:v>
                </c:pt>
                <c:pt idx="8">
                  <c:v>27967140.561872959</c:v>
                </c:pt>
                <c:pt idx="9">
                  <c:v>29843785.43998846</c:v>
                </c:pt>
              </c:numCache>
            </c:numRef>
          </c:val>
          <c:smooth val="0"/>
          <c:extLst>
            <c:ext xmlns:c16="http://schemas.microsoft.com/office/drawing/2014/chart" uri="{C3380CC4-5D6E-409C-BE32-E72D297353CC}">
              <c16:uniqueId val="{00000001-2008-418A-A723-AF83794B2BB7}"/>
            </c:ext>
          </c:extLst>
        </c:ser>
        <c:ser>
          <c:idx val="2"/>
          <c:order val="2"/>
          <c:tx>
            <c:strRef>
              <c:f>DTE_cost_per_minute_forecast!$B$149</c:f>
              <c:strCache>
                <c:ptCount val="1"/>
                <c:pt idx="0">
                  <c:v>High Demand</c:v>
                </c:pt>
              </c:strCache>
            </c:strRef>
          </c:tx>
          <c:spPr>
            <a:ln w="28575" cap="rnd">
              <a:solidFill>
                <a:schemeClr val="accent3"/>
              </a:solidFill>
              <a:round/>
            </a:ln>
            <a:effectLst/>
          </c:spPr>
          <c:marker>
            <c:symbol val="none"/>
          </c:marker>
          <c:cat>
            <c:numRef>
              <c:f>DTE_cost_per_minute_forecast!$C$132:$L$132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DTE_cost_per_minute_forecast!$C$159:$L$159</c:f>
              <c:numCache>
                <c:formatCode>_(* #,##0_);_(* \(#,##0\);_(* "-"??_);_(@_)</c:formatCode>
                <c:ptCount val="10"/>
                <c:pt idx="0">
                  <c:v>19144031.119538732</c:v>
                </c:pt>
                <c:pt idx="1">
                  <c:v>19798772.784050293</c:v>
                </c:pt>
                <c:pt idx="2">
                  <c:v>20424798.116030775</c:v>
                </c:pt>
                <c:pt idx="3">
                  <c:v>21012770.139278516</c:v>
                </c:pt>
                <c:pt idx="4">
                  <c:v>24092904.275597125</c:v>
                </c:pt>
                <c:pt idx="5">
                  <c:v>26917824.599088892</c:v>
                </c:pt>
                <c:pt idx="6">
                  <c:v>28942919.310685668</c:v>
                </c:pt>
                <c:pt idx="7">
                  <c:v>32088529.979629271</c:v>
                </c:pt>
                <c:pt idx="8">
                  <c:v>34775134.316869438</c:v>
                </c:pt>
                <c:pt idx="9">
                  <c:v>37559511.695651121</c:v>
                </c:pt>
              </c:numCache>
            </c:numRef>
          </c:val>
          <c:smooth val="0"/>
          <c:extLst>
            <c:ext xmlns:c16="http://schemas.microsoft.com/office/drawing/2014/chart" uri="{C3380CC4-5D6E-409C-BE32-E72D297353CC}">
              <c16:uniqueId val="{00000002-2008-418A-A723-AF83794B2BB7}"/>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DTE </a:t>
            </a:r>
            <a:r>
              <a:rPr lang="en-US"/>
              <a:t>Total aggregate cost by scenario </a:t>
            </a:r>
            <a:r>
              <a:rPr lang="en-US" sz="1400" b="0" i="0" u="none" strike="noStrike" baseline="0">
                <a:effectLst/>
              </a:rPr>
              <a:t>(80%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DTE_cost_per_minute_forecast!$B$169</c:f>
              <c:strCache>
                <c:ptCount val="1"/>
                <c:pt idx="0">
                  <c:v>Low Demand</c:v>
                </c:pt>
              </c:strCache>
            </c:strRef>
          </c:tx>
          <c:spPr>
            <a:ln w="28575" cap="rnd">
              <a:solidFill>
                <a:schemeClr val="accent1"/>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DTE_cost_per_minute_forecast!$C$179:$L$179</c:f>
              <c:numCache>
                <c:formatCode>_(* #,##0_);_(* \(#,##0\);_(* "-"??_);_(@_)</c:formatCode>
                <c:ptCount val="10"/>
                <c:pt idx="0">
                  <c:v>19898985.264443193</c:v>
                </c:pt>
                <c:pt idx="1">
                  <c:v>18979994.568399664</c:v>
                </c:pt>
                <c:pt idx="2">
                  <c:v>18124869.818437599</c:v>
                </c:pt>
                <c:pt idx="3">
                  <c:v>16672253.832278011</c:v>
                </c:pt>
                <c:pt idx="4">
                  <c:v>18221448.777673617</c:v>
                </c:pt>
                <c:pt idx="5">
                  <c:v>19409676.790350262</c:v>
                </c:pt>
                <c:pt idx="6">
                  <c:v>19622061.923007935</c:v>
                </c:pt>
                <c:pt idx="7">
                  <c:v>21016742.801318698</c:v>
                </c:pt>
                <c:pt idx="8">
                  <c:v>21814451.800413657</c:v>
                </c:pt>
                <c:pt idx="9">
                  <c:v>22639199.777401134</c:v>
                </c:pt>
              </c:numCache>
            </c:numRef>
          </c:val>
          <c:smooth val="0"/>
          <c:extLst>
            <c:ext xmlns:c16="http://schemas.microsoft.com/office/drawing/2014/chart" uri="{C3380CC4-5D6E-409C-BE32-E72D297353CC}">
              <c16:uniqueId val="{00000000-94CA-4DAF-A6CC-119A5EC9C243}"/>
            </c:ext>
          </c:extLst>
        </c:ser>
        <c:ser>
          <c:idx val="1"/>
          <c:order val="1"/>
          <c:tx>
            <c:strRef>
              <c:f>DTE_cost_per_minute_forecast!$B$187</c:f>
              <c:strCache>
                <c:ptCount val="1"/>
                <c:pt idx="0">
                  <c:v>Baseline Demand</c:v>
                </c:pt>
              </c:strCache>
            </c:strRef>
          </c:tx>
          <c:spPr>
            <a:ln w="28575" cap="rnd">
              <a:solidFill>
                <a:schemeClr val="accent2"/>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DTE_cost_per_minute_forecast!$C$197:$L$197</c:f>
              <c:numCache>
                <c:formatCode>_(* #,##0_);_(* \(#,##0\);_(* "-"??_);_(@_)</c:formatCode>
                <c:ptCount val="10"/>
                <c:pt idx="0">
                  <c:v>20812348.720606942</c:v>
                </c:pt>
                <c:pt idx="1">
                  <c:v>20819257.685863536</c:v>
                </c:pt>
                <c:pt idx="2">
                  <c:v>20845833.436758295</c:v>
                </c:pt>
                <c:pt idx="3">
                  <c:v>20556261.558173344</c:v>
                </c:pt>
                <c:pt idx="4">
                  <c:v>23173558.628190164</c:v>
                </c:pt>
                <c:pt idx="5">
                  <c:v>25471059.247382522</c:v>
                </c:pt>
                <c:pt idx="6">
                  <c:v>26835107.046876326</c:v>
                </c:pt>
                <c:pt idx="7">
                  <c:v>29425092.545713842</c:v>
                </c:pt>
                <c:pt idx="8">
                  <c:v>31463033.132107079</c:v>
                </c:pt>
                <c:pt idx="9">
                  <c:v>33574258.619987011</c:v>
                </c:pt>
              </c:numCache>
            </c:numRef>
          </c:val>
          <c:smooth val="0"/>
          <c:extLst>
            <c:ext xmlns:c16="http://schemas.microsoft.com/office/drawing/2014/chart" uri="{C3380CC4-5D6E-409C-BE32-E72D297353CC}">
              <c16:uniqueId val="{00000001-94CA-4DAF-A6CC-119A5EC9C243}"/>
            </c:ext>
          </c:extLst>
        </c:ser>
        <c:ser>
          <c:idx val="2"/>
          <c:order val="2"/>
          <c:tx>
            <c:strRef>
              <c:f>DTE_cost_per_minute_forecast!$B$205</c:f>
              <c:strCache>
                <c:ptCount val="1"/>
                <c:pt idx="0">
                  <c:v>High Demand</c:v>
                </c:pt>
              </c:strCache>
            </c:strRef>
          </c:tx>
          <c:spPr>
            <a:ln w="28575" cap="rnd">
              <a:solidFill>
                <a:schemeClr val="accent3"/>
              </a:solidFill>
              <a:round/>
            </a:ln>
            <a:effectLst/>
          </c:spPr>
          <c:marker>
            <c:symbol val="none"/>
          </c:marker>
          <c:cat>
            <c:numRef>
              <c:f>DTE_cost_per_minute_forecast!$C$170:$L$170</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DTE_cost_per_minute_forecast!$C$215:$L$215</c:f>
              <c:numCache>
                <c:formatCode>_(* #,##0_);_(* \(#,##0\);_(* "-"??_);_(@_)</c:formatCode>
                <c:ptCount val="10"/>
                <c:pt idx="0">
                  <c:v>21537035.009481072</c:v>
                </c:pt>
                <c:pt idx="1">
                  <c:v>22273619.382056575</c:v>
                </c:pt>
                <c:pt idx="2">
                  <c:v>22977897.880534615</c:v>
                </c:pt>
                <c:pt idx="3">
                  <c:v>23639366.406688325</c:v>
                </c:pt>
                <c:pt idx="4">
                  <c:v>27104517.310046759</c:v>
                </c:pt>
                <c:pt idx="5">
                  <c:v>30282552.673975002</c:v>
                </c:pt>
                <c:pt idx="6">
                  <c:v>32560784.224521369</c:v>
                </c:pt>
                <c:pt idx="7">
                  <c:v>36099596.227082923</c:v>
                </c:pt>
                <c:pt idx="8">
                  <c:v>39122026.10647811</c:v>
                </c:pt>
                <c:pt idx="9">
                  <c:v>42254450.657607511</c:v>
                </c:pt>
              </c:numCache>
            </c:numRef>
          </c:val>
          <c:smooth val="0"/>
          <c:extLst>
            <c:ext xmlns:c16="http://schemas.microsoft.com/office/drawing/2014/chart" uri="{C3380CC4-5D6E-409C-BE32-E72D297353CC}">
              <c16:uniqueId val="{00000002-94CA-4DAF-A6CC-119A5EC9C243}"/>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SR </a:t>
            </a:r>
            <a:r>
              <a:rPr lang="en-US"/>
              <a:t>Total aggregate cost by scenario (20%</a:t>
            </a:r>
            <a:r>
              <a:rPr lang="en-US" baseline="0"/>
              <a:t>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c:f>
              <c:strCache>
                <c:ptCount val="1"/>
                <c:pt idx="0">
                  <c:v>Low Demand</c:v>
                </c:pt>
              </c:strCache>
            </c:strRef>
          </c:tx>
          <c:spPr>
            <a:ln w="28575" cap="rnd">
              <a:solidFill>
                <a:schemeClr val="accent1"/>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SR_cost_per_minute_forecast!$C$11:$L$11</c:f>
              <c:numCache>
                <c:formatCode>_(* #,##0_);_(* \(#,##0\);_(* "-"??_);_(@_)</c:formatCode>
                <c:ptCount val="10"/>
                <c:pt idx="0">
                  <c:v>18963978.477321614</c:v>
                </c:pt>
                <c:pt idx="1">
                  <c:v>18905821.553039048</c:v>
                </c:pt>
                <c:pt idx="2">
                  <c:v>20393842.331694536</c:v>
                </c:pt>
                <c:pt idx="3">
                  <c:v>21225377.17490327</c:v>
                </c:pt>
                <c:pt idx="4">
                  <c:v>22570330.80281911</c:v>
                </c:pt>
                <c:pt idx="5">
                  <c:v>23715105.735477205</c:v>
                </c:pt>
                <c:pt idx="6">
                  <c:v>24957411.119139403</c:v>
                </c:pt>
                <c:pt idx="7">
                  <c:v>26222905.560447931</c:v>
                </c:pt>
                <c:pt idx="8">
                  <c:v>27339780.270949505</c:v>
                </c:pt>
                <c:pt idx="9">
                  <c:v>28493313.425691847</c:v>
                </c:pt>
              </c:numCache>
            </c:numRef>
          </c:val>
          <c:smooth val="0"/>
          <c:extLst>
            <c:ext xmlns:c16="http://schemas.microsoft.com/office/drawing/2014/chart" uri="{C3380CC4-5D6E-409C-BE32-E72D297353CC}">
              <c16:uniqueId val="{00000000-8063-4327-9ACC-765ED19ADFAC}"/>
            </c:ext>
          </c:extLst>
        </c:ser>
        <c:ser>
          <c:idx val="1"/>
          <c:order val="1"/>
          <c:tx>
            <c:strRef>
              <c:f>SR_cost_per_minute_forecast!$B$19</c:f>
              <c:strCache>
                <c:ptCount val="1"/>
                <c:pt idx="0">
                  <c:v>Baseline Demand</c:v>
                </c:pt>
              </c:strCache>
            </c:strRef>
          </c:tx>
          <c:spPr>
            <a:ln w="28575" cap="rnd">
              <a:solidFill>
                <a:schemeClr val="accent2"/>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SR_cost_per_minute_forecast!$C$29:$L$29</c:f>
              <c:numCache>
                <c:formatCode>_(* #,##0_);_(* \(#,##0\);_(* "-"??_);_(@_)</c:formatCode>
                <c:ptCount val="10"/>
                <c:pt idx="0">
                  <c:v>19975856.60106938</c:v>
                </c:pt>
                <c:pt idx="1">
                  <c:v>20970052.925484486</c:v>
                </c:pt>
                <c:pt idx="2">
                  <c:v>23552116.331536073</c:v>
                </c:pt>
                <c:pt idx="3">
                  <c:v>25520629.814687748</c:v>
                </c:pt>
                <c:pt idx="4">
                  <c:v>28046777.918544326</c:v>
                </c:pt>
                <c:pt idx="5">
                  <c:v>30418277.005124863</c:v>
                </c:pt>
                <c:pt idx="6">
                  <c:v>32934184.930020124</c:v>
                </c:pt>
                <c:pt idx="7">
                  <c:v>35521544.745703168</c:v>
                </c:pt>
                <c:pt idx="8">
                  <c:v>38009968.736029886</c:v>
                </c:pt>
                <c:pt idx="9">
                  <c:v>40586193.686116271</c:v>
                </c:pt>
              </c:numCache>
            </c:numRef>
          </c:val>
          <c:smooth val="0"/>
          <c:extLst>
            <c:ext xmlns:c16="http://schemas.microsoft.com/office/drawing/2014/chart" uri="{C3380CC4-5D6E-409C-BE32-E72D297353CC}">
              <c16:uniqueId val="{00000001-8063-4327-9ACC-765ED19ADFAC}"/>
            </c:ext>
          </c:extLst>
        </c:ser>
        <c:ser>
          <c:idx val="2"/>
          <c:order val="2"/>
          <c:tx>
            <c:strRef>
              <c:f>SR_cost_per_minute_forecast!$B$37</c:f>
              <c:strCache>
                <c:ptCount val="1"/>
                <c:pt idx="0">
                  <c:v>High Demand</c:v>
                </c:pt>
              </c:strCache>
            </c:strRef>
          </c:tx>
          <c:spPr>
            <a:ln w="28575" cap="rnd">
              <a:solidFill>
                <a:schemeClr val="accent3"/>
              </a:solidFill>
              <a:round/>
            </a:ln>
            <a:effectLst/>
          </c:spPr>
          <c:marker>
            <c:symbol val="none"/>
          </c:marker>
          <c:cat>
            <c:numRef>
              <c:f>SR_cost_per_minute_forecast!$C$2:$L$2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SR_cost_per_minute_forecast!$C$47:$L$47</c:f>
              <c:numCache>
                <c:formatCode>_(* #,##0_);_(* \(#,##0\);_(* "-"??_);_(@_)</c:formatCode>
                <c:ptCount val="10"/>
                <c:pt idx="0">
                  <c:v>20862023.425816216</c:v>
                </c:pt>
                <c:pt idx="1">
                  <c:v>22777833.247968033</c:v>
                </c:pt>
                <c:pt idx="2">
                  <c:v>26318020.224935889</c:v>
                </c:pt>
                <c:pt idx="3">
                  <c:v>29282259.109711505</c:v>
                </c:pt>
                <c:pt idx="4">
                  <c:v>32842855.269699618</c:v>
                </c:pt>
                <c:pt idx="5">
                  <c:v>36288675.682938941</c:v>
                </c:pt>
                <c:pt idx="6">
                  <c:v>39919959.356618866</c:v>
                </c:pt>
                <c:pt idx="7">
                  <c:v>43664961.791566849</c:v>
                </c:pt>
                <c:pt idx="8">
                  <c:v>47354539.796158463</c:v>
                </c:pt>
                <c:pt idx="9">
                  <c:v>51176707.55426199</c:v>
                </c:pt>
              </c:numCache>
            </c:numRef>
          </c:val>
          <c:smooth val="0"/>
          <c:extLst>
            <c:ext xmlns:c16="http://schemas.microsoft.com/office/drawing/2014/chart" uri="{C3380CC4-5D6E-409C-BE32-E72D297353CC}">
              <c16:uniqueId val="{00000002-8063-4327-9ACC-765ED19ADFAC}"/>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aggregate cost by scenario </a:t>
            </a:r>
            <a:r>
              <a:rPr lang="en-US" sz="1400" b="0" i="0" u="none" strike="noStrike" baseline="0">
                <a:effectLst/>
              </a:rPr>
              <a:t>(40%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SR_cost_per_minute_forecast!$B$57</c:f>
              <c:strCache>
                <c:ptCount val="1"/>
                <c:pt idx="0">
                  <c:v>Low Demand</c:v>
                </c:pt>
              </c:strCache>
            </c:strRef>
          </c:tx>
          <c:spPr>
            <a:ln w="28575" cap="rnd">
              <a:solidFill>
                <a:schemeClr val="accent1"/>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SR_cost_per_minute_forecast!$C$67:$L$67</c:f>
              <c:numCache>
                <c:formatCode>_(* #,##0_);_(* \(#,##0\);_(* "-"??_);_(@_)</c:formatCode>
                <c:ptCount val="10"/>
                <c:pt idx="0">
                  <c:v>22124641.556875218</c:v>
                </c:pt>
                <c:pt idx="1">
                  <c:v>22056791.811878886</c:v>
                </c:pt>
                <c:pt idx="2">
                  <c:v>23792816.053643625</c:v>
                </c:pt>
                <c:pt idx="3">
                  <c:v>24762940.037387144</c:v>
                </c:pt>
                <c:pt idx="4">
                  <c:v>26332052.603288963</c:v>
                </c:pt>
                <c:pt idx="5">
                  <c:v>27667623.358056739</c:v>
                </c:pt>
                <c:pt idx="6">
                  <c:v>29116979.638995975</c:v>
                </c:pt>
                <c:pt idx="7">
                  <c:v>30593389.820522591</c:v>
                </c:pt>
                <c:pt idx="8">
                  <c:v>31896410.31610775</c:v>
                </c:pt>
                <c:pt idx="9">
                  <c:v>33242198.996640485</c:v>
                </c:pt>
              </c:numCache>
            </c:numRef>
          </c:val>
          <c:smooth val="0"/>
          <c:extLst>
            <c:ext xmlns:c16="http://schemas.microsoft.com/office/drawing/2014/chart" uri="{C3380CC4-5D6E-409C-BE32-E72D297353CC}">
              <c16:uniqueId val="{00000000-A2E2-418E-B461-39DD7D25E4E3}"/>
            </c:ext>
          </c:extLst>
        </c:ser>
        <c:ser>
          <c:idx val="1"/>
          <c:order val="1"/>
          <c:tx>
            <c:strRef>
              <c:f>SR_cost_per_minute_forecast!$B$75</c:f>
              <c:strCache>
                <c:ptCount val="1"/>
                <c:pt idx="0">
                  <c:v>Baseline Demand</c:v>
                </c:pt>
              </c:strCache>
            </c:strRef>
          </c:tx>
          <c:spPr>
            <a:ln w="28575" cap="rnd">
              <a:solidFill>
                <a:schemeClr val="accent2"/>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SR_cost_per_minute_forecast!$C$85:$L$85</c:f>
              <c:numCache>
                <c:formatCode>_(* #,##0_);_(* \(#,##0\);_(* "-"??_);_(@_)</c:formatCode>
                <c:ptCount val="10"/>
                <c:pt idx="0">
                  <c:v>23305166.034580942</c:v>
                </c:pt>
                <c:pt idx="1">
                  <c:v>24465061.746398572</c:v>
                </c:pt>
                <c:pt idx="2">
                  <c:v>27477469.053458747</c:v>
                </c:pt>
                <c:pt idx="3">
                  <c:v>29774068.1171357</c:v>
                </c:pt>
                <c:pt idx="4">
                  <c:v>32721240.904968377</c:v>
                </c:pt>
                <c:pt idx="5">
                  <c:v>35487989.839312337</c:v>
                </c:pt>
                <c:pt idx="6">
                  <c:v>38423215.751690142</c:v>
                </c:pt>
                <c:pt idx="7">
                  <c:v>41441802.203320354</c:v>
                </c:pt>
                <c:pt idx="8">
                  <c:v>44344963.525368199</c:v>
                </c:pt>
                <c:pt idx="9">
                  <c:v>47350559.300468989</c:v>
                </c:pt>
              </c:numCache>
            </c:numRef>
          </c:val>
          <c:smooth val="0"/>
          <c:extLst>
            <c:ext xmlns:c16="http://schemas.microsoft.com/office/drawing/2014/chart" uri="{C3380CC4-5D6E-409C-BE32-E72D297353CC}">
              <c16:uniqueId val="{00000001-A2E2-418E-B461-39DD7D25E4E3}"/>
            </c:ext>
          </c:extLst>
        </c:ser>
        <c:ser>
          <c:idx val="2"/>
          <c:order val="2"/>
          <c:tx>
            <c:strRef>
              <c:f>SR_cost_per_minute_forecast!$B$93</c:f>
              <c:strCache>
                <c:ptCount val="1"/>
                <c:pt idx="0">
                  <c:v>High Demand</c:v>
                </c:pt>
              </c:strCache>
            </c:strRef>
          </c:tx>
          <c:spPr>
            <a:ln w="28575" cap="rnd">
              <a:solidFill>
                <a:schemeClr val="accent3"/>
              </a:solidFill>
              <a:round/>
            </a:ln>
            <a:effectLst/>
          </c:spPr>
          <c:marker>
            <c:symbol val="none"/>
          </c:marker>
          <c:cat>
            <c:numRef>
              <c:f>SR_cost_per_minute_forecast!$C$58:$L$58</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SR_cost_per_minute_forecast!$C$103:$L$103</c:f>
              <c:numCache>
                <c:formatCode>_(* #,##0_);_(* \(#,##0\);_(* "-"??_);_(@_)</c:formatCode>
                <c:ptCount val="10"/>
                <c:pt idx="0">
                  <c:v>24339027.330118917</c:v>
                </c:pt>
                <c:pt idx="1">
                  <c:v>26574138.789296035</c:v>
                </c:pt>
                <c:pt idx="2">
                  <c:v>30704356.929091871</c:v>
                </c:pt>
                <c:pt idx="3">
                  <c:v>34162635.62799675</c:v>
                </c:pt>
                <c:pt idx="4">
                  <c:v>38316664.481316216</c:v>
                </c:pt>
                <c:pt idx="5">
                  <c:v>42336788.296762094</c:v>
                </c:pt>
                <c:pt idx="6">
                  <c:v>46573285.916055344</c:v>
                </c:pt>
                <c:pt idx="7">
                  <c:v>50942455.423494659</c:v>
                </c:pt>
                <c:pt idx="8">
                  <c:v>55246963.095518202</c:v>
                </c:pt>
                <c:pt idx="9">
                  <c:v>59706158.813305661</c:v>
                </c:pt>
              </c:numCache>
            </c:numRef>
          </c:val>
          <c:smooth val="0"/>
          <c:extLst>
            <c:ext xmlns:c16="http://schemas.microsoft.com/office/drawing/2014/chart" uri="{C3380CC4-5D6E-409C-BE32-E72D297353CC}">
              <c16:uniqueId val="{00000002-A2E2-418E-B461-39DD7D25E4E3}"/>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 Total aggregate cost by scenario </a:t>
            </a:r>
            <a:r>
              <a:rPr lang="en-US" sz="1400" b="0" i="0" u="none" strike="noStrike" baseline="0">
                <a:effectLst/>
              </a:rPr>
              <a:t>(60% profit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SR_cost_per_minute_forecast!$B$113</c:f>
              <c:strCache>
                <c:ptCount val="1"/>
                <c:pt idx="0">
                  <c:v>Low Demand</c:v>
                </c:pt>
              </c:strCache>
            </c:strRef>
          </c:tx>
          <c:spPr>
            <a:ln w="28575" cap="rnd">
              <a:solidFill>
                <a:schemeClr val="accent1"/>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SR_cost_per_minute_forecast!$C$123:$L$123</c:f>
              <c:numCache>
                <c:formatCode>_(* #,##0_);_(* \(#,##0\);_(* "-"??_);_(@_)</c:formatCode>
                <c:ptCount val="10"/>
                <c:pt idx="0">
                  <c:v>25285304.636428826</c:v>
                </c:pt>
                <c:pt idx="1">
                  <c:v>25207762.070718735</c:v>
                </c:pt>
                <c:pt idx="2">
                  <c:v>27191789.775592726</c:v>
                </c:pt>
                <c:pt idx="3">
                  <c:v>28300502.899871025</c:v>
                </c:pt>
                <c:pt idx="4">
                  <c:v>30093774.40375882</c:v>
                </c:pt>
                <c:pt idx="5">
                  <c:v>31620140.98063628</c:v>
                </c:pt>
                <c:pt idx="6">
                  <c:v>33276548.158852547</c:v>
                </c:pt>
                <c:pt idx="7">
                  <c:v>34963874.080597252</c:v>
                </c:pt>
                <c:pt idx="8">
                  <c:v>36453040.361266002</c:v>
                </c:pt>
                <c:pt idx="9">
                  <c:v>37991084.567589127</c:v>
                </c:pt>
              </c:numCache>
            </c:numRef>
          </c:val>
          <c:smooth val="0"/>
          <c:extLst>
            <c:ext xmlns:c16="http://schemas.microsoft.com/office/drawing/2014/chart" uri="{C3380CC4-5D6E-409C-BE32-E72D297353CC}">
              <c16:uniqueId val="{00000000-CDBB-4BF4-A8BE-BE0CD11C7085}"/>
            </c:ext>
          </c:extLst>
        </c:ser>
        <c:ser>
          <c:idx val="1"/>
          <c:order val="1"/>
          <c:tx>
            <c:strRef>
              <c:f>SR_cost_per_minute_forecast!$B$131</c:f>
              <c:strCache>
                <c:ptCount val="1"/>
                <c:pt idx="0">
                  <c:v>Baseline Demand</c:v>
                </c:pt>
              </c:strCache>
            </c:strRef>
          </c:tx>
          <c:spPr>
            <a:ln w="28575" cap="rnd">
              <a:solidFill>
                <a:schemeClr val="accent2"/>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SR_cost_per_minute_forecast!$C$141:$L$141</c:f>
              <c:numCache>
                <c:formatCode>_(* #,##0_);_(* \(#,##0\);_(* "-"??_);_(@_)</c:formatCode>
                <c:ptCount val="10"/>
                <c:pt idx="0">
                  <c:v>26634475.468092509</c:v>
                </c:pt>
                <c:pt idx="1">
                  <c:v>27960070.567312654</c:v>
                </c:pt>
                <c:pt idx="2">
                  <c:v>31402821.775381427</c:v>
                </c:pt>
                <c:pt idx="3">
                  <c:v>34027506.419583671</c:v>
                </c:pt>
                <c:pt idx="4">
                  <c:v>37395703.891392432</c:v>
                </c:pt>
                <c:pt idx="5">
                  <c:v>40557702.673499823</c:v>
                </c:pt>
                <c:pt idx="6">
                  <c:v>43912246.573360175</c:v>
                </c:pt>
                <c:pt idx="7">
                  <c:v>47362059.660937563</c:v>
                </c:pt>
                <c:pt idx="8">
                  <c:v>50679958.314706519</c:v>
                </c:pt>
                <c:pt idx="9">
                  <c:v>54114924.914821714</c:v>
                </c:pt>
              </c:numCache>
            </c:numRef>
          </c:val>
          <c:smooth val="0"/>
          <c:extLst>
            <c:ext xmlns:c16="http://schemas.microsoft.com/office/drawing/2014/chart" uri="{C3380CC4-5D6E-409C-BE32-E72D297353CC}">
              <c16:uniqueId val="{00000001-CDBB-4BF4-A8BE-BE0CD11C7085}"/>
            </c:ext>
          </c:extLst>
        </c:ser>
        <c:ser>
          <c:idx val="2"/>
          <c:order val="2"/>
          <c:tx>
            <c:strRef>
              <c:f>SR_cost_per_minute_forecast!$B$149</c:f>
              <c:strCache>
                <c:ptCount val="1"/>
                <c:pt idx="0">
                  <c:v>High Demand</c:v>
                </c:pt>
              </c:strCache>
            </c:strRef>
          </c:tx>
          <c:spPr>
            <a:ln w="28575" cap="rnd">
              <a:solidFill>
                <a:schemeClr val="accent3"/>
              </a:solidFill>
              <a:round/>
            </a:ln>
            <a:effectLst/>
          </c:spPr>
          <c:marker>
            <c:symbol val="none"/>
          </c:marker>
          <c:cat>
            <c:numRef>
              <c:f>SR_cost_per_minute_forecast!$C$132:$L$132</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SR_cost_per_minute_forecast!$C$159:$L$159</c:f>
              <c:numCache>
                <c:formatCode>_(* #,##0_);_(* \(#,##0\);_(* "-"??_);_(@_)</c:formatCode>
                <c:ptCount val="10"/>
                <c:pt idx="0">
                  <c:v>27816031.234421626</c:v>
                </c:pt>
                <c:pt idx="1">
                  <c:v>30370444.330624055</c:v>
                </c:pt>
                <c:pt idx="2">
                  <c:v>35090693.63324786</c:v>
                </c:pt>
                <c:pt idx="3">
                  <c:v>39043012.146282002</c:v>
                </c:pt>
                <c:pt idx="4">
                  <c:v>43790473.692932822</c:v>
                </c:pt>
                <c:pt idx="5">
                  <c:v>48384900.910585262</c:v>
                </c:pt>
                <c:pt idx="6">
                  <c:v>53226612.475491837</c:v>
                </c:pt>
                <c:pt idx="7">
                  <c:v>58219949.055422463</c:v>
                </c:pt>
                <c:pt idx="8">
                  <c:v>63139386.394877955</c:v>
                </c:pt>
                <c:pt idx="9">
                  <c:v>68235610.07234934</c:v>
                </c:pt>
              </c:numCache>
            </c:numRef>
          </c:val>
          <c:smooth val="0"/>
          <c:extLst>
            <c:ext xmlns:c16="http://schemas.microsoft.com/office/drawing/2014/chart" uri="{C3380CC4-5D6E-409C-BE32-E72D297353CC}">
              <c16:uniqueId val="{00000002-CDBB-4BF4-A8BE-BE0CD11C7085}"/>
            </c:ext>
          </c:extLst>
        </c:ser>
        <c:dLbls>
          <c:showLegendKey val="0"/>
          <c:showVal val="0"/>
          <c:showCatName val="0"/>
          <c:showSerName val="0"/>
          <c:showPercent val="0"/>
          <c:showBubbleSize val="0"/>
        </c:dLbls>
        <c:smooth val="0"/>
        <c:axId val="377482960"/>
        <c:axId val="377479632"/>
      </c:lineChart>
      <c:catAx>
        <c:axId val="3774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79632"/>
        <c:crosses val="autoZero"/>
        <c:auto val="1"/>
        <c:lblAlgn val="ctr"/>
        <c:lblOffset val="100"/>
        <c:noMultiLvlLbl val="0"/>
      </c:catAx>
      <c:valAx>
        <c:axId val="3774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Cost (USD)</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8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6" Type="http://schemas.openxmlformats.org/officeDocument/2006/relationships/chart" Target="../charts/chart68.xml"/><Relationship Id="rId5" Type="http://schemas.openxmlformats.org/officeDocument/2006/relationships/chart" Target="../charts/chart67.xml"/><Relationship Id="rId4" Type="http://schemas.openxmlformats.org/officeDocument/2006/relationships/chart" Target="../charts/chart66.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76.xml"/><Relationship Id="rId3" Type="http://schemas.openxmlformats.org/officeDocument/2006/relationships/chart" Target="../charts/chart71.xml"/><Relationship Id="rId7" Type="http://schemas.openxmlformats.org/officeDocument/2006/relationships/chart" Target="../charts/chart75.xml"/><Relationship Id="rId12" Type="http://schemas.openxmlformats.org/officeDocument/2006/relationships/chart" Target="../charts/chart80.xml"/><Relationship Id="rId2" Type="http://schemas.openxmlformats.org/officeDocument/2006/relationships/chart" Target="../charts/chart70.xml"/><Relationship Id="rId1" Type="http://schemas.openxmlformats.org/officeDocument/2006/relationships/chart" Target="../charts/chart69.xml"/><Relationship Id="rId6" Type="http://schemas.openxmlformats.org/officeDocument/2006/relationships/chart" Target="../charts/chart74.xml"/><Relationship Id="rId11" Type="http://schemas.openxmlformats.org/officeDocument/2006/relationships/chart" Target="../charts/chart79.xml"/><Relationship Id="rId5" Type="http://schemas.openxmlformats.org/officeDocument/2006/relationships/chart" Target="../charts/chart73.xml"/><Relationship Id="rId10" Type="http://schemas.openxmlformats.org/officeDocument/2006/relationships/chart" Target="../charts/chart78.xml"/><Relationship Id="rId4" Type="http://schemas.openxmlformats.org/officeDocument/2006/relationships/chart" Target="../charts/chart72.xml"/><Relationship Id="rId9" Type="http://schemas.openxmlformats.org/officeDocument/2006/relationships/chart" Target="../charts/chart77.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88.xml"/><Relationship Id="rId3" Type="http://schemas.openxmlformats.org/officeDocument/2006/relationships/chart" Target="../charts/chart83.xml"/><Relationship Id="rId7" Type="http://schemas.openxmlformats.org/officeDocument/2006/relationships/chart" Target="../charts/chart87.xml"/><Relationship Id="rId12" Type="http://schemas.openxmlformats.org/officeDocument/2006/relationships/chart" Target="../charts/chart92.xml"/><Relationship Id="rId2" Type="http://schemas.openxmlformats.org/officeDocument/2006/relationships/chart" Target="../charts/chart82.xml"/><Relationship Id="rId1" Type="http://schemas.openxmlformats.org/officeDocument/2006/relationships/chart" Target="../charts/chart81.xml"/><Relationship Id="rId6" Type="http://schemas.openxmlformats.org/officeDocument/2006/relationships/chart" Target="../charts/chart86.xml"/><Relationship Id="rId11" Type="http://schemas.openxmlformats.org/officeDocument/2006/relationships/chart" Target="../charts/chart91.xml"/><Relationship Id="rId5" Type="http://schemas.openxmlformats.org/officeDocument/2006/relationships/chart" Target="../charts/chart85.xml"/><Relationship Id="rId10" Type="http://schemas.openxmlformats.org/officeDocument/2006/relationships/chart" Target="../charts/chart90.xml"/><Relationship Id="rId4" Type="http://schemas.openxmlformats.org/officeDocument/2006/relationships/chart" Target="../charts/chart84.xml"/><Relationship Id="rId9" Type="http://schemas.openxmlformats.org/officeDocument/2006/relationships/chart" Target="../charts/chart89.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00.xml"/><Relationship Id="rId3" Type="http://schemas.openxmlformats.org/officeDocument/2006/relationships/chart" Target="../charts/chart95.xml"/><Relationship Id="rId7" Type="http://schemas.openxmlformats.org/officeDocument/2006/relationships/chart" Target="../charts/chart99.xml"/><Relationship Id="rId2" Type="http://schemas.openxmlformats.org/officeDocument/2006/relationships/chart" Target="../charts/chart94.xml"/><Relationship Id="rId1" Type="http://schemas.openxmlformats.org/officeDocument/2006/relationships/chart" Target="../charts/chart93.xml"/><Relationship Id="rId6" Type="http://schemas.openxmlformats.org/officeDocument/2006/relationships/chart" Target="../charts/chart98.xml"/><Relationship Id="rId5" Type="http://schemas.openxmlformats.org/officeDocument/2006/relationships/chart" Target="../charts/chart97.xml"/><Relationship Id="rId4" Type="http://schemas.openxmlformats.org/officeDocument/2006/relationships/chart" Target="../charts/chart96.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6" Type="http://schemas.openxmlformats.org/officeDocument/2006/relationships/chart" Target="../charts/chart34.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2" Type="http://schemas.openxmlformats.org/officeDocument/2006/relationships/chart" Target="../charts/chart36.xml"/><Relationship Id="rId16" Type="http://schemas.openxmlformats.org/officeDocument/2006/relationships/chart" Target="../charts/chart50.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chart" Target="../charts/chart4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6.xml"/><Relationship Id="rId5" Type="http://schemas.openxmlformats.org/officeDocument/2006/relationships/chart" Target="../charts/chart55.xml"/><Relationship Id="rId4" Type="http://schemas.openxmlformats.org/officeDocument/2006/relationships/chart" Target="../charts/chart5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drawing1.xml><?xml version="1.0" encoding="utf-8"?>
<xdr:wsDr xmlns:xdr="http://schemas.openxmlformats.org/drawingml/2006/spreadsheetDrawing" xmlns:a="http://schemas.openxmlformats.org/drawingml/2006/main">
  <xdr:twoCellAnchor editAs="oneCell">
    <xdr:from>
      <xdr:col>0</xdr:col>
      <xdr:colOff>540812</xdr:colOff>
      <xdr:row>5</xdr:row>
      <xdr:rowOff>147470</xdr:rowOff>
    </xdr:from>
    <xdr:to>
      <xdr:col>3</xdr:col>
      <xdr:colOff>253346</xdr:colOff>
      <xdr:row>13</xdr:row>
      <xdr:rowOff>34602</xdr:rowOff>
    </xdr:to>
    <xdr:pic>
      <xdr:nvPicPr>
        <xdr:cNvPr id="4" name="Picture 3">
          <a:extLst>
            <a:ext uri="{FF2B5EF4-FFF2-40B4-BE49-F238E27FC236}">
              <a16:creationId xmlns:a16="http://schemas.microsoft.com/office/drawing/2014/main" id="{824BD08B-F7B5-47B2-A205-BB28BC10F3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812" y="1191410"/>
          <a:ext cx="1541334" cy="1289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257657</xdr:colOff>
      <xdr:row>5</xdr:row>
      <xdr:rowOff>153955</xdr:rowOff>
    </xdr:from>
    <xdr:to>
      <xdr:col>7</xdr:col>
      <xdr:colOff>289560</xdr:colOff>
      <xdr:row>12</xdr:row>
      <xdr:rowOff>153434</xdr:rowOff>
    </xdr:to>
    <xdr:pic>
      <xdr:nvPicPr>
        <xdr:cNvPr id="6" name="Picture 5">
          <a:extLst>
            <a:ext uri="{FF2B5EF4-FFF2-40B4-BE49-F238E27FC236}">
              <a16:creationId xmlns:a16="http://schemas.microsoft.com/office/drawing/2014/main" id="{852B9A8F-7EAE-47A6-A370-13C96F6BCFD6}"/>
            </a:ext>
          </a:extLst>
        </xdr:cNvPr>
        <xdr:cNvPicPr>
          <a:picLocks noChangeAspect="1"/>
        </xdr:cNvPicPr>
      </xdr:nvPicPr>
      <xdr:blipFill>
        <a:blip xmlns:r="http://schemas.openxmlformats.org/officeDocument/2006/relationships" r:embed="rId2"/>
        <a:stretch>
          <a:fillRect/>
        </a:stretch>
      </xdr:blipFill>
      <xdr:spPr>
        <a:xfrm>
          <a:off x="2086457" y="1197895"/>
          <a:ext cx="2470303" cy="12262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38575</xdr:colOff>
      <xdr:row>0</xdr:row>
      <xdr:rowOff>21924</xdr:rowOff>
    </xdr:from>
    <xdr:to>
      <xdr:col>9</xdr:col>
      <xdr:colOff>571976</xdr:colOff>
      <xdr:row>23</xdr:row>
      <xdr:rowOff>152399</xdr:rowOff>
    </xdr:to>
    <xdr:graphicFrame macro="">
      <xdr:nvGraphicFramePr>
        <xdr:cNvPr id="3" name="Chart 2">
          <a:extLst>
            <a:ext uri="{FF2B5EF4-FFF2-40B4-BE49-F238E27FC236}">
              <a16:creationId xmlns:a16="http://schemas.microsoft.com/office/drawing/2014/main" id="{85C7BD9A-DBE8-468F-8E0F-67CB82411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92363</xdr:colOff>
      <xdr:row>0</xdr:row>
      <xdr:rowOff>15347</xdr:rowOff>
    </xdr:from>
    <xdr:to>
      <xdr:col>19</xdr:col>
      <xdr:colOff>585422</xdr:colOff>
      <xdr:row>23</xdr:row>
      <xdr:rowOff>156213</xdr:rowOff>
    </xdr:to>
    <xdr:graphicFrame macro="">
      <xdr:nvGraphicFramePr>
        <xdr:cNvPr id="5" name="Chart 4">
          <a:extLst>
            <a:ext uri="{FF2B5EF4-FFF2-40B4-BE49-F238E27FC236}">
              <a16:creationId xmlns:a16="http://schemas.microsoft.com/office/drawing/2014/main" id="{FABB0582-2C99-49EA-830C-A15DE71DD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79324</xdr:colOff>
      <xdr:row>0</xdr:row>
      <xdr:rowOff>27572</xdr:rowOff>
    </xdr:from>
    <xdr:to>
      <xdr:col>30</xdr:col>
      <xdr:colOff>3125</xdr:colOff>
      <xdr:row>23</xdr:row>
      <xdr:rowOff>125084</xdr:rowOff>
    </xdr:to>
    <xdr:graphicFrame macro="">
      <xdr:nvGraphicFramePr>
        <xdr:cNvPr id="7" name="Chart 6">
          <a:extLst>
            <a:ext uri="{FF2B5EF4-FFF2-40B4-BE49-F238E27FC236}">
              <a16:creationId xmlns:a16="http://schemas.microsoft.com/office/drawing/2014/main" id="{5EE7C8D2-FBD2-4D7D-BEA1-FC1047556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63975</xdr:colOff>
      <xdr:row>24</xdr:row>
      <xdr:rowOff>120826</xdr:rowOff>
    </xdr:from>
    <xdr:to>
      <xdr:col>9</xdr:col>
      <xdr:colOff>600344</xdr:colOff>
      <xdr:row>47</xdr:row>
      <xdr:rowOff>143740</xdr:rowOff>
    </xdr:to>
    <xdr:graphicFrame macro="">
      <xdr:nvGraphicFramePr>
        <xdr:cNvPr id="9" name="Chart 8">
          <a:extLst>
            <a:ext uri="{FF2B5EF4-FFF2-40B4-BE49-F238E27FC236}">
              <a16:creationId xmlns:a16="http://schemas.microsoft.com/office/drawing/2014/main" id="{D14C86D2-920C-48A6-A1C8-31B2E360A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117763</xdr:colOff>
      <xdr:row>24</xdr:row>
      <xdr:rowOff>129790</xdr:rowOff>
    </xdr:from>
    <xdr:to>
      <xdr:col>20</xdr:col>
      <xdr:colOff>44532</xdr:colOff>
      <xdr:row>47</xdr:row>
      <xdr:rowOff>152704</xdr:rowOff>
    </xdr:to>
    <xdr:graphicFrame macro="">
      <xdr:nvGraphicFramePr>
        <xdr:cNvPr id="11" name="Chart 10">
          <a:extLst>
            <a:ext uri="{FF2B5EF4-FFF2-40B4-BE49-F238E27FC236}">
              <a16:creationId xmlns:a16="http://schemas.microsoft.com/office/drawing/2014/main" id="{A2573074-F23C-4D4A-8E9F-B12DF0277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126727</xdr:colOff>
      <xdr:row>24</xdr:row>
      <xdr:rowOff>138754</xdr:rowOff>
    </xdr:from>
    <xdr:to>
      <xdr:col>30</xdr:col>
      <xdr:colOff>53496</xdr:colOff>
      <xdr:row>47</xdr:row>
      <xdr:rowOff>154048</xdr:rowOff>
    </xdr:to>
    <xdr:graphicFrame macro="">
      <xdr:nvGraphicFramePr>
        <xdr:cNvPr id="13" name="Chart 12">
          <a:extLst>
            <a:ext uri="{FF2B5EF4-FFF2-40B4-BE49-F238E27FC236}">
              <a16:creationId xmlns:a16="http://schemas.microsoft.com/office/drawing/2014/main" id="{5F3FD58C-3D48-4998-AE36-97548555B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141513</xdr:colOff>
      <xdr:row>17</xdr:row>
      <xdr:rowOff>103440</xdr:rowOff>
    </xdr:to>
    <xdr:graphicFrame macro="">
      <xdr:nvGraphicFramePr>
        <xdr:cNvPr id="18" name="Chart 17">
          <a:extLst>
            <a:ext uri="{FF2B5EF4-FFF2-40B4-BE49-F238E27FC236}">
              <a16:creationId xmlns:a16="http://schemas.microsoft.com/office/drawing/2014/main" id="{C106E24C-CDA0-44E5-B033-1EED9F3C0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10888</xdr:colOff>
      <xdr:row>18</xdr:row>
      <xdr:rowOff>44187</xdr:rowOff>
    </xdr:from>
    <xdr:to>
      <xdr:col>10</xdr:col>
      <xdr:colOff>169222</xdr:colOff>
      <xdr:row>35</xdr:row>
      <xdr:rowOff>96166</xdr:rowOff>
    </xdr:to>
    <xdr:graphicFrame macro="">
      <xdr:nvGraphicFramePr>
        <xdr:cNvPr id="19" name="Chart 18">
          <a:extLst>
            <a:ext uri="{FF2B5EF4-FFF2-40B4-BE49-F238E27FC236}">
              <a16:creationId xmlns:a16="http://schemas.microsoft.com/office/drawing/2014/main" id="{33AA3111-7051-4A0C-8A2C-0B04588EE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9896</xdr:colOff>
      <xdr:row>36</xdr:row>
      <xdr:rowOff>75509</xdr:rowOff>
    </xdr:from>
    <xdr:to>
      <xdr:col>10</xdr:col>
      <xdr:colOff>183076</xdr:colOff>
      <xdr:row>55</xdr:row>
      <xdr:rowOff>34514</xdr:rowOff>
    </xdr:to>
    <xdr:graphicFrame macro="">
      <xdr:nvGraphicFramePr>
        <xdr:cNvPr id="24" name="Chart 23">
          <a:extLst>
            <a:ext uri="{FF2B5EF4-FFF2-40B4-BE49-F238E27FC236}">
              <a16:creationId xmlns:a16="http://schemas.microsoft.com/office/drawing/2014/main" id="{EB51A007-F1F2-4C1E-9428-9C66059D8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0</xdr:row>
      <xdr:rowOff>0</xdr:rowOff>
    </xdr:from>
    <xdr:to>
      <xdr:col>21</xdr:col>
      <xdr:colOff>141513</xdr:colOff>
      <xdr:row>17</xdr:row>
      <xdr:rowOff>103440</xdr:rowOff>
    </xdr:to>
    <xdr:graphicFrame macro="">
      <xdr:nvGraphicFramePr>
        <xdr:cNvPr id="25" name="Chart 24">
          <a:extLst>
            <a:ext uri="{FF2B5EF4-FFF2-40B4-BE49-F238E27FC236}">
              <a16:creationId xmlns:a16="http://schemas.microsoft.com/office/drawing/2014/main" id="{7CFFA827-BCFA-4319-9BB2-AAE729963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10888</xdr:colOff>
      <xdr:row>18</xdr:row>
      <xdr:rowOff>44187</xdr:rowOff>
    </xdr:from>
    <xdr:to>
      <xdr:col>21</xdr:col>
      <xdr:colOff>169222</xdr:colOff>
      <xdr:row>35</xdr:row>
      <xdr:rowOff>96166</xdr:rowOff>
    </xdr:to>
    <xdr:graphicFrame macro="">
      <xdr:nvGraphicFramePr>
        <xdr:cNvPr id="26" name="Chart 25">
          <a:extLst>
            <a:ext uri="{FF2B5EF4-FFF2-40B4-BE49-F238E27FC236}">
              <a16:creationId xmlns:a16="http://schemas.microsoft.com/office/drawing/2014/main" id="{1433B893-067D-4547-B18F-DCEB69799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9896</xdr:colOff>
      <xdr:row>36</xdr:row>
      <xdr:rowOff>75509</xdr:rowOff>
    </xdr:from>
    <xdr:to>
      <xdr:col>21</xdr:col>
      <xdr:colOff>183076</xdr:colOff>
      <xdr:row>55</xdr:row>
      <xdr:rowOff>34514</xdr:rowOff>
    </xdr:to>
    <xdr:graphicFrame macro="">
      <xdr:nvGraphicFramePr>
        <xdr:cNvPr id="27" name="Chart 26">
          <a:extLst>
            <a:ext uri="{FF2B5EF4-FFF2-40B4-BE49-F238E27FC236}">
              <a16:creationId xmlns:a16="http://schemas.microsoft.com/office/drawing/2014/main" id="{264654E7-0B73-4ED6-83F9-223B1686E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0</xdr:row>
      <xdr:rowOff>0</xdr:rowOff>
    </xdr:from>
    <xdr:to>
      <xdr:col>32</xdr:col>
      <xdr:colOff>141513</xdr:colOff>
      <xdr:row>17</xdr:row>
      <xdr:rowOff>100669</xdr:rowOff>
    </xdr:to>
    <xdr:graphicFrame macro="">
      <xdr:nvGraphicFramePr>
        <xdr:cNvPr id="28" name="Chart 27">
          <a:extLst>
            <a:ext uri="{FF2B5EF4-FFF2-40B4-BE49-F238E27FC236}">
              <a16:creationId xmlns:a16="http://schemas.microsoft.com/office/drawing/2014/main" id="{DE6A00F6-DB29-4886-9645-9B0627397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10888</xdr:colOff>
      <xdr:row>18</xdr:row>
      <xdr:rowOff>44187</xdr:rowOff>
    </xdr:from>
    <xdr:to>
      <xdr:col>32</xdr:col>
      <xdr:colOff>169222</xdr:colOff>
      <xdr:row>35</xdr:row>
      <xdr:rowOff>93395</xdr:rowOff>
    </xdr:to>
    <xdr:graphicFrame macro="">
      <xdr:nvGraphicFramePr>
        <xdr:cNvPr id="29" name="Chart 28">
          <a:extLst>
            <a:ext uri="{FF2B5EF4-FFF2-40B4-BE49-F238E27FC236}">
              <a16:creationId xmlns:a16="http://schemas.microsoft.com/office/drawing/2014/main" id="{2FCA88CD-A5D7-4E45-BFEB-2C05876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9896</xdr:colOff>
      <xdr:row>36</xdr:row>
      <xdr:rowOff>75508</xdr:rowOff>
    </xdr:from>
    <xdr:to>
      <xdr:col>32</xdr:col>
      <xdr:colOff>183076</xdr:colOff>
      <xdr:row>55</xdr:row>
      <xdr:rowOff>31743</xdr:rowOff>
    </xdr:to>
    <xdr:graphicFrame macro="">
      <xdr:nvGraphicFramePr>
        <xdr:cNvPr id="30" name="Chart 29">
          <a:extLst>
            <a:ext uri="{FF2B5EF4-FFF2-40B4-BE49-F238E27FC236}">
              <a16:creationId xmlns:a16="http://schemas.microsoft.com/office/drawing/2014/main" id="{4248ACF4-E36E-454F-BFB9-327DE2D28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0</xdr:colOff>
      <xdr:row>0</xdr:row>
      <xdr:rowOff>0</xdr:rowOff>
    </xdr:from>
    <xdr:to>
      <xdr:col>43</xdr:col>
      <xdr:colOff>141513</xdr:colOff>
      <xdr:row>17</xdr:row>
      <xdr:rowOff>100669</xdr:rowOff>
    </xdr:to>
    <xdr:graphicFrame macro="">
      <xdr:nvGraphicFramePr>
        <xdr:cNvPr id="31" name="Chart 30">
          <a:extLst>
            <a:ext uri="{FF2B5EF4-FFF2-40B4-BE49-F238E27FC236}">
              <a16:creationId xmlns:a16="http://schemas.microsoft.com/office/drawing/2014/main" id="{88C37436-D598-48F5-BFD9-4ADDDFEDA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10888</xdr:colOff>
      <xdr:row>18</xdr:row>
      <xdr:rowOff>44187</xdr:rowOff>
    </xdr:from>
    <xdr:to>
      <xdr:col>43</xdr:col>
      <xdr:colOff>169222</xdr:colOff>
      <xdr:row>35</xdr:row>
      <xdr:rowOff>93394</xdr:rowOff>
    </xdr:to>
    <xdr:graphicFrame macro="">
      <xdr:nvGraphicFramePr>
        <xdr:cNvPr id="32" name="Chart 31">
          <a:extLst>
            <a:ext uri="{FF2B5EF4-FFF2-40B4-BE49-F238E27FC236}">
              <a16:creationId xmlns:a16="http://schemas.microsoft.com/office/drawing/2014/main" id="{8B1425E9-463C-4C66-8771-EE2DFAF57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9896</xdr:colOff>
      <xdr:row>36</xdr:row>
      <xdr:rowOff>75508</xdr:rowOff>
    </xdr:from>
    <xdr:to>
      <xdr:col>43</xdr:col>
      <xdr:colOff>183076</xdr:colOff>
      <xdr:row>55</xdr:row>
      <xdr:rowOff>31743</xdr:rowOff>
    </xdr:to>
    <xdr:graphicFrame macro="">
      <xdr:nvGraphicFramePr>
        <xdr:cNvPr id="33" name="Chart 32">
          <a:extLst>
            <a:ext uri="{FF2B5EF4-FFF2-40B4-BE49-F238E27FC236}">
              <a16:creationId xmlns:a16="http://schemas.microsoft.com/office/drawing/2014/main" id="{14CBC718-2BD4-48FD-880C-9F27711A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10885</xdr:rowOff>
    </xdr:from>
    <xdr:to>
      <xdr:col>10</xdr:col>
      <xdr:colOff>141513</xdr:colOff>
      <xdr:row>16</xdr:row>
      <xdr:rowOff>142900</xdr:rowOff>
    </xdr:to>
    <xdr:graphicFrame macro="">
      <xdr:nvGraphicFramePr>
        <xdr:cNvPr id="35" name="Chart 34">
          <a:extLst>
            <a:ext uri="{FF2B5EF4-FFF2-40B4-BE49-F238E27FC236}">
              <a16:creationId xmlns:a16="http://schemas.microsoft.com/office/drawing/2014/main" id="{40022BD7-BAFC-48A2-8B43-4ECE970F3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10888</xdr:colOff>
      <xdr:row>17</xdr:row>
      <xdr:rowOff>63237</xdr:rowOff>
    </xdr:from>
    <xdr:to>
      <xdr:col>10</xdr:col>
      <xdr:colOff>169222</xdr:colOff>
      <xdr:row>33</xdr:row>
      <xdr:rowOff>143791</xdr:rowOff>
    </xdr:to>
    <xdr:graphicFrame macro="">
      <xdr:nvGraphicFramePr>
        <xdr:cNvPr id="36" name="Chart 35">
          <a:extLst>
            <a:ext uri="{FF2B5EF4-FFF2-40B4-BE49-F238E27FC236}">
              <a16:creationId xmlns:a16="http://schemas.microsoft.com/office/drawing/2014/main" id="{36513004-6B58-4F14-A885-6805C624D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9896</xdr:colOff>
      <xdr:row>34</xdr:row>
      <xdr:rowOff>113609</xdr:rowOff>
    </xdr:from>
    <xdr:to>
      <xdr:col>10</xdr:col>
      <xdr:colOff>183076</xdr:colOff>
      <xdr:row>52</xdr:row>
      <xdr:rowOff>82139</xdr:rowOff>
    </xdr:to>
    <xdr:graphicFrame macro="">
      <xdr:nvGraphicFramePr>
        <xdr:cNvPr id="37" name="Chart 36">
          <a:extLst>
            <a:ext uri="{FF2B5EF4-FFF2-40B4-BE49-F238E27FC236}">
              <a16:creationId xmlns:a16="http://schemas.microsoft.com/office/drawing/2014/main" id="{82599184-09AF-47A5-9935-D73C6401A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0</xdr:row>
      <xdr:rowOff>1</xdr:rowOff>
    </xdr:from>
    <xdr:to>
      <xdr:col>21</xdr:col>
      <xdr:colOff>141513</xdr:colOff>
      <xdr:row>16</xdr:row>
      <xdr:rowOff>152401</xdr:rowOff>
    </xdr:to>
    <xdr:graphicFrame macro="">
      <xdr:nvGraphicFramePr>
        <xdr:cNvPr id="38" name="Chart 37">
          <a:extLst>
            <a:ext uri="{FF2B5EF4-FFF2-40B4-BE49-F238E27FC236}">
              <a16:creationId xmlns:a16="http://schemas.microsoft.com/office/drawing/2014/main" id="{BE8A80B6-4A2B-42A4-95C3-50511EC72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10888</xdr:colOff>
      <xdr:row>17</xdr:row>
      <xdr:rowOff>65315</xdr:rowOff>
    </xdr:from>
    <xdr:to>
      <xdr:col>21</xdr:col>
      <xdr:colOff>169222</xdr:colOff>
      <xdr:row>33</xdr:row>
      <xdr:rowOff>152400</xdr:rowOff>
    </xdr:to>
    <xdr:graphicFrame macro="">
      <xdr:nvGraphicFramePr>
        <xdr:cNvPr id="39" name="Chart 38">
          <a:extLst>
            <a:ext uri="{FF2B5EF4-FFF2-40B4-BE49-F238E27FC236}">
              <a16:creationId xmlns:a16="http://schemas.microsoft.com/office/drawing/2014/main" id="{F53900CB-B581-4DEF-B981-361569694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597725</xdr:colOff>
      <xdr:row>34</xdr:row>
      <xdr:rowOff>124494</xdr:rowOff>
    </xdr:from>
    <xdr:to>
      <xdr:col>21</xdr:col>
      <xdr:colOff>161305</xdr:colOff>
      <xdr:row>52</xdr:row>
      <xdr:rowOff>76200</xdr:rowOff>
    </xdr:to>
    <xdr:graphicFrame macro="">
      <xdr:nvGraphicFramePr>
        <xdr:cNvPr id="40" name="Chart 39">
          <a:extLst>
            <a:ext uri="{FF2B5EF4-FFF2-40B4-BE49-F238E27FC236}">
              <a16:creationId xmlns:a16="http://schemas.microsoft.com/office/drawing/2014/main" id="{1600A46A-C136-4F1B-B7F5-7F4E27312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0</xdr:row>
      <xdr:rowOff>0</xdr:rowOff>
    </xdr:from>
    <xdr:to>
      <xdr:col>32</xdr:col>
      <xdr:colOff>141513</xdr:colOff>
      <xdr:row>17</xdr:row>
      <xdr:rowOff>31273</xdr:rowOff>
    </xdr:to>
    <xdr:graphicFrame macro="">
      <xdr:nvGraphicFramePr>
        <xdr:cNvPr id="41" name="Chart 40">
          <a:extLst>
            <a:ext uri="{FF2B5EF4-FFF2-40B4-BE49-F238E27FC236}">
              <a16:creationId xmlns:a16="http://schemas.microsoft.com/office/drawing/2014/main" id="{62CCACC2-457C-4826-8B5E-F2AD65E17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598716</xdr:colOff>
      <xdr:row>17</xdr:row>
      <xdr:rowOff>101337</xdr:rowOff>
    </xdr:from>
    <xdr:to>
      <xdr:col>32</xdr:col>
      <xdr:colOff>147450</xdr:colOff>
      <xdr:row>34</xdr:row>
      <xdr:rowOff>81148</xdr:rowOff>
    </xdr:to>
    <xdr:graphicFrame macro="">
      <xdr:nvGraphicFramePr>
        <xdr:cNvPr id="42" name="Chart 41">
          <a:extLst>
            <a:ext uri="{FF2B5EF4-FFF2-40B4-BE49-F238E27FC236}">
              <a16:creationId xmlns:a16="http://schemas.microsoft.com/office/drawing/2014/main" id="{80C2C892-39C1-424C-AFCD-29FCE4EBE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608611</xdr:colOff>
      <xdr:row>34</xdr:row>
      <xdr:rowOff>146265</xdr:rowOff>
    </xdr:from>
    <xdr:to>
      <xdr:col>32</xdr:col>
      <xdr:colOff>172191</xdr:colOff>
      <xdr:row>53</xdr:row>
      <xdr:rowOff>24939</xdr:rowOff>
    </xdr:to>
    <xdr:graphicFrame macro="">
      <xdr:nvGraphicFramePr>
        <xdr:cNvPr id="43" name="Chart 42">
          <a:extLst>
            <a:ext uri="{FF2B5EF4-FFF2-40B4-BE49-F238E27FC236}">
              <a16:creationId xmlns:a16="http://schemas.microsoft.com/office/drawing/2014/main" id="{436ED799-F158-4C0B-B98B-063FE9345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0</xdr:colOff>
      <xdr:row>0</xdr:row>
      <xdr:rowOff>0</xdr:rowOff>
    </xdr:from>
    <xdr:to>
      <xdr:col>43</xdr:col>
      <xdr:colOff>141513</xdr:colOff>
      <xdr:row>17</xdr:row>
      <xdr:rowOff>65315</xdr:rowOff>
    </xdr:to>
    <xdr:graphicFrame macro="">
      <xdr:nvGraphicFramePr>
        <xdr:cNvPr id="44" name="Chart 43">
          <a:extLst>
            <a:ext uri="{FF2B5EF4-FFF2-40B4-BE49-F238E27FC236}">
              <a16:creationId xmlns:a16="http://schemas.microsoft.com/office/drawing/2014/main" id="{FD189B22-D5AD-4D99-8A9C-0C94C4712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598717</xdr:colOff>
      <xdr:row>17</xdr:row>
      <xdr:rowOff>118754</xdr:rowOff>
    </xdr:from>
    <xdr:to>
      <xdr:col>43</xdr:col>
      <xdr:colOff>147451</xdr:colOff>
      <xdr:row>34</xdr:row>
      <xdr:rowOff>87085</xdr:rowOff>
    </xdr:to>
    <xdr:graphicFrame macro="">
      <xdr:nvGraphicFramePr>
        <xdr:cNvPr id="45" name="Chart 44">
          <a:extLst>
            <a:ext uri="{FF2B5EF4-FFF2-40B4-BE49-F238E27FC236}">
              <a16:creationId xmlns:a16="http://schemas.microsoft.com/office/drawing/2014/main" id="{01CB8B11-4CEE-4A16-9E15-555640995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32</xdr:col>
      <xdr:colOff>608610</xdr:colOff>
      <xdr:row>34</xdr:row>
      <xdr:rowOff>148442</xdr:rowOff>
    </xdr:from>
    <xdr:to>
      <xdr:col>43</xdr:col>
      <xdr:colOff>172190</xdr:colOff>
      <xdr:row>53</xdr:row>
      <xdr:rowOff>54428</xdr:rowOff>
    </xdr:to>
    <xdr:graphicFrame macro="">
      <xdr:nvGraphicFramePr>
        <xdr:cNvPr id="46" name="Chart 45">
          <a:extLst>
            <a:ext uri="{FF2B5EF4-FFF2-40B4-BE49-F238E27FC236}">
              <a16:creationId xmlns:a16="http://schemas.microsoft.com/office/drawing/2014/main" id="{9CED658A-3809-47EB-8E9C-819B6A484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450272</xdr:colOff>
      <xdr:row>18</xdr:row>
      <xdr:rowOff>75853</xdr:rowOff>
    </xdr:to>
    <xdr:graphicFrame macro="">
      <xdr:nvGraphicFramePr>
        <xdr:cNvPr id="21" name="Chart 20">
          <a:extLst>
            <a:ext uri="{FF2B5EF4-FFF2-40B4-BE49-F238E27FC236}">
              <a16:creationId xmlns:a16="http://schemas.microsoft.com/office/drawing/2014/main" id="{7ACF3686-26D2-4419-8858-86B10E924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19</xdr:col>
      <xdr:colOff>450272</xdr:colOff>
      <xdr:row>18</xdr:row>
      <xdr:rowOff>75853</xdr:rowOff>
    </xdr:to>
    <xdr:graphicFrame macro="">
      <xdr:nvGraphicFramePr>
        <xdr:cNvPr id="25" name="Chart 24">
          <a:extLst>
            <a:ext uri="{FF2B5EF4-FFF2-40B4-BE49-F238E27FC236}">
              <a16:creationId xmlns:a16="http://schemas.microsoft.com/office/drawing/2014/main" id="{62A2A69E-48AB-4F69-9644-CED47CE46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0</xdr:row>
      <xdr:rowOff>0</xdr:rowOff>
    </xdr:from>
    <xdr:to>
      <xdr:col>29</xdr:col>
      <xdr:colOff>450272</xdr:colOff>
      <xdr:row>18</xdr:row>
      <xdr:rowOff>75852</xdr:rowOff>
    </xdr:to>
    <xdr:graphicFrame macro="">
      <xdr:nvGraphicFramePr>
        <xdr:cNvPr id="26" name="Chart 25">
          <a:extLst>
            <a:ext uri="{FF2B5EF4-FFF2-40B4-BE49-F238E27FC236}">
              <a16:creationId xmlns:a16="http://schemas.microsoft.com/office/drawing/2014/main" id="{EE65D6F7-A5E9-4879-A77A-233DE3225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0</xdr:row>
      <xdr:rowOff>0</xdr:rowOff>
    </xdr:from>
    <xdr:to>
      <xdr:col>39</xdr:col>
      <xdr:colOff>450272</xdr:colOff>
      <xdr:row>18</xdr:row>
      <xdr:rowOff>75852</xdr:rowOff>
    </xdr:to>
    <xdr:graphicFrame macro="">
      <xdr:nvGraphicFramePr>
        <xdr:cNvPr id="27" name="Chart 26">
          <a:extLst>
            <a:ext uri="{FF2B5EF4-FFF2-40B4-BE49-F238E27FC236}">
              <a16:creationId xmlns:a16="http://schemas.microsoft.com/office/drawing/2014/main" id="{F62EFE9B-F221-4164-B58F-97F159738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0</xdr:rowOff>
    </xdr:from>
    <xdr:to>
      <xdr:col>9</xdr:col>
      <xdr:colOff>450272</xdr:colOff>
      <xdr:row>38</xdr:row>
      <xdr:rowOff>32038</xdr:rowOff>
    </xdr:to>
    <xdr:graphicFrame macro="">
      <xdr:nvGraphicFramePr>
        <xdr:cNvPr id="28" name="Chart 27">
          <a:extLst>
            <a:ext uri="{FF2B5EF4-FFF2-40B4-BE49-F238E27FC236}">
              <a16:creationId xmlns:a16="http://schemas.microsoft.com/office/drawing/2014/main" id="{E0215F18-9043-4745-8CC7-67E3BAB48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19</xdr:row>
      <xdr:rowOff>0</xdr:rowOff>
    </xdr:from>
    <xdr:to>
      <xdr:col>19</xdr:col>
      <xdr:colOff>450272</xdr:colOff>
      <xdr:row>38</xdr:row>
      <xdr:rowOff>32038</xdr:rowOff>
    </xdr:to>
    <xdr:graphicFrame macro="">
      <xdr:nvGraphicFramePr>
        <xdr:cNvPr id="32" name="Chart 31">
          <a:extLst>
            <a:ext uri="{FF2B5EF4-FFF2-40B4-BE49-F238E27FC236}">
              <a16:creationId xmlns:a16="http://schemas.microsoft.com/office/drawing/2014/main" id="{90060873-CB9C-432A-84AE-73D490CE2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19</xdr:row>
      <xdr:rowOff>0</xdr:rowOff>
    </xdr:from>
    <xdr:to>
      <xdr:col>29</xdr:col>
      <xdr:colOff>450272</xdr:colOff>
      <xdr:row>38</xdr:row>
      <xdr:rowOff>32037</xdr:rowOff>
    </xdr:to>
    <xdr:graphicFrame macro="">
      <xdr:nvGraphicFramePr>
        <xdr:cNvPr id="33" name="Chart 32">
          <a:extLst>
            <a:ext uri="{FF2B5EF4-FFF2-40B4-BE49-F238E27FC236}">
              <a16:creationId xmlns:a16="http://schemas.microsoft.com/office/drawing/2014/main" id="{7F812416-D606-413B-9B43-E4D8B0842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19</xdr:row>
      <xdr:rowOff>0</xdr:rowOff>
    </xdr:from>
    <xdr:to>
      <xdr:col>39</xdr:col>
      <xdr:colOff>450272</xdr:colOff>
      <xdr:row>38</xdr:row>
      <xdr:rowOff>32037</xdr:rowOff>
    </xdr:to>
    <xdr:graphicFrame macro="">
      <xdr:nvGraphicFramePr>
        <xdr:cNvPr id="34" name="Chart 33">
          <a:extLst>
            <a:ext uri="{FF2B5EF4-FFF2-40B4-BE49-F238E27FC236}">
              <a16:creationId xmlns:a16="http://schemas.microsoft.com/office/drawing/2014/main" id="{A630D0BE-045D-40E7-B82D-740158B47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34507</xdr:colOff>
      <xdr:row>6</xdr:row>
      <xdr:rowOff>2876</xdr:rowOff>
    </xdr:to>
    <xdr:pic>
      <xdr:nvPicPr>
        <xdr:cNvPr id="4" name="Picture 3">
          <a:extLst>
            <a:ext uri="{FF2B5EF4-FFF2-40B4-BE49-F238E27FC236}">
              <a16:creationId xmlns:a16="http://schemas.microsoft.com/office/drawing/2014/main" id="{63992871-862B-494F-8C73-AFEA6A4FFAD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253" b="3871"/>
        <a:stretch/>
      </xdr:blipFill>
      <xdr:spPr bwMode="auto">
        <a:xfrm>
          <a:off x="1" y="0"/>
          <a:ext cx="1253706" cy="106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376007</xdr:colOff>
      <xdr:row>0</xdr:row>
      <xdr:rowOff>11506</xdr:rowOff>
    </xdr:from>
    <xdr:to>
      <xdr:col>17</xdr:col>
      <xdr:colOff>1</xdr:colOff>
      <xdr:row>5</xdr:row>
      <xdr:rowOff>175115</xdr:rowOff>
    </xdr:to>
    <xdr:pic>
      <xdr:nvPicPr>
        <xdr:cNvPr id="6" name="Picture 5">
          <a:extLst>
            <a:ext uri="{FF2B5EF4-FFF2-40B4-BE49-F238E27FC236}">
              <a16:creationId xmlns:a16="http://schemas.microsoft.com/office/drawing/2014/main" id="{D123F857-80C1-4A7A-B725-6B77D81B180D}"/>
            </a:ext>
          </a:extLst>
        </xdr:cNvPr>
        <xdr:cNvPicPr>
          <a:picLocks noChangeAspect="1"/>
        </xdr:cNvPicPr>
      </xdr:nvPicPr>
      <xdr:blipFill rotWithShape="1">
        <a:blip xmlns:r="http://schemas.openxmlformats.org/officeDocument/2006/relationships" r:embed="rId2"/>
        <a:srcRect t="3184" r="4800"/>
        <a:stretch/>
      </xdr:blipFill>
      <xdr:spPr>
        <a:xfrm>
          <a:off x="8300807" y="11506"/>
          <a:ext cx="2062394" cy="1049254"/>
        </a:xfrm>
        <a:prstGeom prst="rect">
          <a:avLst/>
        </a:prstGeom>
      </xdr:spPr>
    </xdr:pic>
    <xdr:clientData/>
  </xdr:twoCellAnchor>
  <xdr:twoCellAnchor editAs="oneCell">
    <xdr:from>
      <xdr:col>0</xdr:col>
      <xdr:colOff>97973</xdr:colOff>
      <xdr:row>16</xdr:row>
      <xdr:rowOff>159026</xdr:rowOff>
    </xdr:from>
    <xdr:to>
      <xdr:col>16</xdr:col>
      <xdr:colOff>174166</xdr:colOff>
      <xdr:row>58</xdr:row>
      <xdr:rowOff>165193</xdr:rowOff>
    </xdr:to>
    <xdr:pic>
      <xdr:nvPicPr>
        <xdr:cNvPr id="5" name="Picture 4">
          <a:extLst>
            <a:ext uri="{FF2B5EF4-FFF2-40B4-BE49-F238E27FC236}">
              <a16:creationId xmlns:a16="http://schemas.microsoft.com/office/drawing/2014/main" id="{56AEE191-FE68-42CF-9882-E1C6DBB953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973" y="2956655"/>
          <a:ext cx="9829793" cy="7332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24</xdr:col>
      <xdr:colOff>990</xdr:colOff>
      <xdr:row>44</xdr:row>
      <xdr:rowOff>36615</xdr:rowOff>
    </xdr:from>
    <xdr:to>
      <xdr:col>33</xdr:col>
      <xdr:colOff>523504</xdr:colOff>
      <xdr:row>68</xdr:row>
      <xdr:rowOff>14845</xdr:rowOff>
    </xdr:to>
    <xdr:graphicFrame macro="">
      <xdr:nvGraphicFramePr>
        <xdr:cNvPr id="2" name="Chart 1">
          <a:extLst>
            <a:ext uri="{FF2B5EF4-FFF2-40B4-BE49-F238E27FC236}">
              <a16:creationId xmlns:a16="http://schemas.microsoft.com/office/drawing/2014/main" id="{9390EA90-C992-4FE9-B2E6-CF7223016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13855</xdr:colOff>
      <xdr:row>119</xdr:row>
      <xdr:rowOff>0</xdr:rowOff>
    </xdr:from>
    <xdr:to>
      <xdr:col>33</xdr:col>
      <xdr:colOff>536369</xdr:colOff>
      <xdr:row>145</xdr:row>
      <xdr:rowOff>190995</xdr:rowOff>
    </xdr:to>
    <xdr:graphicFrame macro="">
      <xdr:nvGraphicFramePr>
        <xdr:cNvPr id="3" name="Chart 2">
          <a:extLst>
            <a:ext uri="{FF2B5EF4-FFF2-40B4-BE49-F238E27FC236}">
              <a16:creationId xmlns:a16="http://schemas.microsoft.com/office/drawing/2014/main" id="{F15D9C3C-F507-49CE-B144-10CF03A9C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595745</xdr:colOff>
      <xdr:row>199</xdr:row>
      <xdr:rowOff>178130</xdr:rowOff>
    </xdr:from>
    <xdr:to>
      <xdr:col>33</xdr:col>
      <xdr:colOff>508659</xdr:colOff>
      <xdr:row>223</xdr:row>
      <xdr:rowOff>184068</xdr:rowOff>
    </xdr:to>
    <xdr:graphicFrame macro="">
      <xdr:nvGraphicFramePr>
        <xdr:cNvPr id="4" name="Chart 3">
          <a:extLst>
            <a:ext uri="{FF2B5EF4-FFF2-40B4-BE49-F238E27FC236}">
              <a16:creationId xmlns:a16="http://schemas.microsoft.com/office/drawing/2014/main" id="{CDD8141A-AC28-4B78-90D1-D40DA5841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588817</xdr:colOff>
      <xdr:row>70</xdr:row>
      <xdr:rowOff>152399</xdr:rowOff>
    </xdr:from>
    <xdr:to>
      <xdr:col>33</xdr:col>
      <xdr:colOff>512618</xdr:colOff>
      <xdr:row>86</xdr:row>
      <xdr:rowOff>27708</xdr:rowOff>
    </xdr:to>
    <xdr:graphicFrame macro="">
      <xdr:nvGraphicFramePr>
        <xdr:cNvPr id="5" name="Chart 4">
          <a:extLst>
            <a:ext uri="{FF2B5EF4-FFF2-40B4-BE49-F238E27FC236}">
              <a16:creationId xmlns:a16="http://schemas.microsoft.com/office/drawing/2014/main" id="{CAFEFE66-FB9C-47C2-B5F0-7EA7E3FC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6926</xdr:colOff>
      <xdr:row>148</xdr:row>
      <xdr:rowOff>124690</xdr:rowOff>
    </xdr:from>
    <xdr:to>
      <xdr:col>33</xdr:col>
      <xdr:colOff>540327</xdr:colOff>
      <xdr:row>163</xdr:row>
      <xdr:rowOff>180108</xdr:rowOff>
    </xdr:to>
    <xdr:graphicFrame macro="">
      <xdr:nvGraphicFramePr>
        <xdr:cNvPr id="6" name="Chart 5">
          <a:extLst>
            <a:ext uri="{FF2B5EF4-FFF2-40B4-BE49-F238E27FC236}">
              <a16:creationId xmlns:a16="http://schemas.microsoft.com/office/drawing/2014/main" id="{314E422B-5077-4F51-A148-EDA1F9166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227</xdr:row>
      <xdr:rowOff>180108</xdr:rowOff>
    </xdr:from>
    <xdr:to>
      <xdr:col>33</xdr:col>
      <xdr:colOff>533401</xdr:colOff>
      <xdr:row>242</xdr:row>
      <xdr:rowOff>55418</xdr:rowOff>
    </xdr:to>
    <xdr:graphicFrame macro="">
      <xdr:nvGraphicFramePr>
        <xdr:cNvPr id="7" name="Chart 6">
          <a:extLst>
            <a:ext uri="{FF2B5EF4-FFF2-40B4-BE49-F238E27FC236}">
              <a16:creationId xmlns:a16="http://schemas.microsoft.com/office/drawing/2014/main" id="{0836D621-2377-4156-9FE2-732745000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598716</xdr:colOff>
      <xdr:row>43</xdr:row>
      <xdr:rowOff>87086</xdr:rowOff>
    </xdr:from>
    <xdr:to>
      <xdr:col>32</xdr:col>
      <xdr:colOff>511630</xdr:colOff>
      <xdr:row>69</xdr:row>
      <xdr:rowOff>6928</xdr:rowOff>
    </xdr:to>
    <xdr:graphicFrame macro="">
      <xdr:nvGraphicFramePr>
        <xdr:cNvPr id="10" name="Chart 9">
          <a:extLst>
            <a:ext uri="{FF2B5EF4-FFF2-40B4-BE49-F238E27FC236}">
              <a16:creationId xmlns:a16="http://schemas.microsoft.com/office/drawing/2014/main" id="{BEFED371-B948-4558-9728-4A2F1BF50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1981</xdr:colOff>
      <xdr:row>127</xdr:row>
      <xdr:rowOff>14844</xdr:rowOff>
    </xdr:from>
    <xdr:to>
      <xdr:col>32</xdr:col>
      <xdr:colOff>524495</xdr:colOff>
      <xdr:row>154</xdr:row>
      <xdr:rowOff>167245</xdr:rowOff>
    </xdr:to>
    <xdr:graphicFrame macro="">
      <xdr:nvGraphicFramePr>
        <xdr:cNvPr id="11" name="Chart 10">
          <a:extLst>
            <a:ext uri="{FF2B5EF4-FFF2-40B4-BE49-F238E27FC236}">
              <a16:creationId xmlns:a16="http://schemas.microsoft.com/office/drawing/2014/main" id="{DB8A71E6-582B-4955-ADDC-D7C8C18DC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605642</xdr:colOff>
      <xdr:row>201</xdr:row>
      <xdr:rowOff>56408</xdr:rowOff>
    </xdr:from>
    <xdr:to>
      <xdr:col>32</xdr:col>
      <xdr:colOff>518556</xdr:colOff>
      <xdr:row>227</xdr:row>
      <xdr:rowOff>22762</xdr:rowOff>
    </xdr:to>
    <xdr:graphicFrame macro="">
      <xdr:nvGraphicFramePr>
        <xdr:cNvPr id="12" name="Chart 11">
          <a:extLst>
            <a:ext uri="{FF2B5EF4-FFF2-40B4-BE49-F238E27FC236}">
              <a16:creationId xmlns:a16="http://schemas.microsoft.com/office/drawing/2014/main" id="{0018D2FA-6617-4BFF-BD00-56699DE49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576943</xdr:colOff>
      <xdr:row>71</xdr:row>
      <xdr:rowOff>134586</xdr:rowOff>
    </xdr:from>
    <xdr:to>
      <xdr:col>32</xdr:col>
      <xdr:colOff>500744</xdr:colOff>
      <xdr:row>88</xdr:row>
      <xdr:rowOff>42552</xdr:rowOff>
    </xdr:to>
    <xdr:graphicFrame macro="">
      <xdr:nvGraphicFramePr>
        <xdr:cNvPr id="13" name="Chart 12">
          <a:extLst>
            <a:ext uri="{FF2B5EF4-FFF2-40B4-BE49-F238E27FC236}">
              <a16:creationId xmlns:a16="http://schemas.microsoft.com/office/drawing/2014/main" id="{F5133920-0C95-476B-9EB4-B84280DB8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604652</xdr:colOff>
      <xdr:row>157</xdr:row>
      <xdr:rowOff>99950</xdr:rowOff>
    </xdr:from>
    <xdr:to>
      <xdr:col>32</xdr:col>
      <xdr:colOff>528453</xdr:colOff>
      <xdr:row>175</xdr:row>
      <xdr:rowOff>95002</xdr:rowOff>
    </xdr:to>
    <xdr:graphicFrame macro="">
      <xdr:nvGraphicFramePr>
        <xdr:cNvPr id="14" name="Chart 13">
          <a:extLst>
            <a:ext uri="{FF2B5EF4-FFF2-40B4-BE49-F238E27FC236}">
              <a16:creationId xmlns:a16="http://schemas.microsoft.com/office/drawing/2014/main" id="{3761D90E-860E-445D-A5A4-F957BCF34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9897</xdr:colOff>
      <xdr:row>231</xdr:row>
      <xdr:rowOff>1979</xdr:rowOff>
    </xdr:from>
    <xdr:to>
      <xdr:col>32</xdr:col>
      <xdr:colOff>543298</xdr:colOff>
      <xdr:row>245</xdr:row>
      <xdr:rowOff>182089</xdr:rowOff>
    </xdr:to>
    <xdr:graphicFrame macro="">
      <xdr:nvGraphicFramePr>
        <xdr:cNvPr id="15" name="Chart 14">
          <a:extLst>
            <a:ext uri="{FF2B5EF4-FFF2-40B4-BE49-F238E27FC236}">
              <a16:creationId xmlns:a16="http://schemas.microsoft.com/office/drawing/2014/main" id="{238D0CCC-5F8E-4C1D-9665-01F30D631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853045</xdr:colOff>
      <xdr:row>40</xdr:row>
      <xdr:rowOff>13854</xdr:rowOff>
    </xdr:from>
    <xdr:to>
      <xdr:col>33</xdr:col>
      <xdr:colOff>475013</xdr:colOff>
      <xdr:row>63</xdr:row>
      <xdr:rowOff>144112</xdr:rowOff>
    </xdr:to>
    <xdr:graphicFrame macro="">
      <xdr:nvGraphicFramePr>
        <xdr:cNvPr id="2" name="Chart 1">
          <a:extLst>
            <a:ext uri="{FF2B5EF4-FFF2-40B4-BE49-F238E27FC236}">
              <a16:creationId xmlns:a16="http://schemas.microsoft.com/office/drawing/2014/main" id="{184122B9-83BA-4064-9FEC-62701D7A4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831272</xdr:colOff>
      <xdr:row>66</xdr:row>
      <xdr:rowOff>93393</xdr:rowOff>
    </xdr:from>
    <xdr:to>
      <xdr:col>33</xdr:col>
      <xdr:colOff>464127</xdr:colOff>
      <xdr:row>81</xdr:row>
      <xdr:rowOff>128648</xdr:rowOff>
    </xdr:to>
    <xdr:graphicFrame macro="">
      <xdr:nvGraphicFramePr>
        <xdr:cNvPr id="3" name="Chart 2">
          <a:extLst>
            <a:ext uri="{FF2B5EF4-FFF2-40B4-BE49-F238E27FC236}">
              <a16:creationId xmlns:a16="http://schemas.microsoft.com/office/drawing/2014/main" id="{8443C0B5-D2D9-4D57-856C-8BBCD0731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10887</xdr:colOff>
      <xdr:row>113</xdr:row>
      <xdr:rowOff>88074</xdr:rowOff>
    </xdr:from>
    <xdr:to>
      <xdr:col>33</xdr:col>
      <xdr:colOff>536369</xdr:colOff>
      <xdr:row>137</xdr:row>
      <xdr:rowOff>44161</xdr:rowOff>
    </xdr:to>
    <xdr:graphicFrame macro="">
      <xdr:nvGraphicFramePr>
        <xdr:cNvPr id="4" name="Chart 3">
          <a:extLst>
            <a:ext uri="{FF2B5EF4-FFF2-40B4-BE49-F238E27FC236}">
              <a16:creationId xmlns:a16="http://schemas.microsoft.com/office/drawing/2014/main" id="{14666678-6E76-4755-A795-1AD58A014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892628</xdr:colOff>
      <xdr:row>139</xdr:row>
      <xdr:rowOff>167614</xdr:rowOff>
    </xdr:from>
    <xdr:to>
      <xdr:col>33</xdr:col>
      <xdr:colOff>525483</xdr:colOff>
      <xdr:row>155</xdr:row>
      <xdr:rowOff>28697</xdr:rowOff>
    </xdr:to>
    <xdr:graphicFrame macro="">
      <xdr:nvGraphicFramePr>
        <xdr:cNvPr id="5" name="Chart 4">
          <a:extLst>
            <a:ext uri="{FF2B5EF4-FFF2-40B4-BE49-F238E27FC236}">
              <a16:creationId xmlns:a16="http://schemas.microsoft.com/office/drawing/2014/main" id="{C44679B2-35D2-46FB-8E58-80544E6B6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881744</xdr:colOff>
      <xdr:row>185</xdr:row>
      <xdr:rowOff>54428</xdr:rowOff>
    </xdr:from>
    <xdr:to>
      <xdr:col>33</xdr:col>
      <xdr:colOff>503712</xdr:colOff>
      <xdr:row>209</xdr:row>
      <xdr:rowOff>10515</xdr:rowOff>
    </xdr:to>
    <xdr:graphicFrame macro="">
      <xdr:nvGraphicFramePr>
        <xdr:cNvPr id="6" name="Chart 5">
          <a:extLst>
            <a:ext uri="{FF2B5EF4-FFF2-40B4-BE49-F238E27FC236}">
              <a16:creationId xmlns:a16="http://schemas.microsoft.com/office/drawing/2014/main" id="{F722E9C4-9832-49A5-9471-7B1E1501C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859971</xdr:colOff>
      <xdr:row>211</xdr:row>
      <xdr:rowOff>133968</xdr:rowOff>
    </xdr:from>
    <xdr:to>
      <xdr:col>33</xdr:col>
      <xdr:colOff>492826</xdr:colOff>
      <xdr:row>226</xdr:row>
      <xdr:rowOff>169223</xdr:rowOff>
    </xdr:to>
    <xdr:graphicFrame macro="">
      <xdr:nvGraphicFramePr>
        <xdr:cNvPr id="7" name="Chart 6">
          <a:extLst>
            <a:ext uri="{FF2B5EF4-FFF2-40B4-BE49-F238E27FC236}">
              <a16:creationId xmlns:a16="http://schemas.microsoft.com/office/drawing/2014/main" id="{1B850669-00C0-4654-BF05-22CAAD7B7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592778</xdr:colOff>
      <xdr:row>0</xdr:row>
      <xdr:rowOff>167243</xdr:rowOff>
    </xdr:from>
    <xdr:to>
      <xdr:col>33</xdr:col>
      <xdr:colOff>124691</xdr:colOff>
      <xdr:row>18</xdr:row>
      <xdr:rowOff>55418</xdr:rowOff>
    </xdr:to>
    <xdr:graphicFrame macro="">
      <xdr:nvGraphicFramePr>
        <xdr:cNvPr id="2" name="Chart 1">
          <a:extLst>
            <a:ext uri="{FF2B5EF4-FFF2-40B4-BE49-F238E27FC236}">
              <a16:creationId xmlns:a16="http://schemas.microsoft.com/office/drawing/2014/main" id="{A4D5BD66-C13E-4AE3-8BF6-43662B789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603666</xdr:colOff>
      <xdr:row>18</xdr:row>
      <xdr:rowOff>177140</xdr:rowOff>
    </xdr:from>
    <xdr:to>
      <xdr:col>33</xdr:col>
      <xdr:colOff>152400</xdr:colOff>
      <xdr:row>36</xdr:row>
      <xdr:rowOff>13854</xdr:rowOff>
    </xdr:to>
    <xdr:graphicFrame macro="">
      <xdr:nvGraphicFramePr>
        <xdr:cNvPr id="3" name="Chart 2">
          <a:extLst>
            <a:ext uri="{FF2B5EF4-FFF2-40B4-BE49-F238E27FC236}">
              <a16:creationId xmlns:a16="http://schemas.microsoft.com/office/drawing/2014/main" id="{9DBB3131-C857-4BE1-8E49-71400274A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602674</xdr:colOff>
      <xdr:row>36</xdr:row>
      <xdr:rowOff>174172</xdr:rowOff>
    </xdr:from>
    <xdr:to>
      <xdr:col>33</xdr:col>
      <xdr:colOff>166254</xdr:colOff>
      <xdr:row>55</xdr:row>
      <xdr:rowOff>96982</xdr:rowOff>
    </xdr:to>
    <xdr:graphicFrame macro="">
      <xdr:nvGraphicFramePr>
        <xdr:cNvPr id="4" name="Chart 3">
          <a:extLst>
            <a:ext uri="{FF2B5EF4-FFF2-40B4-BE49-F238E27FC236}">
              <a16:creationId xmlns:a16="http://schemas.microsoft.com/office/drawing/2014/main" id="{B132AA24-80BC-4F65-AFAE-CD33F4A85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592282</xdr:colOff>
      <xdr:row>18</xdr:row>
      <xdr:rowOff>69272</xdr:rowOff>
    </xdr:from>
    <xdr:to>
      <xdr:col>43</xdr:col>
      <xdr:colOff>432954</xdr:colOff>
      <xdr:row>36</xdr:row>
      <xdr:rowOff>110835</xdr:rowOff>
    </xdr:to>
    <xdr:graphicFrame macro="">
      <xdr:nvGraphicFramePr>
        <xdr:cNvPr id="8" name="Chart 7">
          <a:extLst>
            <a:ext uri="{FF2B5EF4-FFF2-40B4-BE49-F238E27FC236}">
              <a16:creationId xmlns:a16="http://schemas.microsoft.com/office/drawing/2014/main" id="{70DB4B51-1A61-482F-8015-286174378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592778</xdr:colOff>
      <xdr:row>56</xdr:row>
      <xdr:rowOff>167243</xdr:rowOff>
    </xdr:from>
    <xdr:to>
      <xdr:col>33</xdr:col>
      <xdr:colOff>124691</xdr:colOff>
      <xdr:row>74</xdr:row>
      <xdr:rowOff>55418</xdr:rowOff>
    </xdr:to>
    <xdr:graphicFrame macro="">
      <xdr:nvGraphicFramePr>
        <xdr:cNvPr id="9" name="Chart 8">
          <a:extLst>
            <a:ext uri="{FF2B5EF4-FFF2-40B4-BE49-F238E27FC236}">
              <a16:creationId xmlns:a16="http://schemas.microsoft.com/office/drawing/2014/main" id="{37960FA5-A402-444B-B244-75165D1F4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603666</xdr:colOff>
      <xdr:row>74</xdr:row>
      <xdr:rowOff>177140</xdr:rowOff>
    </xdr:from>
    <xdr:to>
      <xdr:col>33</xdr:col>
      <xdr:colOff>152400</xdr:colOff>
      <xdr:row>92</xdr:row>
      <xdr:rowOff>13854</xdr:rowOff>
    </xdr:to>
    <xdr:graphicFrame macro="">
      <xdr:nvGraphicFramePr>
        <xdr:cNvPr id="10" name="Chart 9">
          <a:extLst>
            <a:ext uri="{FF2B5EF4-FFF2-40B4-BE49-F238E27FC236}">
              <a16:creationId xmlns:a16="http://schemas.microsoft.com/office/drawing/2014/main" id="{4A1DCEB3-ECB1-4B2E-BE2A-5C5671E70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602674</xdr:colOff>
      <xdr:row>92</xdr:row>
      <xdr:rowOff>174172</xdr:rowOff>
    </xdr:from>
    <xdr:to>
      <xdr:col>33</xdr:col>
      <xdr:colOff>166254</xdr:colOff>
      <xdr:row>111</xdr:row>
      <xdr:rowOff>96982</xdr:rowOff>
    </xdr:to>
    <xdr:graphicFrame macro="">
      <xdr:nvGraphicFramePr>
        <xdr:cNvPr id="11" name="Chart 10">
          <a:extLst>
            <a:ext uri="{FF2B5EF4-FFF2-40B4-BE49-F238E27FC236}">
              <a16:creationId xmlns:a16="http://schemas.microsoft.com/office/drawing/2014/main" id="{652E4667-FAAA-4C53-9DB9-A4918C9F4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592282</xdr:colOff>
      <xdr:row>74</xdr:row>
      <xdr:rowOff>69272</xdr:rowOff>
    </xdr:from>
    <xdr:to>
      <xdr:col>43</xdr:col>
      <xdr:colOff>432954</xdr:colOff>
      <xdr:row>92</xdr:row>
      <xdr:rowOff>110835</xdr:rowOff>
    </xdr:to>
    <xdr:graphicFrame macro="">
      <xdr:nvGraphicFramePr>
        <xdr:cNvPr id="12" name="Chart 11">
          <a:extLst>
            <a:ext uri="{FF2B5EF4-FFF2-40B4-BE49-F238E27FC236}">
              <a16:creationId xmlns:a16="http://schemas.microsoft.com/office/drawing/2014/main" id="{7E1D274F-03E7-4A2D-83CA-1742DB94B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496</xdr:colOff>
      <xdr:row>113</xdr:row>
      <xdr:rowOff>989</xdr:rowOff>
    </xdr:from>
    <xdr:to>
      <xdr:col>33</xdr:col>
      <xdr:colOff>142009</xdr:colOff>
      <xdr:row>130</xdr:row>
      <xdr:rowOff>69273</xdr:rowOff>
    </xdr:to>
    <xdr:graphicFrame macro="">
      <xdr:nvGraphicFramePr>
        <xdr:cNvPr id="13" name="Chart 12">
          <a:extLst>
            <a:ext uri="{FF2B5EF4-FFF2-40B4-BE49-F238E27FC236}">
              <a16:creationId xmlns:a16="http://schemas.microsoft.com/office/drawing/2014/main" id="{AC4B7566-56CA-49CD-8216-09DE6671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11384</xdr:colOff>
      <xdr:row>131</xdr:row>
      <xdr:rowOff>10886</xdr:rowOff>
    </xdr:from>
    <xdr:to>
      <xdr:col>33</xdr:col>
      <xdr:colOff>169718</xdr:colOff>
      <xdr:row>148</xdr:row>
      <xdr:rowOff>27709</xdr:rowOff>
    </xdr:to>
    <xdr:graphicFrame macro="">
      <xdr:nvGraphicFramePr>
        <xdr:cNvPr id="14" name="Chart 13">
          <a:extLst>
            <a:ext uri="{FF2B5EF4-FFF2-40B4-BE49-F238E27FC236}">
              <a16:creationId xmlns:a16="http://schemas.microsoft.com/office/drawing/2014/main" id="{77772AE9-3BEA-4A4E-814E-7FE4A17F9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10392</xdr:colOff>
      <xdr:row>149</xdr:row>
      <xdr:rowOff>7917</xdr:rowOff>
    </xdr:from>
    <xdr:to>
      <xdr:col>33</xdr:col>
      <xdr:colOff>183572</xdr:colOff>
      <xdr:row>167</xdr:row>
      <xdr:rowOff>110837</xdr:rowOff>
    </xdr:to>
    <xdr:graphicFrame macro="">
      <xdr:nvGraphicFramePr>
        <xdr:cNvPr id="15" name="Chart 14">
          <a:extLst>
            <a:ext uri="{FF2B5EF4-FFF2-40B4-BE49-F238E27FC236}">
              <a16:creationId xmlns:a16="http://schemas.microsoft.com/office/drawing/2014/main" id="{B6E276E6-685F-4C47-99BE-3C0E9D128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596241</xdr:colOff>
      <xdr:row>169</xdr:row>
      <xdr:rowOff>14843</xdr:rowOff>
    </xdr:from>
    <xdr:to>
      <xdr:col>33</xdr:col>
      <xdr:colOff>128154</xdr:colOff>
      <xdr:row>186</xdr:row>
      <xdr:rowOff>83127</xdr:rowOff>
    </xdr:to>
    <xdr:graphicFrame macro="">
      <xdr:nvGraphicFramePr>
        <xdr:cNvPr id="16" name="Chart 15">
          <a:extLst>
            <a:ext uri="{FF2B5EF4-FFF2-40B4-BE49-F238E27FC236}">
              <a16:creationId xmlns:a16="http://schemas.microsoft.com/office/drawing/2014/main" id="{9D2FC278-4407-4D60-8AF3-C9579A684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607129</xdr:colOff>
      <xdr:row>187</xdr:row>
      <xdr:rowOff>24740</xdr:rowOff>
    </xdr:from>
    <xdr:to>
      <xdr:col>33</xdr:col>
      <xdr:colOff>155863</xdr:colOff>
      <xdr:row>204</xdr:row>
      <xdr:rowOff>41562</xdr:rowOff>
    </xdr:to>
    <xdr:graphicFrame macro="">
      <xdr:nvGraphicFramePr>
        <xdr:cNvPr id="17" name="Chart 16">
          <a:extLst>
            <a:ext uri="{FF2B5EF4-FFF2-40B4-BE49-F238E27FC236}">
              <a16:creationId xmlns:a16="http://schemas.microsoft.com/office/drawing/2014/main" id="{A6272C62-36F3-4955-ACAF-53D1C9AC5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606137</xdr:colOff>
      <xdr:row>205</xdr:row>
      <xdr:rowOff>21771</xdr:rowOff>
    </xdr:from>
    <xdr:to>
      <xdr:col>33</xdr:col>
      <xdr:colOff>169717</xdr:colOff>
      <xdr:row>223</xdr:row>
      <xdr:rowOff>124691</xdr:rowOff>
    </xdr:to>
    <xdr:graphicFrame macro="">
      <xdr:nvGraphicFramePr>
        <xdr:cNvPr id="18" name="Chart 17">
          <a:extLst>
            <a:ext uri="{FF2B5EF4-FFF2-40B4-BE49-F238E27FC236}">
              <a16:creationId xmlns:a16="http://schemas.microsoft.com/office/drawing/2014/main" id="{3F029E1A-C105-4DBC-B80B-46FDEDC02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13854</xdr:colOff>
      <xdr:row>131</xdr:row>
      <xdr:rowOff>0</xdr:rowOff>
    </xdr:from>
    <xdr:to>
      <xdr:col>43</xdr:col>
      <xdr:colOff>464126</xdr:colOff>
      <xdr:row>149</xdr:row>
      <xdr:rowOff>41562</xdr:rowOff>
    </xdr:to>
    <xdr:graphicFrame macro="">
      <xdr:nvGraphicFramePr>
        <xdr:cNvPr id="21" name="Chart 20">
          <a:extLst>
            <a:ext uri="{FF2B5EF4-FFF2-40B4-BE49-F238E27FC236}">
              <a16:creationId xmlns:a16="http://schemas.microsoft.com/office/drawing/2014/main" id="{ED4E93D0-84EA-4E6A-B41D-D50BB763F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34</xdr:col>
      <xdr:colOff>0</xdr:colOff>
      <xdr:row>187</xdr:row>
      <xdr:rowOff>0</xdr:rowOff>
    </xdr:from>
    <xdr:to>
      <xdr:col>43</xdr:col>
      <xdr:colOff>450272</xdr:colOff>
      <xdr:row>205</xdr:row>
      <xdr:rowOff>41562</xdr:rowOff>
    </xdr:to>
    <xdr:graphicFrame macro="">
      <xdr:nvGraphicFramePr>
        <xdr:cNvPr id="22" name="Chart 21">
          <a:extLst>
            <a:ext uri="{FF2B5EF4-FFF2-40B4-BE49-F238E27FC236}">
              <a16:creationId xmlns:a16="http://schemas.microsoft.com/office/drawing/2014/main" id="{535086A1-6BD9-4F79-9CA1-0FF7DC66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592778</xdr:colOff>
      <xdr:row>0</xdr:row>
      <xdr:rowOff>167243</xdr:rowOff>
    </xdr:from>
    <xdr:to>
      <xdr:col>33</xdr:col>
      <xdr:colOff>124691</xdr:colOff>
      <xdr:row>18</xdr:row>
      <xdr:rowOff>55418</xdr:rowOff>
    </xdr:to>
    <xdr:graphicFrame macro="">
      <xdr:nvGraphicFramePr>
        <xdr:cNvPr id="2" name="Chart 1">
          <a:extLst>
            <a:ext uri="{FF2B5EF4-FFF2-40B4-BE49-F238E27FC236}">
              <a16:creationId xmlns:a16="http://schemas.microsoft.com/office/drawing/2014/main" id="{E2F8788C-57FD-441D-9BD0-2DE76F8A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603666</xdr:colOff>
      <xdr:row>18</xdr:row>
      <xdr:rowOff>177140</xdr:rowOff>
    </xdr:from>
    <xdr:to>
      <xdr:col>33</xdr:col>
      <xdr:colOff>152400</xdr:colOff>
      <xdr:row>36</xdr:row>
      <xdr:rowOff>13854</xdr:rowOff>
    </xdr:to>
    <xdr:graphicFrame macro="">
      <xdr:nvGraphicFramePr>
        <xdr:cNvPr id="3" name="Chart 2">
          <a:extLst>
            <a:ext uri="{FF2B5EF4-FFF2-40B4-BE49-F238E27FC236}">
              <a16:creationId xmlns:a16="http://schemas.microsoft.com/office/drawing/2014/main" id="{C7172014-0D2B-42F0-9D4A-5EEE31FC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602674</xdr:colOff>
      <xdr:row>36</xdr:row>
      <xdr:rowOff>174172</xdr:rowOff>
    </xdr:from>
    <xdr:to>
      <xdr:col>33</xdr:col>
      <xdr:colOff>166254</xdr:colOff>
      <xdr:row>55</xdr:row>
      <xdr:rowOff>96982</xdr:rowOff>
    </xdr:to>
    <xdr:graphicFrame macro="">
      <xdr:nvGraphicFramePr>
        <xdr:cNvPr id="4" name="Chart 3">
          <a:extLst>
            <a:ext uri="{FF2B5EF4-FFF2-40B4-BE49-F238E27FC236}">
              <a16:creationId xmlns:a16="http://schemas.microsoft.com/office/drawing/2014/main" id="{106D299F-BA87-4081-8690-B5A2549AB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592282</xdr:colOff>
      <xdr:row>18</xdr:row>
      <xdr:rowOff>69272</xdr:rowOff>
    </xdr:from>
    <xdr:to>
      <xdr:col>43</xdr:col>
      <xdr:colOff>432954</xdr:colOff>
      <xdr:row>36</xdr:row>
      <xdr:rowOff>110835</xdr:rowOff>
    </xdr:to>
    <xdr:graphicFrame macro="">
      <xdr:nvGraphicFramePr>
        <xdr:cNvPr id="5" name="Chart 4">
          <a:extLst>
            <a:ext uri="{FF2B5EF4-FFF2-40B4-BE49-F238E27FC236}">
              <a16:creationId xmlns:a16="http://schemas.microsoft.com/office/drawing/2014/main" id="{5286BB93-20F4-4FE7-92BC-7DFCAA7F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592778</xdr:colOff>
      <xdr:row>56</xdr:row>
      <xdr:rowOff>167243</xdr:rowOff>
    </xdr:from>
    <xdr:to>
      <xdr:col>33</xdr:col>
      <xdr:colOff>124691</xdr:colOff>
      <xdr:row>74</xdr:row>
      <xdr:rowOff>55418</xdr:rowOff>
    </xdr:to>
    <xdr:graphicFrame macro="">
      <xdr:nvGraphicFramePr>
        <xdr:cNvPr id="6" name="Chart 5">
          <a:extLst>
            <a:ext uri="{FF2B5EF4-FFF2-40B4-BE49-F238E27FC236}">
              <a16:creationId xmlns:a16="http://schemas.microsoft.com/office/drawing/2014/main" id="{878B4E6E-D7B7-45F0-A002-61A6C535C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603666</xdr:colOff>
      <xdr:row>74</xdr:row>
      <xdr:rowOff>177140</xdr:rowOff>
    </xdr:from>
    <xdr:to>
      <xdr:col>33</xdr:col>
      <xdr:colOff>152400</xdr:colOff>
      <xdr:row>92</xdr:row>
      <xdr:rowOff>13854</xdr:rowOff>
    </xdr:to>
    <xdr:graphicFrame macro="">
      <xdr:nvGraphicFramePr>
        <xdr:cNvPr id="7" name="Chart 6">
          <a:extLst>
            <a:ext uri="{FF2B5EF4-FFF2-40B4-BE49-F238E27FC236}">
              <a16:creationId xmlns:a16="http://schemas.microsoft.com/office/drawing/2014/main" id="{2672378F-F3A0-474C-A019-AE1B2344B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602674</xdr:colOff>
      <xdr:row>92</xdr:row>
      <xdr:rowOff>174172</xdr:rowOff>
    </xdr:from>
    <xdr:to>
      <xdr:col>33</xdr:col>
      <xdr:colOff>166254</xdr:colOff>
      <xdr:row>111</xdr:row>
      <xdr:rowOff>96982</xdr:rowOff>
    </xdr:to>
    <xdr:graphicFrame macro="">
      <xdr:nvGraphicFramePr>
        <xdr:cNvPr id="8" name="Chart 7">
          <a:extLst>
            <a:ext uri="{FF2B5EF4-FFF2-40B4-BE49-F238E27FC236}">
              <a16:creationId xmlns:a16="http://schemas.microsoft.com/office/drawing/2014/main" id="{F50580D8-39FC-4F65-8790-2EF818903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592282</xdr:colOff>
      <xdr:row>74</xdr:row>
      <xdr:rowOff>69272</xdr:rowOff>
    </xdr:from>
    <xdr:to>
      <xdr:col>43</xdr:col>
      <xdr:colOff>432954</xdr:colOff>
      <xdr:row>92</xdr:row>
      <xdr:rowOff>110835</xdr:rowOff>
    </xdr:to>
    <xdr:graphicFrame macro="">
      <xdr:nvGraphicFramePr>
        <xdr:cNvPr id="9" name="Chart 8">
          <a:extLst>
            <a:ext uri="{FF2B5EF4-FFF2-40B4-BE49-F238E27FC236}">
              <a16:creationId xmlns:a16="http://schemas.microsoft.com/office/drawing/2014/main" id="{00F8CBE9-1264-42B0-9631-B77B53E8B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496</xdr:colOff>
      <xdr:row>113</xdr:row>
      <xdr:rowOff>989</xdr:rowOff>
    </xdr:from>
    <xdr:to>
      <xdr:col>33</xdr:col>
      <xdr:colOff>142009</xdr:colOff>
      <xdr:row>130</xdr:row>
      <xdr:rowOff>69273</xdr:rowOff>
    </xdr:to>
    <xdr:graphicFrame macro="">
      <xdr:nvGraphicFramePr>
        <xdr:cNvPr id="10" name="Chart 9">
          <a:extLst>
            <a:ext uri="{FF2B5EF4-FFF2-40B4-BE49-F238E27FC236}">
              <a16:creationId xmlns:a16="http://schemas.microsoft.com/office/drawing/2014/main" id="{A295ABEE-088A-4567-9FF1-A225485E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11384</xdr:colOff>
      <xdr:row>131</xdr:row>
      <xdr:rowOff>10886</xdr:rowOff>
    </xdr:from>
    <xdr:to>
      <xdr:col>33</xdr:col>
      <xdr:colOff>169718</xdr:colOff>
      <xdr:row>148</xdr:row>
      <xdr:rowOff>27709</xdr:rowOff>
    </xdr:to>
    <xdr:graphicFrame macro="">
      <xdr:nvGraphicFramePr>
        <xdr:cNvPr id="11" name="Chart 10">
          <a:extLst>
            <a:ext uri="{FF2B5EF4-FFF2-40B4-BE49-F238E27FC236}">
              <a16:creationId xmlns:a16="http://schemas.microsoft.com/office/drawing/2014/main" id="{5995614A-730B-4BBE-8519-DA9C431CF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10392</xdr:colOff>
      <xdr:row>149</xdr:row>
      <xdr:rowOff>7917</xdr:rowOff>
    </xdr:from>
    <xdr:to>
      <xdr:col>33</xdr:col>
      <xdr:colOff>183572</xdr:colOff>
      <xdr:row>167</xdr:row>
      <xdr:rowOff>110837</xdr:rowOff>
    </xdr:to>
    <xdr:graphicFrame macro="">
      <xdr:nvGraphicFramePr>
        <xdr:cNvPr id="12" name="Chart 11">
          <a:extLst>
            <a:ext uri="{FF2B5EF4-FFF2-40B4-BE49-F238E27FC236}">
              <a16:creationId xmlns:a16="http://schemas.microsoft.com/office/drawing/2014/main" id="{9CA8762B-E849-4145-9903-9DC2CBB95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596241</xdr:colOff>
      <xdr:row>169</xdr:row>
      <xdr:rowOff>14843</xdr:rowOff>
    </xdr:from>
    <xdr:to>
      <xdr:col>33</xdr:col>
      <xdr:colOff>128154</xdr:colOff>
      <xdr:row>186</xdr:row>
      <xdr:rowOff>83127</xdr:rowOff>
    </xdr:to>
    <xdr:graphicFrame macro="">
      <xdr:nvGraphicFramePr>
        <xdr:cNvPr id="13" name="Chart 12">
          <a:extLst>
            <a:ext uri="{FF2B5EF4-FFF2-40B4-BE49-F238E27FC236}">
              <a16:creationId xmlns:a16="http://schemas.microsoft.com/office/drawing/2014/main" id="{01FF0672-C9A3-4219-8ED1-8F3792416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607129</xdr:colOff>
      <xdr:row>187</xdr:row>
      <xdr:rowOff>24740</xdr:rowOff>
    </xdr:from>
    <xdr:to>
      <xdr:col>33</xdr:col>
      <xdr:colOff>155863</xdr:colOff>
      <xdr:row>204</xdr:row>
      <xdr:rowOff>41562</xdr:rowOff>
    </xdr:to>
    <xdr:graphicFrame macro="">
      <xdr:nvGraphicFramePr>
        <xdr:cNvPr id="14" name="Chart 13">
          <a:extLst>
            <a:ext uri="{FF2B5EF4-FFF2-40B4-BE49-F238E27FC236}">
              <a16:creationId xmlns:a16="http://schemas.microsoft.com/office/drawing/2014/main" id="{AAD8BCCE-62A9-428C-82C8-2B0C0825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606137</xdr:colOff>
      <xdr:row>205</xdr:row>
      <xdr:rowOff>21771</xdr:rowOff>
    </xdr:from>
    <xdr:to>
      <xdr:col>33</xdr:col>
      <xdr:colOff>169717</xdr:colOff>
      <xdr:row>223</xdr:row>
      <xdr:rowOff>124691</xdr:rowOff>
    </xdr:to>
    <xdr:graphicFrame macro="">
      <xdr:nvGraphicFramePr>
        <xdr:cNvPr id="15" name="Chart 14">
          <a:extLst>
            <a:ext uri="{FF2B5EF4-FFF2-40B4-BE49-F238E27FC236}">
              <a16:creationId xmlns:a16="http://schemas.microsoft.com/office/drawing/2014/main" id="{220F6C51-D521-4B4A-9B51-7468739FD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13854</xdr:colOff>
      <xdr:row>131</xdr:row>
      <xdr:rowOff>0</xdr:rowOff>
    </xdr:from>
    <xdr:to>
      <xdr:col>43</xdr:col>
      <xdr:colOff>464126</xdr:colOff>
      <xdr:row>149</xdr:row>
      <xdr:rowOff>41562</xdr:rowOff>
    </xdr:to>
    <xdr:graphicFrame macro="">
      <xdr:nvGraphicFramePr>
        <xdr:cNvPr id="16" name="Chart 15">
          <a:extLst>
            <a:ext uri="{FF2B5EF4-FFF2-40B4-BE49-F238E27FC236}">
              <a16:creationId xmlns:a16="http://schemas.microsoft.com/office/drawing/2014/main" id="{88C916FC-EE08-49A0-8B6A-A6DA57F44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34</xdr:col>
      <xdr:colOff>0</xdr:colOff>
      <xdr:row>187</xdr:row>
      <xdr:rowOff>0</xdr:rowOff>
    </xdr:from>
    <xdr:to>
      <xdr:col>43</xdr:col>
      <xdr:colOff>450272</xdr:colOff>
      <xdr:row>205</xdr:row>
      <xdr:rowOff>41562</xdr:rowOff>
    </xdr:to>
    <xdr:graphicFrame macro="">
      <xdr:nvGraphicFramePr>
        <xdr:cNvPr id="17" name="Chart 16">
          <a:extLst>
            <a:ext uri="{FF2B5EF4-FFF2-40B4-BE49-F238E27FC236}">
              <a16:creationId xmlns:a16="http://schemas.microsoft.com/office/drawing/2014/main" id="{AA1A90F2-8240-41BA-B835-559A9418C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144780</xdr:rowOff>
    </xdr:from>
    <xdr:to>
      <xdr:col>9</xdr:col>
      <xdr:colOff>507274</xdr:colOff>
      <xdr:row>25</xdr:row>
      <xdr:rowOff>14152</xdr:rowOff>
    </xdr:to>
    <xdr:graphicFrame macro="">
      <xdr:nvGraphicFramePr>
        <xdr:cNvPr id="2" name="Chart 1">
          <a:extLst>
            <a:ext uri="{FF2B5EF4-FFF2-40B4-BE49-F238E27FC236}">
              <a16:creationId xmlns:a16="http://schemas.microsoft.com/office/drawing/2014/main" id="{4769BE20-00A8-4B5A-AEEE-33C05E2A4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564968</xdr:colOff>
      <xdr:row>0</xdr:row>
      <xdr:rowOff>127363</xdr:rowOff>
    </xdr:from>
    <xdr:to>
      <xdr:col>19</xdr:col>
      <xdr:colOff>477882</xdr:colOff>
      <xdr:row>24</xdr:row>
      <xdr:rowOff>179615</xdr:rowOff>
    </xdr:to>
    <xdr:graphicFrame macro="">
      <xdr:nvGraphicFramePr>
        <xdr:cNvPr id="3" name="Chart 2">
          <a:extLst>
            <a:ext uri="{FF2B5EF4-FFF2-40B4-BE49-F238E27FC236}">
              <a16:creationId xmlns:a16="http://schemas.microsoft.com/office/drawing/2014/main" id="{1C8A20FF-F6F0-4FAF-9669-AC5EB8A1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542108</xdr:colOff>
      <xdr:row>0</xdr:row>
      <xdr:rowOff>120832</xdr:rowOff>
    </xdr:from>
    <xdr:to>
      <xdr:col>29</xdr:col>
      <xdr:colOff>455022</xdr:colOff>
      <xdr:row>24</xdr:row>
      <xdr:rowOff>173084</xdr:rowOff>
    </xdr:to>
    <xdr:graphicFrame macro="">
      <xdr:nvGraphicFramePr>
        <xdr:cNvPr id="4" name="Chart 3">
          <a:extLst>
            <a:ext uri="{FF2B5EF4-FFF2-40B4-BE49-F238E27FC236}">
              <a16:creationId xmlns:a16="http://schemas.microsoft.com/office/drawing/2014/main" id="{21E3B220-0D75-4FF2-924A-3F6F31F24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8965</xdr:rowOff>
    </xdr:from>
    <xdr:to>
      <xdr:col>9</xdr:col>
      <xdr:colOff>475130</xdr:colOff>
      <xdr:row>43</xdr:row>
      <xdr:rowOff>36674</xdr:rowOff>
    </xdr:to>
    <xdr:graphicFrame macro="">
      <xdr:nvGraphicFramePr>
        <xdr:cNvPr id="5" name="Chart 4">
          <a:extLst>
            <a:ext uri="{FF2B5EF4-FFF2-40B4-BE49-F238E27FC236}">
              <a16:creationId xmlns:a16="http://schemas.microsoft.com/office/drawing/2014/main" id="{4877A952-9A66-4CBB-95C0-62BEBFA4A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584642</xdr:colOff>
      <xdr:row>27</xdr:row>
      <xdr:rowOff>176931</xdr:rowOff>
    </xdr:from>
    <xdr:to>
      <xdr:col>19</xdr:col>
      <xdr:colOff>475129</xdr:colOff>
      <xdr:row>43</xdr:row>
      <xdr:rowOff>71718</xdr:rowOff>
    </xdr:to>
    <xdr:graphicFrame macro="">
      <xdr:nvGraphicFramePr>
        <xdr:cNvPr id="6" name="Chart 5">
          <a:extLst>
            <a:ext uri="{FF2B5EF4-FFF2-40B4-BE49-F238E27FC236}">
              <a16:creationId xmlns:a16="http://schemas.microsoft.com/office/drawing/2014/main" id="{6590EA32-72E4-441D-A121-90216851E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8965</xdr:colOff>
      <xdr:row>28</xdr:row>
      <xdr:rowOff>0</xdr:rowOff>
    </xdr:from>
    <xdr:to>
      <xdr:col>29</xdr:col>
      <xdr:colOff>542366</xdr:colOff>
      <xdr:row>43</xdr:row>
      <xdr:rowOff>81498</xdr:rowOff>
    </xdr:to>
    <xdr:graphicFrame macro="">
      <xdr:nvGraphicFramePr>
        <xdr:cNvPr id="8" name="Chart 7">
          <a:extLst>
            <a:ext uri="{FF2B5EF4-FFF2-40B4-BE49-F238E27FC236}">
              <a16:creationId xmlns:a16="http://schemas.microsoft.com/office/drawing/2014/main" id="{B1A60499-A74F-447F-83BD-0BF11D671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9549</xdr:colOff>
      <xdr:row>0</xdr:row>
      <xdr:rowOff>14960</xdr:rowOff>
    </xdr:from>
    <xdr:to>
      <xdr:col>9</xdr:col>
      <xdr:colOff>532063</xdr:colOff>
      <xdr:row>24</xdr:row>
      <xdr:rowOff>35510</xdr:rowOff>
    </xdr:to>
    <xdr:graphicFrame macro="">
      <xdr:nvGraphicFramePr>
        <xdr:cNvPr id="8" name="Chart 7">
          <a:extLst>
            <a:ext uri="{FF2B5EF4-FFF2-40B4-BE49-F238E27FC236}">
              <a16:creationId xmlns:a16="http://schemas.microsoft.com/office/drawing/2014/main" id="{C904AF29-D334-4C67-A1B4-0642A8897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30563</xdr:colOff>
      <xdr:row>0</xdr:row>
      <xdr:rowOff>22820</xdr:rowOff>
    </xdr:from>
    <xdr:to>
      <xdr:col>19</xdr:col>
      <xdr:colOff>553077</xdr:colOff>
      <xdr:row>24</xdr:row>
      <xdr:rowOff>31784</xdr:rowOff>
    </xdr:to>
    <xdr:graphicFrame macro="">
      <xdr:nvGraphicFramePr>
        <xdr:cNvPr id="14" name="Chart 13">
          <a:extLst>
            <a:ext uri="{FF2B5EF4-FFF2-40B4-BE49-F238E27FC236}">
              <a16:creationId xmlns:a16="http://schemas.microsoft.com/office/drawing/2014/main" id="{279C3005-605A-4A54-B130-62E79B731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32599</xdr:colOff>
      <xdr:row>0</xdr:row>
      <xdr:rowOff>13856</xdr:rowOff>
    </xdr:from>
    <xdr:to>
      <xdr:col>29</xdr:col>
      <xdr:colOff>555113</xdr:colOff>
      <xdr:row>24</xdr:row>
      <xdr:rowOff>4076</xdr:rowOff>
    </xdr:to>
    <xdr:graphicFrame macro="">
      <xdr:nvGraphicFramePr>
        <xdr:cNvPr id="16" name="Chart 15">
          <a:extLst>
            <a:ext uri="{FF2B5EF4-FFF2-40B4-BE49-F238E27FC236}">
              <a16:creationId xmlns:a16="http://schemas.microsoft.com/office/drawing/2014/main" id="{C99192F4-D590-45BB-B74E-F9644A834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42420</xdr:colOff>
      <xdr:row>24</xdr:row>
      <xdr:rowOff>166255</xdr:rowOff>
    </xdr:from>
    <xdr:to>
      <xdr:col>9</xdr:col>
      <xdr:colOff>567902</xdr:colOff>
      <xdr:row>48</xdr:row>
      <xdr:rowOff>22662</xdr:rowOff>
    </xdr:to>
    <xdr:graphicFrame macro="">
      <xdr:nvGraphicFramePr>
        <xdr:cNvPr id="9" name="Chart 8">
          <a:extLst>
            <a:ext uri="{FF2B5EF4-FFF2-40B4-BE49-F238E27FC236}">
              <a16:creationId xmlns:a16="http://schemas.microsoft.com/office/drawing/2014/main" id="{E21C7582-184E-4A35-BA23-677E7A56F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105172</xdr:colOff>
      <xdr:row>24</xdr:row>
      <xdr:rowOff>166255</xdr:rowOff>
    </xdr:from>
    <xdr:to>
      <xdr:col>20</xdr:col>
      <xdr:colOff>21054</xdr:colOff>
      <xdr:row>48</xdr:row>
      <xdr:rowOff>22662</xdr:rowOff>
    </xdr:to>
    <xdr:graphicFrame macro="">
      <xdr:nvGraphicFramePr>
        <xdr:cNvPr id="20" name="Chart 19">
          <a:extLst>
            <a:ext uri="{FF2B5EF4-FFF2-40B4-BE49-F238E27FC236}">
              <a16:creationId xmlns:a16="http://schemas.microsoft.com/office/drawing/2014/main" id="{8DEF09E5-9474-4C29-AA1A-93FA7768C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105173</xdr:colOff>
      <xdr:row>24</xdr:row>
      <xdr:rowOff>175220</xdr:rowOff>
    </xdr:from>
    <xdr:to>
      <xdr:col>30</xdr:col>
      <xdr:colOff>21055</xdr:colOff>
      <xdr:row>48</xdr:row>
      <xdr:rowOff>31627</xdr:rowOff>
    </xdr:to>
    <xdr:graphicFrame macro="">
      <xdr:nvGraphicFramePr>
        <xdr:cNvPr id="22" name="Chart 21">
          <a:extLst>
            <a:ext uri="{FF2B5EF4-FFF2-40B4-BE49-F238E27FC236}">
              <a16:creationId xmlns:a16="http://schemas.microsoft.com/office/drawing/2014/main" id="{5D55AEAE-1966-4E00-8E16-6057A1D78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212121"/>
  </sheetPr>
  <dimension ref="A1:AZ1003"/>
  <sheetViews>
    <sheetView showGridLines="0" tabSelected="1" zoomScaleNormal="100" workbookViewId="0">
      <selection activeCell="D20" sqref="D20"/>
    </sheetView>
  </sheetViews>
  <sheetFormatPr defaultColWidth="8.88671875" defaultRowHeight="13.8" x14ac:dyDescent="0.25"/>
  <cols>
    <col min="1" max="16384" width="8.88671875" style="3"/>
  </cols>
  <sheetData>
    <row r="1" spans="1:52" s="7" customFormat="1" ht="16.5" customHeight="1"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row>
    <row r="2" spans="1:52" s="9" customFormat="1" ht="14.2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spans="1:52"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52" ht="24.6" x14ac:dyDescent="0.4">
      <c r="A4" s="2"/>
      <c r="B4" s="10" t="s">
        <v>20</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2" x14ac:dyDescent="0.25">
      <c r="A5" s="2"/>
      <c r="B5" s="2" t="s">
        <v>13</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2"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2" x14ac:dyDescent="0.25">
      <c r="A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2"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2"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2" x14ac:dyDescent="0.25">
      <c r="A10" s="2"/>
      <c r="B10" s="2"/>
      <c r="C10" s="2"/>
      <c r="D10" s="2"/>
      <c r="E10" s="2"/>
      <c r="F10" s="2"/>
      <c r="G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x14ac:dyDescent="0.25">
      <c r="A15" s="2"/>
      <c r="B15" s="2" t="s">
        <v>12</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x14ac:dyDescent="0.25">
      <c r="A16" s="2"/>
      <c r="B16" s="11" t="str">
        <f>HYPERLINK("https://github.com/edwardoughton/ascend")</f>
        <v>https://github.com/edwardoughton/ascend</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x14ac:dyDescent="0.25">
      <c r="A18" s="2"/>
      <c r="B18" s="4" t="s">
        <v>0</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x14ac:dyDescent="0.25">
      <c r="A19" s="2"/>
      <c r="B19" s="2" t="s">
        <v>15</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x14ac:dyDescent="0.25">
      <c r="A20" s="2"/>
      <c r="B20" s="2" t="s">
        <v>14</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x14ac:dyDescent="0.25">
      <c r="A21" s="2"/>
      <c r="B21" s="5" t="s">
        <v>16</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x14ac:dyDescent="0.25">
      <c r="A22" s="2"/>
      <c r="B22" s="5" t="s">
        <v>17</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x14ac:dyDescent="0.25">
      <c r="A23" s="2"/>
      <c r="B23" s="5" t="s">
        <v>18</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x14ac:dyDescent="0.25">
      <c r="A25" s="2"/>
      <c r="B25" s="4" t="s">
        <v>19</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x14ac:dyDescent="0.25">
      <c r="A26" s="2"/>
      <c r="B26" s="2" t="s">
        <v>21</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x14ac:dyDescent="0.25">
      <c r="A27" s="2"/>
      <c r="B27" s="2" t="s">
        <v>22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x14ac:dyDescent="0.25">
      <c r="A28" s="2"/>
      <c r="B28" s="2" t="s">
        <v>23</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x14ac:dyDescent="0.25">
      <c r="A29" s="2"/>
      <c r="B29" s="5"/>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x14ac:dyDescent="0.25">
      <c r="A30" s="2"/>
      <c r="B30" s="4" t="s">
        <v>1</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x14ac:dyDescent="0.25">
      <c r="A31" s="2"/>
      <c r="B31" s="2" t="s">
        <v>24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x14ac:dyDescent="0.25">
      <c r="A33" s="2"/>
      <c r="B33" s="4" t="s">
        <v>2</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x14ac:dyDescent="0.25">
      <c r="A34" s="2"/>
      <c r="B34" s="2" t="s">
        <v>25</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sheetData>
  <pageMargins left="0.75" right="0.75" top="1" bottom="1" header="0.5" footer="0.5"/>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9DC0C-B41A-45B2-A140-C306D3971347}">
  <sheetPr codeName="Sheet9">
    <tabColor rgb="FFFFFF00"/>
  </sheetPr>
  <dimension ref="A1:W60"/>
  <sheetViews>
    <sheetView zoomScaleNormal="100" workbookViewId="0">
      <selection activeCell="E28" sqref="E28"/>
    </sheetView>
  </sheetViews>
  <sheetFormatPr defaultRowHeight="14.4" x14ac:dyDescent="0.3"/>
  <cols>
    <col min="1" max="1" width="18.33203125" style="49" customWidth="1"/>
    <col min="2" max="2" width="53.88671875" style="49" customWidth="1"/>
    <col min="3" max="3" width="8.88671875" style="49"/>
    <col min="4" max="23" width="9.44140625" style="73" customWidth="1"/>
    <col min="24" max="16384" width="8.88671875" style="49"/>
  </cols>
  <sheetData>
    <row r="1" spans="1:23" s="12" customFormat="1" ht="13.8" x14ac:dyDescent="0.25">
      <c r="A1" s="44" t="s">
        <v>32</v>
      </c>
      <c r="B1" s="44" t="s">
        <v>102</v>
      </c>
      <c r="C1" s="45" t="s">
        <v>88</v>
      </c>
      <c r="D1" s="97">
        <v>2021</v>
      </c>
      <c r="E1" s="98">
        <v>2022</v>
      </c>
      <c r="F1" s="97">
        <v>2023</v>
      </c>
      <c r="G1" s="98">
        <v>2024</v>
      </c>
      <c r="H1" s="97">
        <v>2025</v>
      </c>
      <c r="I1" s="98">
        <v>2026</v>
      </c>
      <c r="J1" s="97">
        <v>2027</v>
      </c>
      <c r="K1" s="98">
        <v>2028</v>
      </c>
      <c r="L1" s="97">
        <v>2029</v>
      </c>
      <c r="M1" s="98">
        <v>2030</v>
      </c>
      <c r="N1" s="97">
        <v>2031</v>
      </c>
      <c r="O1" s="98">
        <v>2032</v>
      </c>
      <c r="P1" s="97">
        <v>2033</v>
      </c>
      <c r="Q1" s="98">
        <v>2034</v>
      </c>
      <c r="R1" s="97">
        <v>2035</v>
      </c>
      <c r="S1" s="98">
        <v>2036</v>
      </c>
      <c r="T1" s="97">
        <v>2037</v>
      </c>
      <c r="U1" s="98">
        <v>2038</v>
      </c>
      <c r="V1" s="97">
        <v>2039</v>
      </c>
      <c r="W1" s="98">
        <v>2040</v>
      </c>
    </row>
    <row r="2" spans="1:23" x14ac:dyDescent="0.3">
      <c r="A2" s="46" t="s">
        <v>63</v>
      </c>
      <c r="B2" s="47" t="s">
        <v>57</v>
      </c>
      <c r="C2" s="48"/>
      <c r="D2" s="128">
        <f>IFERROR(IF(ISBLANK(Current_DTE!D2),INDEX(Minutes_by_use_case!$B$2:$B$9,MATCH($B2,Minutes_by_use_case!$A$2:$A$9,0)),Current_DTE!D2),"-")</f>
        <v>133409.35004928565</v>
      </c>
      <c r="E2" s="128">
        <f>IFERROR(IF(ISBLANK(Current_DTE!E2),INDEX(Minutes_by_use_case!$B$2:$B$9,MATCH($B2,Minutes_by_use_case!$A$2:$A$9,0)),Current_DTE!E2),"-")</f>
        <v>133409.35004928565</v>
      </c>
      <c r="F2" s="128">
        <f>IFERROR(IF(ISBLANK(Current_DTE!F2),INDEX(Minutes_by_use_case!$B$2:$B$9,MATCH($B2,Minutes_by_use_case!$A$2:$A$9,0)),Current_DTE!F2),"-")</f>
        <v>133409.35004928565</v>
      </c>
      <c r="G2" s="128">
        <f>IFERROR(IF(ISBLANK(Current_DTE!G2),INDEX(Minutes_by_use_case!$B$2:$B$9,MATCH($B2,Minutes_by_use_case!$A$2:$A$9,0)),Current_DTE!G2),"-")</f>
        <v>133409.35004928565</v>
      </c>
      <c r="H2" s="128">
        <f>IFERROR(IF(ISBLANK(Current_DTE!H2),INDEX(Minutes_by_use_case!$B$2:$B$9,MATCH($B2,Minutes_by_use_case!$A$2:$A$9,0)),Current_DTE!H2),"-")</f>
        <v>133409.35004928565</v>
      </c>
      <c r="I2" s="128">
        <f>IFERROR(IF(ISBLANK(Current_DTE!I2),INDEX(Minutes_by_use_case!$B$2:$B$9,MATCH($B2,Minutes_by_use_case!$A$2:$A$9,0)),Current_DTE!I2),"-")</f>
        <v>133409.35004928565</v>
      </c>
      <c r="J2" s="128">
        <f>IFERROR(IF(ISBLANK(Current_DTE!J2),INDEX(Minutes_by_use_case!$B$2:$B$9,MATCH($B2,Minutes_by_use_case!$A$2:$A$9,0)),Current_DTE!J2),"-")</f>
        <v>133409.35004928565</v>
      </c>
      <c r="K2" s="128">
        <f>IFERROR(IF(ISBLANK(Current_DTE!K2),INDEX(Minutes_by_use_case!$B$2:$B$9,MATCH($B2,Minutes_by_use_case!$A$2:$A$9,0)),Current_DTE!K2),"-")</f>
        <v>133409.35004928565</v>
      </c>
      <c r="L2" s="128">
        <f>IFERROR(IF(ISBLANK(Current_DTE!L2),INDEX(Minutes_by_use_case!$B$2:$B$9,MATCH($B2,Minutes_by_use_case!$A$2:$A$9,0)),Current_DTE!L2),"-")</f>
        <v>133409.35004928565</v>
      </c>
      <c r="M2" s="128">
        <f>IFERROR(IF(ISBLANK(Current_DTE!M2),INDEX(Minutes_by_use_case!$B$2:$B$9,MATCH($B2,Minutes_by_use_case!$A$2:$A$9,0)),Current_DTE!M2),"-")</f>
        <v>133409.35004928565</v>
      </c>
      <c r="N2" s="128">
        <f>IFERROR(IF(ISBLANK(Current_DTE!N2),INDEX(Minutes_by_use_case!$B$2:$B$9,MATCH($B2,Minutes_by_use_case!$A$2:$A$9,0)),Current_DTE!N2),"-")</f>
        <v>133409.35004928565</v>
      </c>
      <c r="O2" s="128">
        <f>IFERROR(IF(ISBLANK(Current_DTE!O2),INDEX(Minutes_by_use_case!$B$2:$B$9,MATCH($B2,Minutes_by_use_case!$A$2:$A$9,0)),Current_DTE!O2),"-")</f>
        <v>133409.35004928565</v>
      </c>
      <c r="P2" s="128">
        <f>IFERROR(IF(ISBLANK(Current_DTE!P2),INDEX(Minutes_by_use_case!$B$2:$B$9,MATCH($B2,Minutes_by_use_case!$A$2:$A$9,0)),Current_DTE!P2),"-")</f>
        <v>133409.35004928565</v>
      </c>
      <c r="Q2" s="128">
        <f>IFERROR(IF(ISBLANK(Current_DTE!Q2),INDEX(Minutes_by_use_case!$B$2:$B$9,MATCH($B2,Minutes_by_use_case!$A$2:$A$9,0)),Current_DTE!Q2),"-")</f>
        <v>133409.35004928565</v>
      </c>
      <c r="R2" s="128">
        <f>IFERROR(IF(ISBLANK(Current_DTE!R2),INDEX(Minutes_by_use_case!$B$2:$B$9,MATCH($B2,Minutes_by_use_case!$A$2:$A$9,0)),Current_DTE!R2),"-")</f>
        <v>133409.35004928565</v>
      </c>
      <c r="S2" s="128">
        <f>IFERROR(IF(ISBLANK(Current_DTE!S2),INDEX(Minutes_by_use_case!$B$2:$B$9,MATCH($B2,Minutes_by_use_case!$A$2:$A$9,0)),Current_DTE!S2),"-")</f>
        <v>133409.35004928565</v>
      </c>
      <c r="T2" s="128">
        <f>IFERROR(IF(ISBLANK(Current_DTE!T2),INDEX(Minutes_by_use_case!$B$2:$B$9,MATCH($B2,Minutes_by_use_case!$A$2:$A$9,0)),Current_DTE!T2),"-")</f>
        <v>133409.35004928565</v>
      </c>
      <c r="U2" s="128">
        <f>IFERROR(IF(ISBLANK(Current_DTE!U2),INDEX(Minutes_by_use_case!$B$2:$B$9,MATCH($B2,Minutes_by_use_case!$A$2:$A$9,0)),Current_DTE!U2),"-")</f>
        <v>133409.35004928565</v>
      </c>
      <c r="V2" s="128">
        <f>IFERROR(IF(ISBLANK(Current_DTE!V2),INDEX(Minutes_by_use_case!$B$2:$B$9,MATCH($B2,Minutes_by_use_case!$A$2:$A$9,0)),Current_DTE!V2),"-")</f>
        <v>133409.35004928565</v>
      </c>
      <c r="W2" s="128">
        <f>IFERROR(IF(ISBLANK(Current_DTE!W2),INDEX(Minutes_by_use_case!$B$2:$B$9,MATCH($B2,Minutes_by_use_case!$A$2:$A$9,0)),Current_DTE!W2),"-")</f>
        <v>133409.35004928565</v>
      </c>
    </row>
    <row r="3" spans="1:23" x14ac:dyDescent="0.3">
      <c r="A3" s="46" t="s">
        <v>33</v>
      </c>
      <c r="B3" s="47" t="s">
        <v>57</v>
      </c>
      <c r="C3" s="48" t="s">
        <v>89</v>
      </c>
      <c r="D3" s="128">
        <f>IFERROR(IF(ISBLANK(Current_DTE!D3),INDEX(Minutes_by_use_case!$B$2:$B$9,MATCH($B3,Minutes_by_use_case!$A$2:$A$9,0)),Current_DTE!D3),"-")</f>
        <v>2249.4702694444441</v>
      </c>
      <c r="E3" s="128">
        <f>IFERROR(IF(ISBLANK(Current_DTE!E3),INDEX(Minutes_by_use_case!$B$2:$B$9,MATCH($B3,Minutes_by_use_case!$A$2:$A$9,0)),Current_DTE!E3),"-")</f>
        <v>1189.7750000000001</v>
      </c>
      <c r="F3" s="128">
        <f>IFERROR(IF(ISBLANK(Current_DTE!F3),INDEX(Minutes_by_use_case!$B$2:$B$9,MATCH($B3,Minutes_by_use_case!$A$2:$A$9,0)),Current_DTE!F3),"-")</f>
        <v>649.57638888888891</v>
      </c>
      <c r="G3" s="128">
        <f>IFERROR(IF(ISBLANK(Current_DTE!G3),INDEX(Minutes_by_use_case!$B$2:$B$9,MATCH($B3,Minutes_by_use_case!$A$2:$A$9,0)),Current_DTE!G3),"-")</f>
        <v>1663.1641649999997</v>
      </c>
      <c r="H3" s="128">
        <f>IFERROR(IF(ISBLANK(Current_DTE!H3),INDEX(Minutes_by_use_case!$B$2:$B$9,MATCH($B3,Minutes_by_use_case!$A$2:$A$9,0)),Current_DTE!H3),"-")</f>
        <v>1663.1641649999997</v>
      </c>
      <c r="I3" s="128">
        <f>IFERROR(IF(ISBLANK(Current_DTE!I3),INDEX(Minutes_by_use_case!$B$2:$B$9,MATCH($B3,Minutes_by_use_case!$A$2:$A$9,0)),Current_DTE!I3),"-")</f>
        <v>1663.1641649999997</v>
      </c>
      <c r="J3" s="128">
        <f>IFERROR(IF(ISBLANK(Current_DTE!J3),INDEX(Minutes_by_use_case!$B$2:$B$9,MATCH($B3,Minutes_by_use_case!$A$2:$A$9,0)),Current_DTE!J3),"-")</f>
        <v>1663.1641649999997</v>
      </c>
      <c r="K3" s="128">
        <f>IFERROR(IF(ISBLANK(Current_DTE!K3),INDEX(Minutes_by_use_case!$B$2:$B$9,MATCH($B3,Minutes_by_use_case!$A$2:$A$9,0)),Current_DTE!K3),"-")</f>
        <v>1663.1641649999997</v>
      </c>
      <c r="L3" s="128">
        <f>IFERROR(IF(ISBLANK(Current_DTE!L3),INDEX(Minutes_by_use_case!$B$2:$B$9,MATCH($B3,Minutes_by_use_case!$A$2:$A$9,0)),Current_DTE!L3),"-")</f>
        <v>1663.1641649999997</v>
      </c>
      <c r="M3" s="128">
        <f>IFERROR(IF(ISBLANK(Current_DTE!M3),INDEX(Minutes_by_use_case!$B$2:$B$9,MATCH($B3,Minutes_by_use_case!$A$2:$A$9,0)),Current_DTE!M3),"-")</f>
        <v>1663.1641649999997</v>
      </c>
      <c r="N3" s="128">
        <f>IFERROR(IF(ISBLANK(Current_DTE!N3),INDEX(Minutes_by_use_case!$B$2:$B$9,MATCH($B3,Minutes_by_use_case!$A$2:$A$9,0)),Current_DTE!N3),"-")</f>
        <v>1663.1641649999997</v>
      </c>
      <c r="O3" s="128">
        <f>IFERROR(IF(ISBLANK(Current_DTE!O3),INDEX(Minutes_by_use_case!$B$2:$B$9,MATCH($B3,Minutes_by_use_case!$A$2:$A$9,0)),Current_DTE!O3),"-")</f>
        <v>1663.1641649999997</v>
      </c>
      <c r="P3" s="128">
        <f>IFERROR(IF(ISBLANK(Current_DTE!P3),INDEX(Minutes_by_use_case!$B$2:$B$9,MATCH($B3,Minutes_by_use_case!$A$2:$A$9,0)),Current_DTE!P3),"-")</f>
        <v>1663.1641649999997</v>
      </c>
      <c r="Q3" s="128">
        <f>IFERROR(IF(ISBLANK(Current_DTE!Q3),INDEX(Minutes_by_use_case!$B$2:$B$9,MATCH($B3,Minutes_by_use_case!$A$2:$A$9,0)),Current_DTE!Q3),"-")</f>
        <v>1663.1641649999997</v>
      </c>
      <c r="R3" s="128">
        <f>IFERROR(IF(ISBLANK(Current_DTE!R3),INDEX(Minutes_by_use_case!$B$2:$B$9,MATCH($B3,Minutes_by_use_case!$A$2:$A$9,0)),Current_DTE!R3),"-")</f>
        <v>1663.1641649999997</v>
      </c>
      <c r="S3" s="128">
        <f>IFERROR(IF(ISBLANK(Current_DTE!S3),INDEX(Minutes_by_use_case!$B$2:$B$9,MATCH($B3,Minutes_by_use_case!$A$2:$A$9,0)),Current_DTE!S3),"-")</f>
        <v>1663.1641649999997</v>
      </c>
      <c r="T3" s="128">
        <f>IFERROR(IF(ISBLANK(Current_DTE!T3),INDEX(Minutes_by_use_case!$B$2:$B$9,MATCH($B3,Minutes_by_use_case!$A$2:$A$9,0)),Current_DTE!T3),"-")</f>
        <v>1663.1641649999997</v>
      </c>
      <c r="U3" s="128">
        <f>IFERROR(IF(ISBLANK(Current_DTE!U3),INDEX(Minutes_by_use_case!$B$2:$B$9,MATCH($B3,Minutes_by_use_case!$A$2:$A$9,0)),Current_DTE!U3),"-")</f>
        <v>1663.1641649999997</v>
      </c>
      <c r="V3" s="128">
        <f>IFERROR(IF(ISBLANK(Current_DTE!V3),INDEX(Minutes_by_use_case!$B$2:$B$9,MATCH($B3,Minutes_by_use_case!$A$2:$A$9,0)),Current_DTE!V3),"-")</f>
        <v>1663.1641649999997</v>
      </c>
      <c r="W3" s="128">
        <f>IFERROR(IF(ISBLANK(Current_DTE!W3),INDEX(Minutes_by_use_case!$B$2:$B$9,MATCH($B3,Minutes_by_use_case!$A$2:$A$9,0)),Current_DTE!W3),"-")</f>
        <v>1663.1641649999997</v>
      </c>
    </row>
    <row r="4" spans="1:23" x14ac:dyDescent="0.3">
      <c r="A4" s="46" t="s">
        <v>65</v>
      </c>
      <c r="B4" s="47" t="s">
        <v>57</v>
      </c>
      <c r="C4" s="48" t="s">
        <v>89</v>
      </c>
      <c r="D4" s="128">
        <f>IFERROR(IF(ISBLANK(Current_DTE!D4),INDEX(Minutes_by_use_case!$B$2:$B$9,MATCH($B4,Minutes_by_use_case!$A$2:$A$9,0)),Current_DTE!D4),"-")</f>
        <v>1151.5091666666667</v>
      </c>
      <c r="E4" s="128">
        <f>IFERROR(IF(ISBLANK(Current_DTE!E4),INDEX(Minutes_by_use_case!$B$2:$B$9,MATCH($B4,Minutes_by_use_case!$A$2:$A$9,0)),Current_DTE!E4),"-")</f>
        <v>1164.4527777777778</v>
      </c>
      <c r="F4" s="128">
        <f>IFERROR(IF(ISBLANK(Current_DTE!F4),INDEX(Minutes_by_use_case!$B$2:$B$9,MATCH($B4,Minutes_by_use_case!$A$2:$A$9,0)),Current_DTE!F4),"-")</f>
        <v>862.00805555555553</v>
      </c>
      <c r="G4" s="128">
        <f>IFERROR(IF(ISBLANK(Current_DTE!G4),INDEX(Minutes_by_use_case!$B$2:$B$9,MATCH($B4,Minutes_by_use_case!$A$2:$A$9,0)),Current_DTE!G4),"-")</f>
        <v>1093.0107777777775</v>
      </c>
      <c r="H4" s="128">
        <f>IFERROR(IF(ISBLANK(Current_DTE!H4),INDEX(Minutes_by_use_case!$B$2:$B$9,MATCH($B4,Minutes_by_use_case!$A$2:$A$9,0)),Current_DTE!H4),"-")</f>
        <v>1093.0107777777775</v>
      </c>
      <c r="I4" s="128">
        <f>IFERROR(IF(ISBLANK(Current_DTE!I4),INDEX(Minutes_by_use_case!$B$2:$B$9,MATCH($B4,Minutes_by_use_case!$A$2:$A$9,0)),Current_DTE!I4),"-")</f>
        <v>1093.0107777777775</v>
      </c>
      <c r="J4" s="128">
        <f>IFERROR(IF(ISBLANK(Current_DTE!J4),INDEX(Minutes_by_use_case!$B$2:$B$9,MATCH($B4,Minutes_by_use_case!$A$2:$A$9,0)),Current_DTE!J4),"-")</f>
        <v>1093.0107777777775</v>
      </c>
      <c r="K4" s="128">
        <f>IFERROR(IF(ISBLANK(Current_DTE!K4),INDEX(Minutes_by_use_case!$B$2:$B$9,MATCH($B4,Minutes_by_use_case!$A$2:$A$9,0)),Current_DTE!K4),"-")</f>
        <v>1093.0107777777775</v>
      </c>
      <c r="L4" s="128">
        <f>IFERROR(IF(ISBLANK(Current_DTE!L4),INDEX(Minutes_by_use_case!$B$2:$B$9,MATCH($B4,Minutes_by_use_case!$A$2:$A$9,0)),Current_DTE!L4),"-")</f>
        <v>1093.0107777777775</v>
      </c>
      <c r="M4" s="128">
        <f>IFERROR(IF(ISBLANK(Current_DTE!M4),INDEX(Minutes_by_use_case!$B$2:$B$9,MATCH($B4,Minutes_by_use_case!$A$2:$A$9,0)),Current_DTE!M4),"-")</f>
        <v>1093.0107777777775</v>
      </c>
      <c r="N4" s="128">
        <f>IFERROR(IF(ISBLANK(Current_DTE!N4),INDEX(Minutes_by_use_case!$B$2:$B$9,MATCH($B4,Minutes_by_use_case!$A$2:$A$9,0)),Current_DTE!N4),"-")</f>
        <v>1093.0107777777775</v>
      </c>
      <c r="O4" s="128">
        <f>IFERROR(IF(ISBLANK(Current_DTE!O4),INDEX(Minutes_by_use_case!$B$2:$B$9,MATCH($B4,Minutes_by_use_case!$A$2:$A$9,0)),Current_DTE!O4),"-")</f>
        <v>1093.0107777777775</v>
      </c>
      <c r="P4" s="128">
        <f>IFERROR(IF(ISBLANK(Current_DTE!P4),INDEX(Minutes_by_use_case!$B$2:$B$9,MATCH($B4,Minutes_by_use_case!$A$2:$A$9,0)),Current_DTE!P4),"-")</f>
        <v>1093.0107777777775</v>
      </c>
      <c r="Q4" s="128">
        <f>IFERROR(IF(ISBLANK(Current_DTE!Q4),INDEX(Minutes_by_use_case!$B$2:$B$9,MATCH($B4,Minutes_by_use_case!$A$2:$A$9,0)),Current_DTE!Q4),"-")</f>
        <v>1093.0107777777775</v>
      </c>
      <c r="R4" s="128">
        <f>IFERROR(IF(ISBLANK(Current_DTE!R4),INDEX(Minutes_by_use_case!$B$2:$B$9,MATCH($B4,Minutes_by_use_case!$A$2:$A$9,0)),Current_DTE!R4),"-")</f>
        <v>1093.0107777777775</v>
      </c>
      <c r="S4" s="128">
        <f>IFERROR(IF(ISBLANK(Current_DTE!S4),INDEX(Minutes_by_use_case!$B$2:$B$9,MATCH($B4,Minutes_by_use_case!$A$2:$A$9,0)),Current_DTE!S4),"-")</f>
        <v>1093.0107777777775</v>
      </c>
      <c r="T4" s="128">
        <f>IFERROR(IF(ISBLANK(Current_DTE!T4),INDEX(Minutes_by_use_case!$B$2:$B$9,MATCH($B4,Minutes_by_use_case!$A$2:$A$9,0)),Current_DTE!T4),"-")</f>
        <v>1093.0107777777775</v>
      </c>
      <c r="U4" s="128">
        <f>IFERROR(IF(ISBLANK(Current_DTE!U4),INDEX(Minutes_by_use_case!$B$2:$B$9,MATCH($B4,Minutes_by_use_case!$A$2:$A$9,0)),Current_DTE!U4),"-")</f>
        <v>1093.0107777777775</v>
      </c>
      <c r="V4" s="128">
        <f>IFERROR(IF(ISBLANK(Current_DTE!V4),INDEX(Minutes_by_use_case!$B$2:$B$9,MATCH($B4,Minutes_by_use_case!$A$2:$A$9,0)),Current_DTE!V4),"-")</f>
        <v>1093.0107777777775</v>
      </c>
      <c r="W4" s="128">
        <f>IFERROR(IF(ISBLANK(Current_DTE!W4),INDEX(Minutes_by_use_case!$B$2:$B$9,MATCH($B4,Minutes_by_use_case!$A$2:$A$9,0)),Current_DTE!W4),"-")</f>
        <v>1093.0107777777775</v>
      </c>
    </row>
    <row r="5" spans="1:23" x14ac:dyDescent="0.3">
      <c r="A5" s="46" t="s">
        <v>66</v>
      </c>
      <c r="B5" s="53" t="s">
        <v>59</v>
      </c>
      <c r="C5" s="48"/>
      <c r="D5" s="128">
        <f>IFERROR(IF(ISBLANK(Current_DTE!D5),INDEX(Minutes_by_use_case!$B$2:$B$9,MATCH($B5,Minutes_by_use_case!$A$2:$A$9,0)),Current_DTE!D5),"-")</f>
        <v>171572.29579277776</v>
      </c>
      <c r="E5" s="128">
        <f>IFERROR(IF(ISBLANK(Current_DTE!E5),INDEX(Minutes_by_use_case!$B$2:$B$9,MATCH($B5,Minutes_by_use_case!$A$2:$A$9,0)),Current_DTE!E5),"-")</f>
        <v>171572.29579277776</v>
      </c>
      <c r="F5" s="128">
        <f>IFERROR(IF(ISBLANK(Current_DTE!F5),INDEX(Minutes_by_use_case!$B$2:$B$9,MATCH($B5,Minutes_by_use_case!$A$2:$A$9,0)),Current_DTE!F5),"-")</f>
        <v>171572.29579277776</v>
      </c>
      <c r="G5" s="128">
        <f>IFERROR(IF(ISBLANK(Current_DTE!G5),INDEX(Minutes_by_use_case!$B$2:$B$9,MATCH($B5,Minutes_by_use_case!$A$2:$A$9,0)),Current_DTE!G5),"-")</f>
        <v>171572.29579277776</v>
      </c>
      <c r="H5" s="128">
        <f>IFERROR(IF(ISBLANK(Current_DTE!H5),INDEX(Minutes_by_use_case!$B$2:$B$9,MATCH($B5,Minutes_by_use_case!$A$2:$A$9,0)),Current_DTE!H5),"-")</f>
        <v>171572.29579277776</v>
      </c>
      <c r="I5" s="128">
        <f>IFERROR(IF(ISBLANK(Current_DTE!I5),INDEX(Minutes_by_use_case!$B$2:$B$9,MATCH($B5,Minutes_by_use_case!$A$2:$A$9,0)),Current_DTE!I5),"-")</f>
        <v>171572.29579277776</v>
      </c>
      <c r="J5" s="128">
        <f>IFERROR(IF(ISBLANK(Current_DTE!J5),INDEX(Minutes_by_use_case!$B$2:$B$9,MATCH($B5,Minutes_by_use_case!$A$2:$A$9,0)),Current_DTE!J5),"-")</f>
        <v>171572.29579277776</v>
      </c>
      <c r="K5" s="128">
        <f>IFERROR(IF(ISBLANK(Current_DTE!K5),INDEX(Minutes_by_use_case!$B$2:$B$9,MATCH($B5,Minutes_by_use_case!$A$2:$A$9,0)),Current_DTE!K5),"-")</f>
        <v>171572.29579277776</v>
      </c>
      <c r="L5" s="128">
        <f>IFERROR(IF(ISBLANK(Current_DTE!L5),INDEX(Minutes_by_use_case!$B$2:$B$9,MATCH($B5,Minutes_by_use_case!$A$2:$A$9,0)),Current_DTE!L5),"-")</f>
        <v>171572.29579277776</v>
      </c>
      <c r="M5" s="128">
        <f>IFERROR(IF(ISBLANK(Current_DTE!M5),INDEX(Minutes_by_use_case!$B$2:$B$9,MATCH($B5,Minutes_by_use_case!$A$2:$A$9,0)),Current_DTE!M5),"-")</f>
        <v>171572.29579277776</v>
      </c>
      <c r="N5" s="128">
        <f>IFERROR(IF(ISBLANK(Current_DTE!N5),INDEX(Minutes_by_use_case!$B$2:$B$9,MATCH($B5,Minutes_by_use_case!$A$2:$A$9,0)),Current_DTE!N5),"-")</f>
        <v>171572.29579277776</v>
      </c>
      <c r="O5" s="128">
        <f>IFERROR(IF(ISBLANK(Current_DTE!O5),INDEX(Minutes_by_use_case!$B$2:$B$9,MATCH($B5,Minutes_by_use_case!$A$2:$A$9,0)),Current_DTE!O5),"-")</f>
        <v>171572.29579277776</v>
      </c>
      <c r="P5" s="128">
        <f>IFERROR(IF(ISBLANK(Current_DTE!P5),INDEX(Minutes_by_use_case!$B$2:$B$9,MATCH($B5,Minutes_by_use_case!$A$2:$A$9,0)),Current_DTE!P5),"-")</f>
        <v>171572.29579277776</v>
      </c>
      <c r="Q5" s="128">
        <f>IFERROR(IF(ISBLANK(Current_DTE!Q5),INDEX(Minutes_by_use_case!$B$2:$B$9,MATCH($B5,Minutes_by_use_case!$A$2:$A$9,0)),Current_DTE!Q5),"-")</f>
        <v>171572.29579277776</v>
      </c>
      <c r="R5" s="128">
        <f>IFERROR(IF(ISBLANK(Current_DTE!R5),INDEX(Minutes_by_use_case!$B$2:$B$9,MATCH($B5,Minutes_by_use_case!$A$2:$A$9,0)),Current_DTE!R5),"-")</f>
        <v>171572.29579277776</v>
      </c>
      <c r="S5" s="128">
        <f>IFERROR(IF(ISBLANK(Current_DTE!S5),INDEX(Minutes_by_use_case!$B$2:$B$9,MATCH($B5,Minutes_by_use_case!$A$2:$A$9,0)),Current_DTE!S5),"-")</f>
        <v>171572.29579277776</v>
      </c>
      <c r="T5" s="128">
        <f>IFERROR(IF(ISBLANK(Current_DTE!T5),INDEX(Minutes_by_use_case!$B$2:$B$9,MATCH($B5,Minutes_by_use_case!$A$2:$A$9,0)),Current_DTE!T5),"-")</f>
        <v>171572.29579277776</v>
      </c>
      <c r="U5" s="128">
        <f>IFERROR(IF(ISBLANK(Current_DTE!U5),INDEX(Minutes_by_use_case!$B$2:$B$9,MATCH($B5,Minutes_by_use_case!$A$2:$A$9,0)),Current_DTE!U5),"-")</f>
        <v>171572.29579277776</v>
      </c>
      <c r="V5" s="128">
        <f>IFERROR(IF(ISBLANK(Current_DTE!V5),INDEX(Minutes_by_use_case!$B$2:$B$9,MATCH($B5,Minutes_by_use_case!$A$2:$A$9,0)),Current_DTE!V5),"-")</f>
        <v>171572.29579277776</v>
      </c>
      <c r="W5" s="128">
        <f>IFERROR(IF(ISBLANK(Current_DTE!W5),INDEX(Minutes_by_use_case!$B$2:$B$9,MATCH($B5,Minutes_by_use_case!$A$2:$A$9,0)),Current_DTE!W5),"-")</f>
        <v>171572.29579277776</v>
      </c>
    </row>
    <row r="6" spans="1:23" x14ac:dyDescent="0.3">
      <c r="A6" s="46" t="s">
        <v>67</v>
      </c>
      <c r="B6" s="54" t="s">
        <v>58</v>
      </c>
      <c r="C6" s="48" t="s">
        <v>89</v>
      </c>
      <c r="D6" s="128">
        <f>IFERROR(IF(ISBLANK(Current_DTE!D6),INDEX(Minutes_by_use_case!$B$2:$B$9,MATCH($B6,Minutes_by_use_case!$A$2:$A$9,0)),Current_DTE!D6),"-")</f>
        <v>30.559216666666664</v>
      </c>
      <c r="E6" s="128">
        <f>IFERROR(IF(ISBLANK(Current_DTE!E6),INDEX(Minutes_by_use_case!$B$2:$B$9,MATCH($B6,Minutes_by_use_case!$A$2:$A$9,0)),Current_DTE!E6),"-")</f>
        <v>69.774163888888879</v>
      </c>
      <c r="F6" s="128">
        <f>IFERROR(IF(ISBLANK(Current_DTE!F6),INDEX(Minutes_by_use_case!$B$2:$B$9,MATCH($B6,Minutes_by_use_case!$A$2:$A$9,0)),Current_DTE!F6),"-")</f>
        <v>18.289311111111111</v>
      </c>
      <c r="G6" s="128">
        <f>IFERROR(IF(ISBLANK(Current_DTE!G6),INDEX(Minutes_by_use_case!$B$2:$B$9,MATCH($B6,Minutes_by_use_case!$A$2:$A$9,0)),Current_DTE!G6),"-")</f>
        <v>35.440637222222215</v>
      </c>
      <c r="H6" s="128">
        <f>IFERROR(IF(ISBLANK(Current_DTE!H6),INDEX(Minutes_by_use_case!$B$2:$B$9,MATCH($B6,Minutes_by_use_case!$A$2:$A$9,0)),Current_DTE!H6),"-")</f>
        <v>35.440637222222215</v>
      </c>
      <c r="I6" s="128">
        <f>IFERROR(IF(ISBLANK(Current_DTE!I6),INDEX(Minutes_by_use_case!$B$2:$B$9,MATCH($B6,Minutes_by_use_case!$A$2:$A$9,0)),Current_DTE!I6),"-")</f>
        <v>35.440637222222215</v>
      </c>
      <c r="J6" s="128">
        <f>IFERROR(IF(ISBLANK(Current_DTE!J6),INDEX(Minutes_by_use_case!$B$2:$B$9,MATCH($B6,Minutes_by_use_case!$A$2:$A$9,0)),Current_DTE!J6),"-")</f>
        <v>35.440637222222215</v>
      </c>
      <c r="K6" s="128">
        <f>IFERROR(IF(ISBLANK(Current_DTE!K6),INDEX(Minutes_by_use_case!$B$2:$B$9,MATCH($B6,Minutes_by_use_case!$A$2:$A$9,0)),Current_DTE!K6),"-")</f>
        <v>35.440637222222215</v>
      </c>
      <c r="L6" s="128">
        <f>IFERROR(IF(ISBLANK(Current_DTE!L6),INDEX(Minutes_by_use_case!$B$2:$B$9,MATCH($B6,Minutes_by_use_case!$A$2:$A$9,0)),Current_DTE!L6),"-")</f>
        <v>35.440637222222215</v>
      </c>
      <c r="M6" s="128">
        <f>IFERROR(IF(ISBLANK(Current_DTE!M6),INDEX(Minutes_by_use_case!$B$2:$B$9,MATCH($B6,Minutes_by_use_case!$A$2:$A$9,0)),Current_DTE!M6),"-")</f>
        <v>35.440637222222215</v>
      </c>
      <c r="N6" s="128">
        <f>IFERROR(IF(ISBLANK(Current_DTE!N6),INDEX(Minutes_by_use_case!$B$2:$B$9,MATCH($B6,Minutes_by_use_case!$A$2:$A$9,0)),Current_DTE!N6),"-")</f>
        <v>35.440637222222215</v>
      </c>
      <c r="O6" s="128">
        <f>IFERROR(IF(ISBLANK(Current_DTE!O6),INDEX(Minutes_by_use_case!$B$2:$B$9,MATCH($B6,Minutes_by_use_case!$A$2:$A$9,0)),Current_DTE!O6),"-")</f>
        <v>35.440637222222215</v>
      </c>
      <c r="P6" s="128">
        <f>IFERROR(IF(ISBLANK(Current_DTE!P6),INDEX(Minutes_by_use_case!$B$2:$B$9,MATCH($B6,Minutes_by_use_case!$A$2:$A$9,0)),Current_DTE!P6),"-")</f>
        <v>35.440637222222215</v>
      </c>
      <c r="Q6" s="128">
        <f>IFERROR(IF(ISBLANK(Current_DTE!Q6),INDEX(Minutes_by_use_case!$B$2:$B$9,MATCH($B6,Minutes_by_use_case!$A$2:$A$9,0)),Current_DTE!Q6),"-")</f>
        <v>35.440637222222215</v>
      </c>
      <c r="R6" s="128">
        <f>IFERROR(IF(ISBLANK(Current_DTE!R6),INDEX(Minutes_by_use_case!$B$2:$B$9,MATCH($B6,Minutes_by_use_case!$A$2:$A$9,0)),Current_DTE!R6),"-")</f>
        <v>35.440637222222215</v>
      </c>
      <c r="S6" s="128">
        <f>IFERROR(IF(ISBLANK(Current_DTE!S6),INDEX(Minutes_by_use_case!$B$2:$B$9,MATCH($B6,Minutes_by_use_case!$A$2:$A$9,0)),Current_DTE!S6),"-")</f>
        <v>35.440637222222215</v>
      </c>
      <c r="T6" s="128">
        <f>IFERROR(IF(ISBLANK(Current_DTE!T6),INDEX(Minutes_by_use_case!$B$2:$B$9,MATCH($B6,Minutes_by_use_case!$A$2:$A$9,0)),Current_DTE!T6),"-")</f>
        <v>35.440637222222215</v>
      </c>
      <c r="U6" s="128">
        <f>IFERROR(IF(ISBLANK(Current_DTE!U6),INDEX(Minutes_by_use_case!$B$2:$B$9,MATCH($B6,Minutes_by_use_case!$A$2:$A$9,0)),Current_DTE!U6),"-")</f>
        <v>35.440637222222215</v>
      </c>
      <c r="V6" s="128">
        <f>IFERROR(IF(ISBLANK(Current_DTE!V6),INDEX(Minutes_by_use_case!$B$2:$B$9,MATCH($B6,Minutes_by_use_case!$A$2:$A$9,0)),Current_DTE!V6),"-")</f>
        <v>35.440637222222215</v>
      </c>
      <c r="W6" s="128">
        <f>IFERROR(IF(ISBLANK(Current_DTE!W6),INDEX(Minutes_by_use_case!$B$2:$B$9,MATCH($B6,Minutes_by_use_case!$A$2:$A$9,0)),Current_DTE!W6),"-")</f>
        <v>35.440637222222215</v>
      </c>
    </row>
    <row r="7" spans="1:23" x14ac:dyDescent="0.3">
      <c r="A7" s="46" t="s">
        <v>68</v>
      </c>
      <c r="B7" s="47" t="s">
        <v>57</v>
      </c>
      <c r="C7" s="48" t="s">
        <v>89</v>
      </c>
      <c r="D7" s="128">
        <f>IFERROR(IF(ISBLANK(Current_DTE!D7),INDEX(Minutes_by_use_case!$B$2:$B$9,MATCH($B7,Minutes_by_use_case!$A$2:$A$9,0)),Current_DTE!D7),"-")</f>
        <v>667.42555555555555</v>
      </c>
      <c r="E7" s="128">
        <f>IFERROR(IF(ISBLANK(Current_DTE!E7),INDEX(Minutes_by_use_case!$B$2:$B$9,MATCH($B7,Minutes_by_use_case!$A$2:$A$9,0)),Current_DTE!E7),"-")</f>
        <v>707.53916666666669</v>
      </c>
      <c r="F7" s="128">
        <f>IFERROR(IF(ISBLANK(Current_DTE!F7),INDEX(Minutes_by_use_case!$B$2:$B$9,MATCH($B7,Minutes_by_use_case!$A$2:$A$9,0)),Current_DTE!F7),"-")</f>
        <v>608.43833333333339</v>
      </c>
      <c r="G7" s="128">
        <f>IFERROR(IF(ISBLANK(Current_DTE!G7),INDEX(Minutes_by_use_case!$B$2:$B$9,MATCH($B7,Minutes_by_use_case!$A$2:$A$9,0)),Current_DTE!G7),"-")</f>
        <v>671.11811111111115</v>
      </c>
      <c r="H7" s="128">
        <f>IFERROR(IF(ISBLANK(Current_DTE!H7),INDEX(Minutes_by_use_case!$B$2:$B$9,MATCH($B7,Minutes_by_use_case!$A$2:$A$9,0)),Current_DTE!H7),"-")</f>
        <v>671.11811111111115</v>
      </c>
      <c r="I7" s="128">
        <f>IFERROR(IF(ISBLANK(Current_DTE!I7),INDEX(Minutes_by_use_case!$B$2:$B$9,MATCH($B7,Minutes_by_use_case!$A$2:$A$9,0)),Current_DTE!I7),"-")</f>
        <v>671.11811111111115</v>
      </c>
      <c r="J7" s="128">
        <f>IFERROR(IF(ISBLANK(Current_DTE!J7),INDEX(Minutes_by_use_case!$B$2:$B$9,MATCH($B7,Minutes_by_use_case!$A$2:$A$9,0)),Current_DTE!J7),"-")</f>
        <v>671.11811111111115</v>
      </c>
      <c r="K7" s="128">
        <f>IFERROR(IF(ISBLANK(Current_DTE!K7),INDEX(Minutes_by_use_case!$B$2:$B$9,MATCH($B7,Minutes_by_use_case!$A$2:$A$9,0)),Current_DTE!K7),"-")</f>
        <v>671.11811111111115</v>
      </c>
      <c r="L7" s="128">
        <f>IFERROR(IF(ISBLANK(Current_DTE!L7),INDEX(Minutes_by_use_case!$B$2:$B$9,MATCH($B7,Minutes_by_use_case!$A$2:$A$9,0)),Current_DTE!L7),"-")</f>
        <v>671.11811111111115</v>
      </c>
      <c r="M7" s="128">
        <f>IFERROR(IF(ISBLANK(Current_DTE!M7),INDEX(Minutes_by_use_case!$B$2:$B$9,MATCH($B7,Minutes_by_use_case!$A$2:$A$9,0)),Current_DTE!M7),"-")</f>
        <v>671.11811111111115</v>
      </c>
      <c r="N7" s="128">
        <f>IFERROR(IF(ISBLANK(Current_DTE!N7),INDEX(Minutes_by_use_case!$B$2:$B$9,MATCH($B7,Minutes_by_use_case!$A$2:$A$9,0)),Current_DTE!N7),"-")</f>
        <v>671.11811111111115</v>
      </c>
      <c r="O7" s="128">
        <f>IFERROR(IF(ISBLANK(Current_DTE!O7),INDEX(Minutes_by_use_case!$B$2:$B$9,MATCH($B7,Minutes_by_use_case!$A$2:$A$9,0)),Current_DTE!O7),"-")</f>
        <v>671.11811111111115</v>
      </c>
      <c r="P7" s="128">
        <f>IFERROR(IF(ISBLANK(Current_DTE!P7),INDEX(Minutes_by_use_case!$B$2:$B$9,MATCH($B7,Minutes_by_use_case!$A$2:$A$9,0)),Current_DTE!P7),"-")</f>
        <v>671.11811111111115</v>
      </c>
      <c r="Q7" s="128">
        <f>IFERROR(IF(ISBLANK(Current_DTE!Q7),INDEX(Minutes_by_use_case!$B$2:$B$9,MATCH($B7,Minutes_by_use_case!$A$2:$A$9,0)),Current_DTE!Q7),"-")</f>
        <v>671.11811111111115</v>
      </c>
      <c r="R7" s="128">
        <f>IFERROR(IF(ISBLANK(Current_DTE!R7),INDEX(Minutes_by_use_case!$B$2:$B$9,MATCH($B7,Minutes_by_use_case!$A$2:$A$9,0)),Current_DTE!R7),"-")</f>
        <v>671.11811111111115</v>
      </c>
      <c r="S7" s="128">
        <f>IFERROR(IF(ISBLANK(Current_DTE!S7),INDEX(Minutes_by_use_case!$B$2:$B$9,MATCH($B7,Minutes_by_use_case!$A$2:$A$9,0)),Current_DTE!S7),"-")</f>
        <v>671.11811111111115</v>
      </c>
      <c r="T7" s="128">
        <f>IFERROR(IF(ISBLANK(Current_DTE!T7),INDEX(Minutes_by_use_case!$B$2:$B$9,MATCH($B7,Minutes_by_use_case!$A$2:$A$9,0)),Current_DTE!T7),"-")</f>
        <v>671.11811111111115</v>
      </c>
      <c r="U7" s="128">
        <f>IFERROR(IF(ISBLANK(Current_DTE!U7),INDEX(Minutes_by_use_case!$B$2:$B$9,MATCH($B7,Minutes_by_use_case!$A$2:$A$9,0)),Current_DTE!U7),"-")</f>
        <v>671.11811111111115</v>
      </c>
      <c r="V7" s="128">
        <f>IFERROR(IF(ISBLANK(Current_DTE!V7),INDEX(Minutes_by_use_case!$B$2:$B$9,MATCH($B7,Minutes_by_use_case!$A$2:$A$9,0)),Current_DTE!V7),"-")</f>
        <v>671.11811111111115</v>
      </c>
      <c r="W7" s="128">
        <f>IFERROR(IF(ISBLANK(Current_DTE!W7),INDEX(Minutes_by_use_case!$B$2:$B$9,MATCH($B7,Minutes_by_use_case!$A$2:$A$9,0)),Current_DTE!W7),"-")</f>
        <v>671.11811111111115</v>
      </c>
    </row>
    <row r="8" spans="1:23" x14ac:dyDescent="0.3">
      <c r="A8" s="46" t="s">
        <v>34</v>
      </c>
      <c r="B8" s="55" t="s">
        <v>64</v>
      </c>
      <c r="C8" s="48" t="s">
        <v>89</v>
      </c>
      <c r="D8" s="128">
        <f>IFERROR(IF(ISBLANK(Current_DTE!D8),INDEX(Minutes_by_use_case!$B$2:$B$9,MATCH($B8,Minutes_by_use_case!$A$2:$A$9,0)),Current_DTE!D8),"-")</f>
        <v>508.14004722222222</v>
      </c>
      <c r="E8" s="128">
        <f>IFERROR(IF(ISBLANK(Current_DTE!E8),INDEX(Minutes_by_use_case!$B$2:$B$9,MATCH($B8,Minutes_by_use_case!$A$2:$A$9,0)),Current_DTE!E8),"-")</f>
        <v>377.5913888888889</v>
      </c>
      <c r="F8" s="128">
        <f>IFERROR(IF(ISBLANK(Current_DTE!F8),INDEX(Minutes_by_use_case!$B$2:$B$9,MATCH($B8,Minutes_by_use_case!$A$2:$A$9,0)),Current_DTE!F8),"-")</f>
        <v>307.24861111111113</v>
      </c>
      <c r="G8" s="128">
        <f>IFERROR(IF(ISBLANK(Current_DTE!G8),INDEX(Minutes_by_use_case!$B$2:$B$9,MATCH($B8,Minutes_by_use_case!$A$2:$A$9,0)),Current_DTE!G8),"-")</f>
        <v>392.20349666666669</v>
      </c>
      <c r="H8" s="128">
        <f>IFERROR(IF(ISBLANK(Current_DTE!H8),INDEX(Minutes_by_use_case!$B$2:$B$9,MATCH($B8,Minutes_by_use_case!$A$2:$A$9,0)),Current_DTE!H8),"-")</f>
        <v>392.20349666666669</v>
      </c>
      <c r="I8" s="128">
        <f>IFERROR(IF(ISBLANK(Current_DTE!I8),INDEX(Minutes_by_use_case!$B$2:$B$9,MATCH($B8,Minutes_by_use_case!$A$2:$A$9,0)),Current_DTE!I8),"-")</f>
        <v>392.20349666666669</v>
      </c>
      <c r="J8" s="128">
        <f>IFERROR(IF(ISBLANK(Current_DTE!J8),INDEX(Minutes_by_use_case!$B$2:$B$9,MATCH($B8,Minutes_by_use_case!$A$2:$A$9,0)),Current_DTE!J8),"-")</f>
        <v>392.20349666666669</v>
      </c>
      <c r="K8" s="128">
        <f>IFERROR(IF(ISBLANK(Current_DTE!K8),INDEX(Minutes_by_use_case!$B$2:$B$9,MATCH($B8,Minutes_by_use_case!$A$2:$A$9,0)),Current_DTE!K8),"-")</f>
        <v>392.20349666666669</v>
      </c>
      <c r="L8" s="128">
        <f>IFERROR(IF(ISBLANK(Current_DTE!L8),INDEX(Minutes_by_use_case!$B$2:$B$9,MATCH($B8,Minutes_by_use_case!$A$2:$A$9,0)),Current_DTE!L8),"-")</f>
        <v>392.20349666666669</v>
      </c>
      <c r="M8" s="128">
        <f>IFERROR(IF(ISBLANK(Current_DTE!M8),INDEX(Minutes_by_use_case!$B$2:$B$9,MATCH($B8,Minutes_by_use_case!$A$2:$A$9,0)),Current_DTE!M8),"-")</f>
        <v>392.20349666666669</v>
      </c>
      <c r="N8" s="128">
        <f>IFERROR(IF(ISBLANK(Current_DTE!N8),INDEX(Minutes_by_use_case!$B$2:$B$9,MATCH($B8,Minutes_by_use_case!$A$2:$A$9,0)),Current_DTE!N8),"-")</f>
        <v>392.20349666666669</v>
      </c>
      <c r="O8" s="128">
        <f>IFERROR(IF(ISBLANK(Current_DTE!O8),INDEX(Minutes_by_use_case!$B$2:$B$9,MATCH($B8,Minutes_by_use_case!$A$2:$A$9,0)),Current_DTE!O8),"-")</f>
        <v>392.20349666666669</v>
      </c>
      <c r="P8" s="128">
        <f>IFERROR(IF(ISBLANK(Current_DTE!P8),INDEX(Minutes_by_use_case!$B$2:$B$9,MATCH($B8,Minutes_by_use_case!$A$2:$A$9,0)),Current_DTE!P8),"-")</f>
        <v>392.20349666666669</v>
      </c>
      <c r="Q8" s="128">
        <f>IFERROR(IF(ISBLANK(Current_DTE!Q8),INDEX(Minutes_by_use_case!$B$2:$B$9,MATCH($B8,Minutes_by_use_case!$A$2:$A$9,0)),Current_DTE!Q8),"-")</f>
        <v>392.20349666666669</v>
      </c>
      <c r="R8" s="128">
        <f>IFERROR(IF(ISBLANK(Current_DTE!R8),INDEX(Minutes_by_use_case!$B$2:$B$9,MATCH($B8,Minutes_by_use_case!$A$2:$A$9,0)),Current_DTE!R8),"-")</f>
        <v>392.20349666666669</v>
      </c>
      <c r="S8" s="128">
        <f>IFERROR(IF(ISBLANK(Current_DTE!S8),INDEX(Minutes_by_use_case!$B$2:$B$9,MATCH($B8,Minutes_by_use_case!$A$2:$A$9,0)),Current_DTE!S8),"-")</f>
        <v>392.20349666666669</v>
      </c>
      <c r="T8" s="128">
        <f>IFERROR(IF(ISBLANK(Current_DTE!T8),INDEX(Minutes_by_use_case!$B$2:$B$9,MATCH($B8,Minutes_by_use_case!$A$2:$A$9,0)),Current_DTE!T8),"-")</f>
        <v>392.20349666666669</v>
      </c>
      <c r="U8" s="128">
        <f>IFERROR(IF(ISBLANK(Current_DTE!U8),INDEX(Minutes_by_use_case!$B$2:$B$9,MATCH($B8,Minutes_by_use_case!$A$2:$A$9,0)),Current_DTE!U8),"-")</f>
        <v>392.20349666666669</v>
      </c>
      <c r="V8" s="128">
        <f>IFERROR(IF(ISBLANK(Current_DTE!V8),INDEX(Minutes_by_use_case!$B$2:$B$9,MATCH($B8,Minutes_by_use_case!$A$2:$A$9,0)),Current_DTE!V8),"-")</f>
        <v>392.20349666666669</v>
      </c>
      <c r="W8" s="128">
        <f>IFERROR(IF(ISBLANK(Current_DTE!W8),INDEX(Minutes_by_use_case!$B$2:$B$9,MATCH($B8,Minutes_by_use_case!$A$2:$A$9,0)),Current_DTE!W8),"-")</f>
        <v>392.20349666666669</v>
      </c>
    </row>
    <row r="9" spans="1:23" x14ac:dyDescent="0.3">
      <c r="A9" s="46" t="s">
        <v>69</v>
      </c>
      <c r="B9" s="47" t="s">
        <v>57</v>
      </c>
      <c r="C9" s="48"/>
      <c r="D9" s="128">
        <f>IFERROR(IF(ISBLANK(Current_DTE!D9),INDEX(Minutes_by_use_case!$B$2:$B$9,MATCH($B9,Minutes_by_use_case!$A$2:$A$9,0)),Current_DTE!D9),"-")</f>
        <v>133409.35004928565</v>
      </c>
      <c r="E9" s="128">
        <f>IFERROR(IF(ISBLANK(Current_DTE!E9),INDEX(Minutes_by_use_case!$B$2:$B$9,MATCH($B9,Minutes_by_use_case!$A$2:$A$9,0)),Current_DTE!E9),"-")</f>
        <v>133409.35004928565</v>
      </c>
      <c r="F9" s="128">
        <f>IFERROR(IF(ISBLANK(Current_DTE!F9),INDEX(Minutes_by_use_case!$B$2:$B$9,MATCH($B9,Minutes_by_use_case!$A$2:$A$9,0)),Current_DTE!F9),"-")</f>
        <v>133409.35004928565</v>
      </c>
      <c r="G9" s="128">
        <f>IFERROR(IF(ISBLANK(Current_DTE!G9),INDEX(Minutes_by_use_case!$B$2:$B$9,MATCH($B9,Minutes_by_use_case!$A$2:$A$9,0)),Current_DTE!G9),"-")</f>
        <v>133409.35004928565</v>
      </c>
      <c r="H9" s="128">
        <f>IFERROR(IF(ISBLANK(Current_DTE!H9),INDEX(Minutes_by_use_case!$B$2:$B$9,MATCH($B9,Minutes_by_use_case!$A$2:$A$9,0)),Current_DTE!H9),"-")</f>
        <v>133409.35004928565</v>
      </c>
      <c r="I9" s="128">
        <f>IFERROR(IF(ISBLANK(Current_DTE!I9),INDEX(Minutes_by_use_case!$B$2:$B$9,MATCH($B9,Minutes_by_use_case!$A$2:$A$9,0)),Current_DTE!I9),"-")</f>
        <v>133409.35004928565</v>
      </c>
      <c r="J9" s="128">
        <f>IFERROR(IF(ISBLANK(Current_DTE!J9),INDEX(Minutes_by_use_case!$B$2:$B$9,MATCH($B9,Minutes_by_use_case!$A$2:$A$9,0)),Current_DTE!J9),"-")</f>
        <v>133409.35004928565</v>
      </c>
      <c r="K9" s="128">
        <f>IFERROR(IF(ISBLANK(Current_DTE!K9),INDEX(Minutes_by_use_case!$B$2:$B$9,MATCH($B9,Minutes_by_use_case!$A$2:$A$9,0)),Current_DTE!K9),"-")</f>
        <v>133409.35004928565</v>
      </c>
      <c r="L9" s="128">
        <f>IFERROR(IF(ISBLANK(Current_DTE!L9),INDEX(Minutes_by_use_case!$B$2:$B$9,MATCH($B9,Minutes_by_use_case!$A$2:$A$9,0)),Current_DTE!L9),"-")</f>
        <v>133409.35004928565</v>
      </c>
      <c r="M9" s="128">
        <f>IFERROR(IF(ISBLANK(Current_DTE!M9),INDEX(Minutes_by_use_case!$B$2:$B$9,MATCH($B9,Minutes_by_use_case!$A$2:$A$9,0)),Current_DTE!M9),"-")</f>
        <v>133409.35004928565</v>
      </c>
      <c r="N9" s="128">
        <f>IFERROR(IF(ISBLANK(Current_DTE!N9),INDEX(Minutes_by_use_case!$B$2:$B$9,MATCH($B9,Minutes_by_use_case!$A$2:$A$9,0)),Current_DTE!N9),"-")</f>
        <v>133409.35004928565</v>
      </c>
      <c r="O9" s="128">
        <f>IFERROR(IF(ISBLANK(Current_DTE!O9),INDEX(Minutes_by_use_case!$B$2:$B$9,MATCH($B9,Minutes_by_use_case!$A$2:$A$9,0)),Current_DTE!O9),"-")</f>
        <v>133409.35004928565</v>
      </c>
      <c r="P9" s="128">
        <f>IFERROR(IF(ISBLANK(Current_DTE!P9),INDEX(Minutes_by_use_case!$B$2:$B$9,MATCH($B9,Minutes_by_use_case!$A$2:$A$9,0)),Current_DTE!P9),"-")</f>
        <v>133409.35004928565</v>
      </c>
      <c r="Q9" s="128">
        <f>IFERROR(IF(ISBLANK(Current_DTE!Q9),INDEX(Minutes_by_use_case!$B$2:$B$9,MATCH($B9,Minutes_by_use_case!$A$2:$A$9,0)),Current_DTE!Q9),"-")</f>
        <v>133409.35004928565</v>
      </c>
      <c r="R9" s="128">
        <f>IFERROR(IF(ISBLANK(Current_DTE!R9),INDEX(Minutes_by_use_case!$B$2:$B$9,MATCH($B9,Minutes_by_use_case!$A$2:$A$9,0)),Current_DTE!R9),"-")</f>
        <v>133409.35004928565</v>
      </c>
      <c r="S9" s="128">
        <f>IFERROR(IF(ISBLANK(Current_DTE!S9),INDEX(Minutes_by_use_case!$B$2:$B$9,MATCH($B9,Minutes_by_use_case!$A$2:$A$9,0)),Current_DTE!S9),"-")</f>
        <v>133409.35004928565</v>
      </c>
      <c r="T9" s="128">
        <f>IFERROR(IF(ISBLANK(Current_DTE!T9),INDEX(Minutes_by_use_case!$B$2:$B$9,MATCH($B9,Minutes_by_use_case!$A$2:$A$9,0)),Current_DTE!T9),"-")</f>
        <v>133409.35004928565</v>
      </c>
      <c r="U9" s="128">
        <f>IFERROR(IF(ISBLANK(Current_DTE!U9),INDEX(Minutes_by_use_case!$B$2:$B$9,MATCH($B9,Minutes_by_use_case!$A$2:$A$9,0)),Current_DTE!U9),"-")</f>
        <v>133409.35004928565</v>
      </c>
      <c r="V9" s="128">
        <f>IFERROR(IF(ISBLANK(Current_DTE!V9),INDEX(Minutes_by_use_case!$B$2:$B$9,MATCH($B9,Minutes_by_use_case!$A$2:$A$9,0)),Current_DTE!V9),"-")</f>
        <v>133409.35004928565</v>
      </c>
      <c r="W9" s="128">
        <f>IFERROR(IF(ISBLANK(Current_DTE!W9),INDEX(Minutes_by_use_case!$B$2:$B$9,MATCH($B9,Minutes_by_use_case!$A$2:$A$9,0)),Current_DTE!W9),"-")</f>
        <v>133409.35004928565</v>
      </c>
    </row>
    <row r="10" spans="1:23" x14ac:dyDescent="0.3">
      <c r="A10" s="46" t="s">
        <v>70</v>
      </c>
      <c r="B10" s="54" t="s">
        <v>59</v>
      </c>
      <c r="C10" s="48" t="s">
        <v>89</v>
      </c>
      <c r="D10" s="128">
        <f>IFERROR(IF(ISBLANK(Current_DTE!D10),INDEX(Minutes_by_use_case!$B$2:$B$9,MATCH($B10,Minutes_by_use_case!$A$2:$A$9,0)),Current_DTE!D10),"-")</f>
        <v>1178.5658305555555</v>
      </c>
      <c r="E10" s="128">
        <f>IFERROR(IF(ISBLANK(Current_DTE!E10),INDEX(Minutes_by_use_case!$B$2:$B$9,MATCH($B10,Minutes_by_use_case!$A$2:$A$9,0)),Current_DTE!E10),"-")</f>
        <v>779.39891388888896</v>
      </c>
      <c r="F10" s="128">
        <f>IFERROR(IF(ISBLANK(Current_DTE!F10),INDEX(Minutes_by_use_case!$B$2:$B$9,MATCH($B10,Minutes_by_use_case!$A$2:$A$9,0)),Current_DTE!F10),"-")</f>
        <v>4.2386111111111111</v>
      </c>
      <c r="G10" s="128">
        <f>IFERROR(IF(ISBLANK(Current_DTE!G10),INDEX(Minutes_by_use_case!$B$2:$B$9,MATCH($B10,Minutes_by_use_case!$A$2:$A$9,0)),Current_DTE!G10),"-")</f>
        <v>871.54136999999992</v>
      </c>
      <c r="H10" s="128">
        <f>IFERROR(IF(ISBLANK(Current_DTE!H10),INDEX(Minutes_by_use_case!$B$2:$B$9,MATCH($B10,Minutes_by_use_case!$A$2:$A$9,0)),Current_DTE!H10),"-")</f>
        <v>871.54136999999992</v>
      </c>
      <c r="I10" s="128">
        <f>IFERROR(IF(ISBLANK(Current_DTE!I10),INDEX(Minutes_by_use_case!$B$2:$B$9,MATCH($B10,Minutes_by_use_case!$A$2:$A$9,0)),Current_DTE!I10),"-")</f>
        <v>871.54136999999992</v>
      </c>
      <c r="J10" s="128">
        <f>IFERROR(IF(ISBLANK(Current_DTE!J10),INDEX(Minutes_by_use_case!$B$2:$B$9,MATCH($B10,Minutes_by_use_case!$A$2:$A$9,0)),Current_DTE!J10),"-")</f>
        <v>871.54136999999992</v>
      </c>
      <c r="K10" s="128">
        <f>IFERROR(IF(ISBLANK(Current_DTE!K10),INDEX(Minutes_by_use_case!$B$2:$B$9,MATCH($B10,Minutes_by_use_case!$A$2:$A$9,0)),Current_DTE!K10),"-")</f>
        <v>871.54136999999992</v>
      </c>
      <c r="L10" s="128">
        <f>IFERROR(IF(ISBLANK(Current_DTE!L10),INDEX(Minutes_by_use_case!$B$2:$B$9,MATCH($B10,Minutes_by_use_case!$A$2:$A$9,0)),Current_DTE!L10),"-")</f>
        <v>871.54136999999992</v>
      </c>
      <c r="M10" s="128">
        <f>IFERROR(IF(ISBLANK(Current_DTE!M10),INDEX(Minutes_by_use_case!$B$2:$B$9,MATCH($B10,Minutes_by_use_case!$A$2:$A$9,0)),Current_DTE!M10),"-")</f>
        <v>871.54136999999992</v>
      </c>
      <c r="N10" s="128">
        <f>IFERROR(IF(ISBLANK(Current_DTE!N10),INDEX(Minutes_by_use_case!$B$2:$B$9,MATCH($B10,Minutes_by_use_case!$A$2:$A$9,0)),Current_DTE!N10),"-")</f>
        <v>871.54136999999992</v>
      </c>
      <c r="O10" s="128">
        <f>IFERROR(IF(ISBLANK(Current_DTE!O10),INDEX(Minutes_by_use_case!$B$2:$B$9,MATCH($B10,Minutes_by_use_case!$A$2:$A$9,0)),Current_DTE!O10),"-")</f>
        <v>871.54136999999992</v>
      </c>
      <c r="P10" s="128">
        <f>IFERROR(IF(ISBLANK(Current_DTE!P10),INDEX(Minutes_by_use_case!$B$2:$B$9,MATCH($B10,Minutes_by_use_case!$A$2:$A$9,0)),Current_DTE!P10),"-")</f>
        <v>871.54136999999992</v>
      </c>
      <c r="Q10" s="128">
        <f>IFERROR(IF(ISBLANK(Current_DTE!Q10),INDEX(Minutes_by_use_case!$B$2:$B$9,MATCH($B10,Minutes_by_use_case!$A$2:$A$9,0)),Current_DTE!Q10),"-")</f>
        <v>871.54136999999992</v>
      </c>
      <c r="R10" s="128">
        <f>IFERROR(IF(ISBLANK(Current_DTE!R10),INDEX(Minutes_by_use_case!$B$2:$B$9,MATCH($B10,Minutes_by_use_case!$A$2:$A$9,0)),Current_DTE!R10),"-")</f>
        <v>871.54136999999992</v>
      </c>
      <c r="S10" s="128">
        <f>IFERROR(IF(ISBLANK(Current_DTE!S10),INDEX(Minutes_by_use_case!$B$2:$B$9,MATCH($B10,Minutes_by_use_case!$A$2:$A$9,0)),Current_DTE!S10),"-")</f>
        <v>871.54136999999992</v>
      </c>
      <c r="T10" s="128">
        <f>IFERROR(IF(ISBLANK(Current_DTE!T10),INDEX(Minutes_by_use_case!$B$2:$B$9,MATCH($B10,Minutes_by_use_case!$A$2:$A$9,0)),Current_DTE!T10),"-")</f>
        <v>871.54136999999992</v>
      </c>
      <c r="U10" s="128">
        <f>IFERROR(IF(ISBLANK(Current_DTE!U10),INDEX(Minutes_by_use_case!$B$2:$B$9,MATCH($B10,Minutes_by_use_case!$A$2:$A$9,0)),Current_DTE!U10),"-")</f>
        <v>871.54136999999992</v>
      </c>
      <c r="V10" s="128">
        <f>IFERROR(IF(ISBLANK(Current_DTE!V10),INDEX(Minutes_by_use_case!$B$2:$B$9,MATCH($B10,Minutes_by_use_case!$A$2:$A$9,0)),Current_DTE!V10),"-")</f>
        <v>871.54136999999992</v>
      </c>
      <c r="W10" s="128">
        <f>IFERROR(IF(ISBLANK(Current_DTE!W10),INDEX(Minutes_by_use_case!$B$2:$B$9,MATCH($B10,Minutes_by_use_case!$A$2:$A$9,0)),Current_DTE!W10),"-")</f>
        <v>871.54136999999992</v>
      </c>
    </row>
    <row r="11" spans="1:23" x14ac:dyDescent="0.3">
      <c r="A11" s="46" t="s">
        <v>71</v>
      </c>
      <c r="B11" s="54" t="s">
        <v>58</v>
      </c>
      <c r="C11" s="48"/>
      <c r="D11" s="128">
        <f>IFERROR(IF(ISBLANK(Current_DTE!D11),INDEX(Minutes_by_use_case!$B$2:$B$9,MATCH($B11,Minutes_by_use_case!$A$2:$A$9,0)),Current_DTE!D11),"-")</f>
        <v>721.11352444444435</v>
      </c>
      <c r="E11" s="128">
        <f>IFERROR(IF(ISBLANK(Current_DTE!E11),INDEX(Minutes_by_use_case!$B$2:$B$9,MATCH($B11,Minutes_by_use_case!$A$2:$A$9,0)),Current_DTE!E11),"-")</f>
        <v>721.11352444444435</v>
      </c>
      <c r="F11" s="128">
        <f>IFERROR(IF(ISBLANK(Current_DTE!F11),INDEX(Minutes_by_use_case!$B$2:$B$9,MATCH($B11,Minutes_by_use_case!$A$2:$A$9,0)),Current_DTE!F11),"-")</f>
        <v>721.11352444444435</v>
      </c>
      <c r="G11" s="128">
        <f>IFERROR(IF(ISBLANK(Current_DTE!G11),INDEX(Minutes_by_use_case!$B$2:$B$9,MATCH($B11,Minutes_by_use_case!$A$2:$A$9,0)),Current_DTE!G11),"-")</f>
        <v>721.11352444444435</v>
      </c>
      <c r="H11" s="128">
        <f>IFERROR(IF(ISBLANK(Current_DTE!H11),INDEX(Minutes_by_use_case!$B$2:$B$9,MATCH($B11,Minutes_by_use_case!$A$2:$A$9,0)),Current_DTE!H11),"-")</f>
        <v>721.11352444444435</v>
      </c>
      <c r="I11" s="128">
        <f>IFERROR(IF(ISBLANK(Current_DTE!I11),INDEX(Minutes_by_use_case!$B$2:$B$9,MATCH($B11,Minutes_by_use_case!$A$2:$A$9,0)),Current_DTE!I11),"-")</f>
        <v>721.11352444444435</v>
      </c>
      <c r="J11" s="128">
        <f>IFERROR(IF(ISBLANK(Current_DTE!J11),INDEX(Minutes_by_use_case!$B$2:$B$9,MATCH($B11,Minutes_by_use_case!$A$2:$A$9,0)),Current_DTE!J11),"-")</f>
        <v>721.11352444444435</v>
      </c>
      <c r="K11" s="128">
        <f>IFERROR(IF(ISBLANK(Current_DTE!K11),INDEX(Minutes_by_use_case!$B$2:$B$9,MATCH($B11,Minutes_by_use_case!$A$2:$A$9,0)),Current_DTE!K11),"-")</f>
        <v>721.11352444444435</v>
      </c>
      <c r="L11" s="128">
        <f>IFERROR(IF(ISBLANK(Current_DTE!L11),INDEX(Minutes_by_use_case!$B$2:$B$9,MATCH($B11,Minutes_by_use_case!$A$2:$A$9,0)),Current_DTE!L11),"-")</f>
        <v>721.11352444444435</v>
      </c>
      <c r="M11" s="128">
        <f>IFERROR(IF(ISBLANK(Current_DTE!M11),INDEX(Minutes_by_use_case!$B$2:$B$9,MATCH($B11,Minutes_by_use_case!$A$2:$A$9,0)),Current_DTE!M11),"-")</f>
        <v>721.11352444444435</v>
      </c>
      <c r="N11" s="128">
        <f>IFERROR(IF(ISBLANK(Current_DTE!N11),INDEX(Minutes_by_use_case!$B$2:$B$9,MATCH($B11,Minutes_by_use_case!$A$2:$A$9,0)),Current_DTE!N11),"-")</f>
        <v>721.11352444444435</v>
      </c>
      <c r="O11" s="128">
        <f>IFERROR(IF(ISBLANK(Current_DTE!O11),INDEX(Minutes_by_use_case!$B$2:$B$9,MATCH($B11,Minutes_by_use_case!$A$2:$A$9,0)),Current_DTE!O11),"-")</f>
        <v>721.11352444444435</v>
      </c>
      <c r="P11" s="128">
        <f>IFERROR(IF(ISBLANK(Current_DTE!P11),INDEX(Minutes_by_use_case!$B$2:$B$9,MATCH($B11,Minutes_by_use_case!$A$2:$A$9,0)),Current_DTE!P11),"-")</f>
        <v>721.11352444444435</v>
      </c>
      <c r="Q11" s="128">
        <f>IFERROR(IF(ISBLANK(Current_DTE!Q11),INDEX(Minutes_by_use_case!$B$2:$B$9,MATCH($B11,Minutes_by_use_case!$A$2:$A$9,0)),Current_DTE!Q11),"-")</f>
        <v>721.11352444444435</v>
      </c>
      <c r="R11" s="128">
        <f>IFERROR(IF(ISBLANK(Current_DTE!R11),INDEX(Minutes_by_use_case!$B$2:$B$9,MATCH($B11,Minutes_by_use_case!$A$2:$A$9,0)),Current_DTE!R11),"-")</f>
        <v>721.11352444444435</v>
      </c>
      <c r="S11" s="128">
        <f>IFERROR(IF(ISBLANK(Current_DTE!S11),INDEX(Minutes_by_use_case!$B$2:$B$9,MATCH($B11,Minutes_by_use_case!$A$2:$A$9,0)),Current_DTE!S11),"-")</f>
        <v>721.11352444444435</v>
      </c>
      <c r="T11" s="128">
        <f>IFERROR(IF(ISBLANK(Current_DTE!T11),INDEX(Minutes_by_use_case!$B$2:$B$9,MATCH($B11,Minutes_by_use_case!$A$2:$A$9,0)),Current_DTE!T11),"-")</f>
        <v>721.11352444444435</v>
      </c>
      <c r="U11" s="128">
        <f>IFERROR(IF(ISBLANK(Current_DTE!U11),INDEX(Minutes_by_use_case!$B$2:$B$9,MATCH($B11,Minutes_by_use_case!$A$2:$A$9,0)),Current_DTE!U11),"-")</f>
        <v>721.11352444444435</v>
      </c>
      <c r="V11" s="128">
        <f>IFERROR(IF(ISBLANK(Current_DTE!V11),INDEX(Minutes_by_use_case!$B$2:$B$9,MATCH($B11,Minutes_by_use_case!$A$2:$A$9,0)),Current_DTE!V11),"-")</f>
        <v>721.11352444444435</v>
      </c>
      <c r="W11" s="128">
        <f>IFERROR(IF(ISBLANK(Current_DTE!W11),INDEX(Minutes_by_use_case!$B$2:$B$9,MATCH($B11,Minutes_by_use_case!$A$2:$A$9,0)),Current_DTE!W11),"-")</f>
        <v>721.11352444444435</v>
      </c>
    </row>
    <row r="12" spans="1:23" x14ac:dyDescent="0.3">
      <c r="A12" s="46" t="s">
        <v>72</v>
      </c>
      <c r="B12" s="53" t="s">
        <v>59</v>
      </c>
      <c r="C12" s="48"/>
      <c r="D12" s="128">
        <f>IFERROR(IF(ISBLANK(Current_DTE!D12),INDEX(Minutes_by_use_case!$B$2:$B$9,MATCH($B12,Minutes_by_use_case!$A$2:$A$9,0)),Current_DTE!D12),"-")</f>
        <v>171572.29579277776</v>
      </c>
      <c r="E12" s="128">
        <f>IFERROR(IF(ISBLANK(Current_DTE!E12),INDEX(Minutes_by_use_case!$B$2:$B$9,MATCH($B12,Minutes_by_use_case!$A$2:$A$9,0)),Current_DTE!E12),"-")</f>
        <v>171572.29579277776</v>
      </c>
      <c r="F12" s="128">
        <f>IFERROR(IF(ISBLANK(Current_DTE!F12),INDEX(Minutes_by_use_case!$B$2:$B$9,MATCH($B12,Minutes_by_use_case!$A$2:$A$9,0)),Current_DTE!F12),"-")</f>
        <v>171572.29579277776</v>
      </c>
      <c r="G12" s="128">
        <f>IFERROR(IF(ISBLANK(Current_DTE!G12),INDEX(Minutes_by_use_case!$B$2:$B$9,MATCH($B12,Minutes_by_use_case!$A$2:$A$9,0)),Current_DTE!G12),"-")</f>
        <v>171572.29579277776</v>
      </c>
      <c r="H12" s="128">
        <f>IFERROR(IF(ISBLANK(Current_DTE!H12),INDEX(Minutes_by_use_case!$B$2:$B$9,MATCH($B12,Minutes_by_use_case!$A$2:$A$9,0)),Current_DTE!H12),"-")</f>
        <v>171572.29579277776</v>
      </c>
      <c r="I12" s="128">
        <f>IFERROR(IF(ISBLANK(Current_DTE!I12),INDEX(Minutes_by_use_case!$B$2:$B$9,MATCH($B12,Minutes_by_use_case!$A$2:$A$9,0)),Current_DTE!I12),"-")</f>
        <v>171572.29579277776</v>
      </c>
      <c r="J12" s="128">
        <f>IFERROR(IF(ISBLANK(Current_DTE!J12),INDEX(Minutes_by_use_case!$B$2:$B$9,MATCH($B12,Minutes_by_use_case!$A$2:$A$9,0)),Current_DTE!J12),"-")</f>
        <v>171572.29579277776</v>
      </c>
      <c r="K12" s="128">
        <f>IFERROR(IF(ISBLANK(Current_DTE!K12),INDEX(Minutes_by_use_case!$B$2:$B$9,MATCH($B12,Minutes_by_use_case!$A$2:$A$9,0)),Current_DTE!K12),"-")</f>
        <v>171572.29579277776</v>
      </c>
      <c r="L12" s="128">
        <f>IFERROR(IF(ISBLANK(Current_DTE!L12),INDEX(Minutes_by_use_case!$B$2:$B$9,MATCH($B12,Minutes_by_use_case!$A$2:$A$9,0)),Current_DTE!L12),"-")</f>
        <v>171572.29579277776</v>
      </c>
      <c r="M12" s="128">
        <f>IFERROR(IF(ISBLANK(Current_DTE!M12),INDEX(Minutes_by_use_case!$B$2:$B$9,MATCH($B12,Minutes_by_use_case!$A$2:$A$9,0)),Current_DTE!M12),"-")</f>
        <v>171572.29579277776</v>
      </c>
      <c r="N12" s="128">
        <f>IFERROR(IF(ISBLANK(Current_DTE!N12),INDEX(Minutes_by_use_case!$B$2:$B$9,MATCH($B12,Minutes_by_use_case!$A$2:$A$9,0)),Current_DTE!N12),"-")</f>
        <v>171572.29579277776</v>
      </c>
      <c r="O12" s="128">
        <f>IFERROR(IF(ISBLANK(Current_DTE!O12),INDEX(Minutes_by_use_case!$B$2:$B$9,MATCH($B12,Minutes_by_use_case!$A$2:$A$9,0)),Current_DTE!O12),"-")</f>
        <v>171572.29579277776</v>
      </c>
      <c r="P12" s="128">
        <f>IFERROR(IF(ISBLANK(Current_DTE!P12),INDEX(Minutes_by_use_case!$B$2:$B$9,MATCH($B12,Minutes_by_use_case!$A$2:$A$9,0)),Current_DTE!P12),"-")</f>
        <v>171572.29579277776</v>
      </c>
      <c r="Q12" s="128">
        <f>IFERROR(IF(ISBLANK(Current_DTE!Q12),INDEX(Minutes_by_use_case!$B$2:$B$9,MATCH($B12,Minutes_by_use_case!$A$2:$A$9,0)),Current_DTE!Q12),"-")</f>
        <v>171572.29579277776</v>
      </c>
      <c r="R12" s="128">
        <f>IFERROR(IF(ISBLANK(Current_DTE!R12),INDEX(Minutes_by_use_case!$B$2:$B$9,MATCH($B12,Minutes_by_use_case!$A$2:$A$9,0)),Current_DTE!R12),"-")</f>
        <v>171572.29579277776</v>
      </c>
      <c r="S12" s="128">
        <f>IFERROR(IF(ISBLANK(Current_DTE!S12),INDEX(Minutes_by_use_case!$B$2:$B$9,MATCH($B12,Minutes_by_use_case!$A$2:$A$9,0)),Current_DTE!S12),"-")</f>
        <v>171572.29579277776</v>
      </c>
      <c r="T12" s="128">
        <f>IFERROR(IF(ISBLANK(Current_DTE!T12),INDEX(Minutes_by_use_case!$B$2:$B$9,MATCH($B12,Minutes_by_use_case!$A$2:$A$9,0)),Current_DTE!T12),"-")</f>
        <v>171572.29579277776</v>
      </c>
      <c r="U12" s="128">
        <f>IFERROR(IF(ISBLANK(Current_DTE!U12),INDEX(Minutes_by_use_case!$B$2:$B$9,MATCH($B12,Minutes_by_use_case!$A$2:$A$9,0)),Current_DTE!U12),"-")</f>
        <v>171572.29579277776</v>
      </c>
      <c r="V12" s="128">
        <f>IFERROR(IF(ISBLANK(Current_DTE!V12),INDEX(Minutes_by_use_case!$B$2:$B$9,MATCH($B12,Minutes_by_use_case!$A$2:$A$9,0)),Current_DTE!V12),"-")</f>
        <v>171572.29579277776</v>
      </c>
      <c r="W12" s="128">
        <f>IFERROR(IF(ISBLANK(Current_DTE!W12),INDEX(Minutes_by_use_case!$B$2:$B$9,MATCH($B12,Minutes_by_use_case!$A$2:$A$9,0)),Current_DTE!W12),"-")</f>
        <v>171572.29579277776</v>
      </c>
    </row>
    <row r="13" spans="1:23" x14ac:dyDescent="0.3">
      <c r="A13" s="46" t="s">
        <v>82</v>
      </c>
      <c r="B13" s="55" t="s">
        <v>64</v>
      </c>
      <c r="C13" s="48"/>
      <c r="D13" s="128" t="str">
        <f>IFERROR(IF(ISBLANK(Current_DTE!D13),INDEX(Minutes_by_use_case!$B$2:$B$9,MATCH($B13,Minutes_by_use_case!$A$2:$A$9,0)),Current_DTE!D13),"-")</f>
        <v>-</v>
      </c>
      <c r="E13" s="128" t="str">
        <f>IFERROR(IF(ISBLANK(Current_DTE!E13),INDEX(Minutes_by_use_case!$B$2:$B$9,MATCH($B13,Minutes_by_use_case!$A$2:$A$9,0)),Current_DTE!E13),"-")</f>
        <v>-</v>
      </c>
      <c r="F13" s="128" t="str">
        <f>IFERROR(IF(ISBLANK(Current_DTE!F13),INDEX(Minutes_by_use_case!$B$2:$B$9,MATCH($B13,Minutes_by_use_case!$A$2:$A$9,0)),Current_DTE!F13),"-")</f>
        <v>-</v>
      </c>
      <c r="G13" s="128" t="str">
        <f>IFERROR(IF(ISBLANK(Current_DTE!G13),INDEX(Minutes_by_use_case!$B$2:$B$9,MATCH($B13,Minutes_by_use_case!$A$2:$A$9,0)),Current_DTE!G13),"-")</f>
        <v>-</v>
      </c>
      <c r="H13" s="128" t="str">
        <f>IFERROR(IF(ISBLANK(Current_DTE!H13),INDEX(Minutes_by_use_case!$B$2:$B$9,MATCH($B13,Minutes_by_use_case!$A$2:$A$9,0)),Current_DTE!H13),"-")</f>
        <v>-</v>
      </c>
      <c r="I13" s="128" t="str">
        <f>IFERROR(IF(ISBLANK(Current_DTE!I13),INDEX(Minutes_by_use_case!$B$2:$B$9,MATCH($B13,Minutes_by_use_case!$A$2:$A$9,0)),Current_DTE!I13),"-")</f>
        <v>-</v>
      </c>
      <c r="J13" s="128" t="str">
        <f>IFERROR(IF(ISBLANK(Current_DTE!J13),INDEX(Minutes_by_use_case!$B$2:$B$9,MATCH($B13,Minutes_by_use_case!$A$2:$A$9,0)),Current_DTE!J13),"-")</f>
        <v>-</v>
      </c>
      <c r="K13" s="128" t="str">
        <f>IFERROR(IF(ISBLANK(Current_DTE!K13),INDEX(Minutes_by_use_case!$B$2:$B$9,MATCH($B13,Minutes_by_use_case!$A$2:$A$9,0)),Current_DTE!K13),"-")</f>
        <v>-</v>
      </c>
      <c r="L13" s="128" t="str">
        <f>IFERROR(IF(ISBLANK(Current_DTE!L13),INDEX(Minutes_by_use_case!$B$2:$B$9,MATCH($B13,Minutes_by_use_case!$A$2:$A$9,0)),Current_DTE!L13),"-")</f>
        <v>-</v>
      </c>
      <c r="M13" s="128" t="str">
        <f>IFERROR(IF(ISBLANK(Current_DTE!M13),INDEX(Minutes_by_use_case!$B$2:$B$9,MATCH($B13,Minutes_by_use_case!$A$2:$A$9,0)),Current_DTE!M13),"-")</f>
        <v>-</v>
      </c>
      <c r="N13" s="128" t="str">
        <f>IFERROR(IF(ISBLANK(Current_DTE!N13),INDEX(Minutes_by_use_case!$B$2:$B$9,MATCH($B13,Minutes_by_use_case!$A$2:$A$9,0)),Current_DTE!N13),"-")</f>
        <v>-</v>
      </c>
      <c r="O13" s="128" t="str">
        <f>IFERROR(IF(ISBLANK(Current_DTE!O13),INDEX(Minutes_by_use_case!$B$2:$B$9,MATCH($B13,Minutes_by_use_case!$A$2:$A$9,0)),Current_DTE!O13),"-")</f>
        <v>-</v>
      </c>
      <c r="P13" s="128" t="str">
        <f>IFERROR(IF(ISBLANK(Current_DTE!P13),INDEX(Minutes_by_use_case!$B$2:$B$9,MATCH($B13,Minutes_by_use_case!$A$2:$A$9,0)),Current_DTE!P13),"-")</f>
        <v>-</v>
      </c>
      <c r="Q13" s="128" t="str">
        <f>IFERROR(IF(ISBLANK(Current_DTE!Q13),INDEX(Minutes_by_use_case!$B$2:$B$9,MATCH($B13,Minutes_by_use_case!$A$2:$A$9,0)),Current_DTE!Q13),"-")</f>
        <v>-</v>
      </c>
      <c r="R13" s="128" t="str">
        <f>IFERROR(IF(ISBLANK(Current_DTE!R13),INDEX(Minutes_by_use_case!$B$2:$B$9,MATCH($B13,Minutes_by_use_case!$A$2:$A$9,0)),Current_DTE!R13),"-")</f>
        <v>-</v>
      </c>
      <c r="S13" s="128" t="str">
        <f>IFERROR(IF(ISBLANK(Current_DTE!S13),INDEX(Minutes_by_use_case!$B$2:$B$9,MATCH($B13,Minutes_by_use_case!$A$2:$A$9,0)),Current_DTE!S13),"-")</f>
        <v>-</v>
      </c>
      <c r="T13" s="128" t="str">
        <f>IFERROR(IF(ISBLANK(Current_DTE!T13),INDEX(Minutes_by_use_case!$B$2:$B$9,MATCH($B13,Minutes_by_use_case!$A$2:$A$9,0)),Current_DTE!T13),"-")</f>
        <v>-</v>
      </c>
      <c r="U13" s="128" t="str">
        <f>IFERROR(IF(ISBLANK(Current_DTE!U13),INDEX(Minutes_by_use_case!$B$2:$B$9,MATCH($B13,Minutes_by_use_case!$A$2:$A$9,0)),Current_DTE!U13),"-")</f>
        <v>-</v>
      </c>
      <c r="V13" s="128" t="str">
        <f>IFERROR(IF(ISBLANK(Current_DTE!V13),INDEX(Minutes_by_use_case!$B$2:$B$9,MATCH($B13,Minutes_by_use_case!$A$2:$A$9,0)),Current_DTE!V13),"-")</f>
        <v>-</v>
      </c>
      <c r="W13" s="128" t="str">
        <f>IFERROR(IF(ISBLANK(Current_DTE!W13),INDEX(Minutes_by_use_case!$B$2:$B$9,MATCH($B13,Minutes_by_use_case!$A$2:$A$9,0)),Current_DTE!W13),"-")</f>
        <v>-</v>
      </c>
    </row>
    <row r="14" spans="1:23" x14ac:dyDescent="0.3">
      <c r="A14" s="46" t="s">
        <v>35</v>
      </c>
      <c r="B14" s="47" t="s">
        <v>57</v>
      </c>
      <c r="C14" s="48" t="s">
        <v>89</v>
      </c>
      <c r="D14" s="128">
        <f>IFERROR(IF(ISBLANK(Current_DTE!D14),INDEX(Minutes_by_use_case!$B$2:$B$9,MATCH($B14,Minutes_by_use_case!$A$2:$A$9,0)),Current_DTE!D14),"-")</f>
        <v>851.36055555555549</v>
      </c>
      <c r="E14" s="128">
        <f>IFERROR(IF(ISBLANK(Current_DTE!E14),INDEX(Minutes_by_use_case!$B$2:$B$9,MATCH($B14,Minutes_by_use_case!$A$2:$A$9,0)),Current_DTE!E14),"-")</f>
        <v>921.41561944444436</v>
      </c>
      <c r="F14" s="128">
        <f>IFERROR(IF(ISBLANK(Current_DTE!F14),INDEX(Minutes_by_use_case!$B$2:$B$9,MATCH($B14,Minutes_by_use_case!$A$2:$A$9,0)),Current_DTE!F14),"-")</f>
        <v>793.34499999999991</v>
      </c>
      <c r="G14" s="128">
        <f>IFERROR(IF(ISBLANK(Current_DTE!G14),INDEX(Minutes_by_use_case!$B$2:$B$9,MATCH($B14,Minutes_by_use_case!$A$2:$A$9,0)),Current_DTE!G14),"-")</f>
        <v>796.60534611111109</v>
      </c>
      <c r="H14" s="128">
        <f>IFERROR(IF(ISBLANK(Current_DTE!H14),INDEX(Minutes_by_use_case!$B$2:$B$9,MATCH($B14,Minutes_by_use_case!$A$2:$A$9,0)),Current_DTE!H14),"-")</f>
        <v>796.60534611111109</v>
      </c>
      <c r="I14" s="128">
        <f>IFERROR(IF(ISBLANK(Current_DTE!I14),INDEX(Minutes_by_use_case!$B$2:$B$9,MATCH($B14,Minutes_by_use_case!$A$2:$A$9,0)),Current_DTE!I14),"-")</f>
        <v>796.60534611111109</v>
      </c>
      <c r="J14" s="128">
        <f>IFERROR(IF(ISBLANK(Current_DTE!J14),INDEX(Minutes_by_use_case!$B$2:$B$9,MATCH($B14,Minutes_by_use_case!$A$2:$A$9,0)),Current_DTE!J14),"-")</f>
        <v>796.60534611111109</v>
      </c>
      <c r="K14" s="128">
        <f>IFERROR(IF(ISBLANK(Current_DTE!K14),INDEX(Minutes_by_use_case!$B$2:$B$9,MATCH($B14,Minutes_by_use_case!$A$2:$A$9,0)),Current_DTE!K14),"-")</f>
        <v>796.60534611111109</v>
      </c>
      <c r="L14" s="128">
        <f>IFERROR(IF(ISBLANK(Current_DTE!L14),INDEX(Minutes_by_use_case!$B$2:$B$9,MATCH($B14,Minutes_by_use_case!$A$2:$A$9,0)),Current_DTE!L14),"-")</f>
        <v>796.60534611111109</v>
      </c>
      <c r="M14" s="128">
        <f>IFERROR(IF(ISBLANK(Current_DTE!M14),INDEX(Minutes_by_use_case!$B$2:$B$9,MATCH($B14,Minutes_by_use_case!$A$2:$A$9,0)),Current_DTE!M14),"-")</f>
        <v>796.60534611111109</v>
      </c>
      <c r="N14" s="128">
        <f>IFERROR(IF(ISBLANK(Current_DTE!N14),INDEX(Minutes_by_use_case!$B$2:$B$9,MATCH($B14,Minutes_by_use_case!$A$2:$A$9,0)),Current_DTE!N14),"-")</f>
        <v>796.60534611111109</v>
      </c>
      <c r="O14" s="128">
        <f>IFERROR(IF(ISBLANK(Current_DTE!O14),INDEX(Minutes_by_use_case!$B$2:$B$9,MATCH($B14,Minutes_by_use_case!$A$2:$A$9,0)),Current_DTE!O14),"-")</f>
        <v>796.60534611111109</v>
      </c>
      <c r="P14" s="128">
        <f>IFERROR(IF(ISBLANK(Current_DTE!P14),INDEX(Minutes_by_use_case!$B$2:$B$9,MATCH($B14,Minutes_by_use_case!$A$2:$A$9,0)),Current_DTE!P14),"-")</f>
        <v>796.60534611111109</v>
      </c>
      <c r="Q14" s="128">
        <f>IFERROR(IF(ISBLANK(Current_DTE!Q14),INDEX(Minutes_by_use_case!$B$2:$B$9,MATCH($B14,Minutes_by_use_case!$A$2:$A$9,0)),Current_DTE!Q14),"-")</f>
        <v>796.60534611111109</v>
      </c>
      <c r="R14" s="128">
        <f>IFERROR(IF(ISBLANK(Current_DTE!R14),INDEX(Minutes_by_use_case!$B$2:$B$9,MATCH($B14,Minutes_by_use_case!$A$2:$A$9,0)),Current_DTE!R14),"-")</f>
        <v>796.60534611111109</v>
      </c>
      <c r="S14" s="128">
        <f>IFERROR(IF(ISBLANK(Current_DTE!S14),INDEX(Minutes_by_use_case!$B$2:$B$9,MATCH($B14,Minutes_by_use_case!$A$2:$A$9,0)),Current_DTE!S14),"-")</f>
        <v>796.60534611111109</v>
      </c>
      <c r="T14" s="128">
        <f>IFERROR(IF(ISBLANK(Current_DTE!T14),INDEX(Minutes_by_use_case!$B$2:$B$9,MATCH($B14,Minutes_by_use_case!$A$2:$A$9,0)),Current_DTE!T14),"-")</f>
        <v>796.60534611111109</v>
      </c>
      <c r="U14" s="128">
        <f>IFERROR(IF(ISBLANK(Current_DTE!U14),INDEX(Minutes_by_use_case!$B$2:$B$9,MATCH($B14,Minutes_by_use_case!$A$2:$A$9,0)),Current_DTE!U14),"-")</f>
        <v>796.60534611111109</v>
      </c>
      <c r="V14" s="128">
        <f>IFERROR(IF(ISBLANK(Current_DTE!V14),INDEX(Minutes_by_use_case!$B$2:$B$9,MATCH($B14,Minutes_by_use_case!$A$2:$A$9,0)),Current_DTE!V14),"-")</f>
        <v>796.60534611111109</v>
      </c>
      <c r="W14" s="128">
        <f>IFERROR(IF(ISBLANK(Current_DTE!W14),INDEX(Minutes_by_use_case!$B$2:$B$9,MATCH($B14,Minutes_by_use_case!$A$2:$A$9,0)),Current_DTE!W14),"-")</f>
        <v>796.60534611111109</v>
      </c>
    </row>
    <row r="15" spans="1:23" x14ac:dyDescent="0.3">
      <c r="A15" s="59" t="s">
        <v>83</v>
      </c>
      <c r="B15" s="47" t="s">
        <v>56</v>
      </c>
      <c r="C15" s="48"/>
      <c r="D15" s="128">
        <f>IFERROR(IF(ISBLANK(Current_DTE!D15),INDEX(Minutes_by_use_case!$B$2:$B$9,MATCH($B15,Minutes_by_use_case!$A$2:$A$9,0)),Current_DTE!D15),"-")</f>
        <v>2140.4341038095235</v>
      </c>
      <c r="E15" s="128">
        <f>IFERROR(IF(ISBLANK(Current_DTE!E15),INDEX(Minutes_by_use_case!$B$2:$B$9,MATCH($B15,Minutes_by_use_case!$A$2:$A$9,0)),Current_DTE!E15),"-")</f>
        <v>2140.4341038095235</v>
      </c>
      <c r="F15" s="128">
        <f>IFERROR(IF(ISBLANK(Current_DTE!F15),INDEX(Minutes_by_use_case!$B$2:$B$9,MATCH($B15,Minutes_by_use_case!$A$2:$A$9,0)),Current_DTE!F15),"-")</f>
        <v>2140.4341038095235</v>
      </c>
      <c r="G15" s="128">
        <f>IFERROR(IF(ISBLANK(Current_DTE!G15),INDEX(Minutes_by_use_case!$B$2:$B$9,MATCH($B15,Minutes_by_use_case!$A$2:$A$9,0)),Current_DTE!G15),"-")</f>
        <v>2140.4341038095235</v>
      </c>
      <c r="H15" s="128">
        <f>IFERROR(IF(ISBLANK(Current_DTE!H15),INDEX(Minutes_by_use_case!$B$2:$B$9,MATCH($B15,Minutes_by_use_case!$A$2:$A$9,0)),Current_DTE!H15),"-")</f>
        <v>2140.4341038095235</v>
      </c>
      <c r="I15" s="128">
        <f>IFERROR(IF(ISBLANK(Current_DTE!I15),INDEX(Minutes_by_use_case!$B$2:$B$9,MATCH($B15,Minutes_by_use_case!$A$2:$A$9,0)),Current_DTE!I15),"-")</f>
        <v>2140.4341038095235</v>
      </c>
      <c r="J15" s="128">
        <f>IFERROR(IF(ISBLANK(Current_DTE!J15),INDEX(Minutes_by_use_case!$B$2:$B$9,MATCH($B15,Minutes_by_use_case!$A$2:$A$9,0)),Current_DTE!J15),"-")</f>
        <v>2140.4341038095235</v>
      </c>
      <c r="K15" s="128">
        <f>IFERROR(IF(ISBLANK(Current_DTE!K15),INDEX(Minutes_by_use_case!$B$2:$B$9,MATCH($B15,Minutes_by_use_case!$A$2:$A$9,0)),Current_DTE!K15),"-")</f>
        <v>2140.4341038095235</v>
      </c>
      <c r="L15" s="128">
        <f>IFERROR(IF(ISBLANK(Current_DTE!L15),INDEX(Minutes_by_use_case!$B$2:$B$9,MATCH($B15,Minutes_by_use_case!$A$2:$A$9,0)),Current_DTE!L15),"-")</f>
        <v>2140.4341038095235</v>
      </c>
      <c r="M15" s="128">
        <f>IFERROR(IF(ISBLANK(Current_DTE!M15),INDEX(Minutes_by_use_case!$B$2:$B$9,MATCH($B15,Minutes_by_use_case!$A$2:$A$9,0)),Current_DTE!M15),"-")</f>
        <v>2140.4341038095235</v>
      </c>
      <c r="N15" s="128">
        <f>IFERROR(IF(ISBLANK(Current_DTE!N15),INDEX(Minutes_by_use_case!$B$2:$B$9,MATCH($B15,Minutes_by_use_case!$A$2:$A$9,0)),Current_DTE!N15),"-")</f>
        <v>2140.4341038095235</v>
      </c>
      <c r="O15" s="128">
        <f>IFERROR(IF(ISBLANK(Current_DTE!O15),INDEX(Minutes_by_use_case!$B$2:$B$9,MATCH($B15,Minutes_by_use_case!$A$2:$A$9,0)),Current_DTE!O15),"-")</f>
        <v>2140.4341038095235</v>
      </c>
      <c r="P15" s="128">
        <f>IFERROR(IF(ISBLANK(Current_DTE!P15),INDEX(Minutes_by_use_case!$B$2:$B$9,MATCH($B15,Minutes_by_use_case!$A$2:$A$9,0)),Current_DTE!P15),"-")</f>
        <v>2140.4341038095235</v>
      </c>
      <c r="Q15" s="128">
        <f>IFERROR(IF(ISBLANK(Current_DTE!Q15),INDEX(Minutes_by_use_case!$B$2:$B$9,MATCH($B15,Minutes_by_use_case!$A$2:$A$9,0)),Current_DTE!Q15),"-")</f>
        <v>2140.4341038095235</v>
      </c>
      <c r="R15" s="128">
        <f>IFERROR(IF(ISBLANK(Current_DTE!R15),INDEX(Minutes_by_use_case!$B$2:$B$9,MATCH($B15,Minutes_by_use_case!$A$2:$A$9,0)),Current_DTE!R15),"-")</f>
        <v>2140.4341038095235</v>
      </c>
      <c r="S15" s="128">
        <f>IFERROR(IF(ISBLANK(Current_DTE!S15),INDEX(Minutes_by_use_case!$B$2:$B$9,MATCH($B15,Minutes_by_use_case!$A$2:$A$9,0)),Current_DTE!S15),"-")</f>
        <v>2140.4341038095235</v>
      </c>
      <c r="T15" s="128">
        <f>IFERROR(IF(ISBLANK(Current_DTE!T15),INDEX(Minutes_by_use_case!$B$2:$B$9,MATCH($B15,Minutes_by_use_case!$A$2:$A$9,0)),Current_DTE!T15),"-")</f>
        <v>2140.4341038095235</v>
      </c>
      <c r="U15" s="128">
        <f>IFERROR(IF(ISBLANK(Current_DTE!U15),INDEX(Minutes_by_use_case!$B$2:$B$9,MATCH($B15,Minutes_by_use_case!$A$2:$A$9,0)),Current_DTE!U15),"-")</f>
        <v>2140.4341038095235</v>
      </c>
      <c r="V15" s="128">
        <f>IFERROR(IF(ISBLANK(Current_DTE!V15),INDEX(Minutes_by_use_case!$B$2:$B$9,MATCH($B15,Minutes_by_use_case!$A$2:$A$9,0)),Current_DTE!V15),"-")</f>
        <v>2140.4341038095235</v>
      </c>
      <c r="W15" s="128">
        <f>IFERROR(IF(ISBLANK(Current_DTE!W15),INDEX(Minutes_by_use_case!$B$2:$B$9,MATCH($B15,Minutes_by_use_case!$A$2:$A$9,0)),Current_DTE!W15),"-")</f>
        <v>2140.4341038095235</v>
      </c>
    </row>
    <row r="16" spans="1:23" x14ac:dyDescent="0.3">
      <c r="A16" s="59" t="s">
        <v>84</v>
      </c>
      <c r="B16" s="47" t="s">
        <v>56</v>
      </c>
      <c r="C16" s="48"/>
      <c r="D16" s="128">
        <f>IFERROR(IF(ISBLANK(Current_DTE!D16),INDEX(Minutes_by_use_case!$B$2:$B$9,MATCH($B16,Minutes_by_use_case!$A$2:$A$9,0)),Current_DTE!D16),"-")</f>
        <v>2140.4341038095235</v>
      </c>
      <c r="E16" s="128">
        <f>IFERROR(IF(ISBLANK(Current_DTE!E16),INDEX(Minutes_by_use_case!$B$2:$B$9,MATCH($B16,Minutes_by_use_case!$A$2:$A$9,0)),Current_DTE!E16),"-")</f>
        <v>2140.4341038095235</v>
      </c>
      <c r="F16" s="128">
        <f>IFERROR(IF(ISBLANK(Current_DTE!F16),INDEX(Minutes_by_use_case!$B$2:$B$9,MATCH($B16,Minutes_by_use_case!$A$2:$A$9,0)),Current_DTE!F16),"-")</f>
        <v>2140.4341038095235</v>
      </c>
      <c r="G16" s="128">
        <f>IFERROR(IF(ISBLANK(Current_DTE!G16),INDEX(Minutes_by_use_case!$B$2:$B$9,MATCH($B16,Minutes_by_use_case!$A$2:$A$9,0)),Current_DTE!G16),"-")</f>
        <v>2140.4341038095235</v>
      </c>
      <c r="H16" s="128">
        <f>IFERROR(IF(ISBLANK(Current_DTE!H16),INDEX(Minutes_by_use_case!$B$2:$B$9,MATCH($B16,Minutes_by_use_case!$A$2:$A$9,0)),Current_DTE!H16),"-")</f>
        <v>2140.4341038095235</v>
      </c>
      <c r="I16" s="128">
        <f>IFERROR(IF(ISBLANK(Current_DTE!I16),INDEX(Minutes_by_use_case!$B$2:$B$9,MATCH($B16,Minutes_by_use_case!$A$2:$A$9,0)),Current_DTE!I16),"-")</f>
        <v>2140.4341038095235</v>
      </c>
      <c r="J16" s="128">
        <f>IFERROR(IF(ISBLANK(Current_DTE!J16),INDEX(Minutes_by_use_case!$B$2:$B$9,MATCH($B16,Minutes_by_use_case!$A$2:$A$9,0)),Current_DTE!J16),"-")</f>
        <v>2140.4341038095235</v>
      </c>
      <c r="K16" s="128">
        <f>IFERROR(IF(ISBLANK(Current_DTE!K16),INDEX(Minutes_by_use_case!$B$2:$B$9,MATCH($B16,Minutes_by_use_case!$A$2:$A$9,0)),Current_DTE!K16),"-")</f>
        <v>2140.4341038095235</v>
      </c>
      <c r="L16" s="128">
        <f>IFERROR(IF(ISBLANK(Current_DTE!L16),INDEX(Minutes_by_use_case!$B$2:$B$9,MATCH($B16,Minutes_by_use_case!$A$2:$A$9,0)),Current_DTE!L16),"-")</f>
        <v>2140.4341038095235</v>
      </c>
      <c r="M16" s="128">
        <f>IFERROR(IF(ISBLANK(Current_DTE!M16),INDEX(Minutes_by_use_case!$B$2:$B$9,MATCH($B16,Minutes_by_use_case!$A$2:$A$9,0)),Current_DTE!M16),"-")</f>
        <v>2140.4341038095235</v>
      </c>
      <c r="N16" s="128">
        <f>IFERROR(IF(ISBLANK(Current_DTE!N16),INDEX(Minutes_by_use_case!$B$2:$B$9,MATCH($B16,Minutes_by_use_case!$A$2:$A$9,0)),Current_DTE!N16),"-")</f>
        <v>2140.4341038095235</v>
      </c>
      <c r="O16" s="128">
        <f>IFERROR(IF(ISBLANK(Current_DTE!O16),INDEX(Minutes_by_use_case!$B$2:$B$9,MATCH($B16,Minutes_by_use_case!$A$2:$A$9,0)),Current_DTE!O16),"-")</f>
        <v>2140.4341038095235</v>
      </c>
      <c r="P16" s="128">
        <f>IFERROR(IF(ISBLANK(Current_DTE!P16),INDEX(Minutes_by_use_case!$B$2:$B$9,MATCH($B16,Minutes_by_use_case!$A$2:$A$9,0)),Current_DTE!P16),"-")</f>
        <v>2140.4341038095235</v>
      </c>
      <c r="Q16" s="128">
        <f>IFERROR(IF(ISBLANK(Current_DTE!Q16),INDEX(Minutes_by_use_case!$B$2:$B$9,MATCH($B16,Minutes_by_use_case!$A$2:$A$9,0)),Current_DTE!Q16),"-")</f>
        <v>2140.4341038095235</v>
      </c>
      <c r="R16" s="128">
        <f>IFERROR(IF(ISBLANK(Current_DTE!R16),INDEX(Minutes_by_use_case!$B$2:$B$9,MATCH($B16,Minutes_by_use_case!$A$2:$A$9,0)),Current_DTE!R16),"-")</f>
        <v>2140.4341038095235</v>
      </c>
      <c r="S16" s="128">
        <f>IFERROR(IF(ISBLANK(Current_DTE!S16),INDEX(Minutes_by_use_case!$B$2:$B$9,MATCH($B16,Minutes_by_use_case!$A$2:$A$9,0)),Current_DTE!S16),"-")</f>
        <v>2140.4341038095235</v>
      </c>
      <c r="T16" s="128">
        <f>IFERROR(IF(ISBLANK(Current_DTE!T16),INDEX(Minutes_by_use_case!$B$2:$B$9,MATCH($B16,Minutes_by_use_case!$A$2:$A$9,0)),Current_DTE!T16),"-")</f>
        <v>2140.4341038095235</v>
      </c>
      <c r="U16" s="128">
        <f>IFERROR(IF(ISBLANK(Current_DTE!U16),INDEX(Minutes_by_use_case!$B$2:$B$9,MATCH($B16,Minutes_by_use_case!$A$2:$A$9,0)),Current_DTE!U16),"-")</f>
        <v>2140.4341038095235</v>
      </c>
      <c r="V16" s="128">
        <f>IFERROR(IF(ISBLANK(Current_DTE!V16),INDEX(Minutes_by_use_case!$B$2:$B$9,MATCH($B16,Minutes_by_use_case!$A$2:$A$9,0)),Current_DTE!V16),"-")</f>
        <v>2140.4341038095235</v>
      </c>
      <c r="W16" s="128">
        <f>IFERROR(IF(ISBLANK(Current_DTE!W16),INDEX(Minutes_by_use_case!$B$2:$B$9,MATCH($B16,Minutes_by_use_case!$A$2:$A$9,0)),Current_DTE!W16),"-")</f>
        <v>2140.4341038095235</v>
      </c>
    </row>
    <row r="17" spans="1:23" x14ac:dyDescent="0.3">
      <c r="A17" s="59" t="s">
        <v>85</v>
      </c>
      <c r="B17" s="47" t="s">
        <v>56</v>
      </c>
      <c r="C17" s="48"/>
      <c r="D17" s="128">
        <f>IFERROR(IF(ISBLANK(Current_DTE!D17),INDEX(Minutes_by_use_case!$B$2:$B$9,MATCH($B17,Minutes_by_use_case!$A$2:$A$9,0)),Current_DTE!D17),"-")</f>
        <v>2140.4341038095235</v>
      </c>
      <c r="E17" s="128">
        <f>IFERROR(IF(ISBLANK(Current_DTE!E17),INDEX(Minutes_by_use_case!$B$2:$B$9,MATCH($B17,Minutes_by_use_case!$A$2:$A$9,0)),Current_DTE!E17),"-")</f>
        <v>2140.4341038095235</v>
      </c>
      <c r="F17" s="128">
        <f>IFERROR(IF(ISBLANK(Current_DTE!F17),INDEX(Minutes_by_use_case!$B$2:$B$9,MATCH($B17,Minutes_by_use_case!$A$2:$A$9,0)),Current_DTE!F17),"-")</f>
        <v>2140.4341038095235</v>
      </c>
      <c r="G17" s="128">
        <f>IFERROR(IF(ISBLANK(Current_DTE!G17),INDEX(Minutes_by_use_case!$B$2:$B$9,MATCH($B17,Minutes_by_use_case!$A$2:$A$9,0)),Current_DTE!G17),"-")</f>
        <v>2140.4341038095235</v>
      </c>
      <c r="H17" s="128">
        <f>IFERROR(IF(ISBLANK(Current_DTE!H17),INDEX(Minutes_by_use_case!$B$2:$B$9,MATCH($B17,Minutes_by_use_case!$A$2:$A$9,0)),Current_DTE!H17),"-")</f>
        <v>2140.4341038095235</v>
      </c>
      <c r="I17" s="128">
        <f>IFERROR(IF(ISBLANK(Current_DTE!I17),INDEX(Minutes_by_use_case!$B$2:$B$9,MATCH($B17,Minutes_by_use_case!$A$2:$A$9,0)),Current_DTE!I17),"-")</f>
        <v>2140.4341038095235</v>
      </c>
      <c r="J17" s="128">
        <f>IFERROR(IF(ISBLANK(Current_DTE!J17),INDEX(Minutes_by_use_case!$B$2:$B$9,MATCH($B17,Minutes_by_use_case!$A$2:$A$9,0)),Current_DTE!J17),"-")</f>
        <v>2140.4341038095235</v>
      </c>
      <c r="K17" s="128">
        <f>IFERROR(IF(ISBLANK(Current_DTE!K17),INDEX(Minutes_by_use_case!$B$2:$B$9,MATCH($B17,Minutes_by_use_case!$A$2:$A$9,0)),Current_DTE!K17),"-")</f>
        <v>2140.4341038095235</v>
      </c>
      <c r="L17" s="128">
        <f>IFERROR(IF(ISBLANK(Current_DTE!L17),INDEX(Minutes_by_use_case!$B$2:$B$9,MATCH($B17,Minutes_by_use_case!$A$2:$A$9,0)),Current_DTE!L17),"-")</f>
        <v>2140.4341038095235</v>
      </c>
      <c r="M17" s="128">
        <f>IFERROR(IF(ISBLANK(Current_DTE!M17),INDEX(Minutes_by_use_case!$B$2:$B$9,MATCH($B17,Minutes_by_use_case!$A$2:$A$9,0)),Current_DTE!M17),"-")</f>
        <v>2140.4341038095235</v>
      </c>
      <c r="N17" s="128">
        <f>IFERROR(IF(ISBLANK(Current_DTE!N17),INDEX(Minutes_by_use_case!$B$2:$B$9,MATCH($B17,Minutes_by_use_case!$A$2:$A$9,0)),Current_DTE!N17),"-")</f>
        <v>2140.4341038095235</v>
      </c>
      <c r="O17" s="128">
        <f>IFERROR(IF(ISBLANK(Current_DTE!O17),INDEX(Minutes_by_use_case!$B$2:$B$9,MATCH($B17,Minutes_by_use_case!$A$2:$A$9,0)),Current_DTE!O17),"-")</f>
        <v>2140.4341038095235</v>
      </c>
      <c r="P17" s="128">
        <f>IFERROR(IF(ISBLANK(Current_DTE!P17),INDEX(Minutes_by_use_case!$B$2:$B$9,MATCH($B17,Minutes_by_use_case!$A$2:$A$9,0)),Current_DTE!P17),"-")</f>
        <v>2140.4341038095235</v>
      </c>
      <c r="Q17" s="128">
        <f>IFERROR(IF(ISBLANK(Current_DTE!Q17),INDEX(Minutes_by_use_case!$B$2:$B$9,MATCH($B17,Minutes_by_use_case!$A$2:$A$9,0)),Current_DTE!Q17),"-")</f>
        <v>2140.4341038095235</v>
      </c>
      <c r="R17" s="128">
        <f>IFERROR(IF(ISBLANK(Current_DTE!R17),INDEX(Minutes_by_use_case!$B$2:$B$9,MATCH($B17,Minutes_by_use_case!$A$2:$A$9,0)),Current_DTE!R17),"-")</f>
        <v>2140.4341038095235</v>
      </c>
      <c r="S17" s="128">
        <f>IFERROR(IF(ISBLANK(Current_DTE!S17),INDEX(Minutes_by_use_case!$B$2:$B$9,MATCH($B17,Minutes_by_use_case!$A$2:$A$9,0)),Current_DTE!S17),"-")</f>
        <v>2140.4341038095235</v>
      </c>
      <c r="T17" s="128">
        <f>IFERROR(IF(ISBLANK(Current_DTE!T17),INDEX(Minutes_by_use_case!$B$2:$B$9,MATCH($B17,Minutes_by_use_case!$A$2:$A$9,0)),Current_DTE!T17),"-")</f>
        <v>2140.4341038095235</v>
      </c>
      <c r="U17" s="128">
        <f>IFERROR(IF(ISBLANK(Current_DTE!U17),INDEX(Minutes_by_use_case!$B$2:$B$9,MATCH($B17,Minutes_by_use_case!$A$2:$A$9,0)),Current_DTE!U17),"-")</f>
        <v>2140.4341038095235</v>
      </c>
      <c r="V17" s="128">
        <f>IFERROR(IF(ISBLANK(Current_DTE!V17),INDEX(Minutes_by_use_case!$B$2:$B$9,MATCH($B17,Minutes_by_use_case!$A$2:$A$9,0)),Current_DTE!V17),"-")</f>
        <v>2140.4341038095235</v>
      </c>
      <c r="W17" s="128">
        <f>IFERROR(IF(ISBLANK(Current_DTE!W17),INDEX(Minutes_by_use_case!$B$2:$B$9,MATCH($B17,Minutes_by_use_case!$A$2:$A$9,0)),Current_DTE!W17),"-")</f>
        <v>2140.4341038095235</v>
      </c>
    </row>
    <row r="18" spans="1:23" x14ac:dyDescent="0.3">
      <c r="A18" s="59" t="s">
        <v>86</v>
      </c>
      <c r="B18" s="47" t="s">
        <v>56</v>
      </c>
      <c r="C18" s="48"/>
      <c r="D18" s="128">
        <f>IFERROR(IF(ISBLANK(Current_DTE!D18),INDEX(Minutes_by_use_case!$B$2:$B$9,MATCH($B18,Minutes_by_use_case!$A$2:$A$9,0)),Current_DTE!D18),"-")</f>
        <v>2140.4341038095235</v>
      </c>
      <c r="E18" s="128">
        <f>IFERROR(IF(ISBLANK(Current_DTE!E18),INDEX(Minutes_by_use_case!$B$2:$B$9,MATCH($B18,Minutes_by_use_case!$A$2:$A$9,0)),Current_DTE!E18),"-")</f>
        <v>2140.4341038095235</v>
      </c>
      <c r="F18" s="128">
        <f>IFERROR(IF(ISBLANK(Current_DTE!F18),INDEX(Minutes_by_use_case!$B$2:$B$9,MATCH($B18,Minutes_by_use_case!$A$2:$A$9,0)),Current_DTE!F18),"-")</f>
        <v>2140.4341038095235</v>
      </c>
      <c r="G18" s="128">
        <f>IFERROR(IF(ISBLANK(Current_DTE!G18),INDEX(Minutes_by_use_case!$B$2:$B$9,MATCH($B18,Minutes_by_use_case!$A$2:$A$9,0)),Current_DTE!G18),"-")</f>
        <v>2140.4341038095235</v>
      </c>
      <c r="H18" s="128">
        <f>IFERROR(IF(ISBLANK(Current_DTE!H18),INDEX(Minutes_by_use_case!$B$2:$B$9,MATCH($B18,Minutes_by_use_case!$A$2:$A$9,0)),Current_DTE!H18),"-")</f>
        <v>2140.4341038095235</v>
      </c>
      <c r="I18" s="128">
        <f>IFERROR(IF(ISBLANK(Current_DTE!I18),INDEX(Minutes_by_use_case!$B$2:$B$9,MATCH($B18,Minutes_by_use_case!$A$2:$A$9,0)),Current_DTE!I18),"-")</f>
        <v>2140.4341038095235</v>
      </c>
      <c r="J18" s="128">
        <f>IFERROR(IF(ISBLANK(Current_DTE!J18),INDEX(Minutes_by_use_case!$B$2:$B$9,MATCH($B18,Minutes_by_use_case!$A$2:$A$9,0)),Current_DTE!J18),"-")</f>
        <v>2140.4341038095235</v>
      </c>
      <c r="K18" s="128">
        <f>IFERROR(IF(ISBLANK(Current_DTE!K18),INDEX(Minutes_by_use_case!$B$2:$B$9,MATCH($B18,Minutes_by_use_case!$A$2:$A$9,0)),Current_DTE!K18),"-")</f>
        <v>2140.4341038095235</v>
      </c>
      <c r="L18" s="128">
        <f>IFERROR(IF(ISBLANK(Current_DTE!L18),INDEX(Minutes_by_use_case!$B$2:$B$9,MATCH($B18,Minutes_by_use_case!$A$2:$A$9,0)),Current_DTE!L18),"-")</f>
        <v>2140.4341038095235</v>
      </c>
      <c r="M18" s="128">
        <f>IFERROR(IF(ISBLANK(Current_DTE!M18),INDEX(Minutes_by_use_case!$B$2:$B$9,MATCH($B18,Minutes_by_use_case!$A$2:$A$9,0)),Current_DTE!M18),"-")</f>
        <v>2140.4341038095235</v>
      </c>
      <c r="N18" s="128">
        <f>IFERROR(IF(ISBLANK(Current_DTE!N18),INDEX(Minutes_by_use_case!$B$2:$B$9,MATCH($B18,Minutes_by_use_case!$A$2:$A$9,0)),Current_DTE!N18),"-")</f>
        <v>2140.4341038095235</v>
      </c>
      <c r="O18" s="128">
        <f>IFERROR(IF(ISBLANK(Current_DTE!O18),INDEX(Minutes_by_use_case!$B$2:$B$9,MATCH($B18,Minutes_by_use_case!$A$2:$A$9,0)),Current_DTE!O18),"-")</f>
        <v>2140.4341038095235</v>
      </c>
      <c r="P18" s="128">
        <f>IFERROR(IF(ISBLANK(Current_DTE!P18),INDEX(Minutes_by_use_case!$B$2:$B$9,MATCH($B18,Minutes_by_use_case!$A$2:$A$9,0)),Current_DTE!P18),"-")</f>
        <v>2140.4341038095235</v>
      </c>
      <c r="Q18" s="128">
        <f>IFERROR(IF(ISBLANK(Current_DTE!Q18),INDEX(Minutes_by_use_case!$B$2:$B$9,MATCH($B18,Minutes_by_use_case!$A$2:$A$9,0)),Current_DTE!Q18),"-")</f>
        <v>2140.4341038095235</v>
      </c>
      <c r="R18" s="128">
        <f>IFERROR(IF(ISBLANK(Current_DTE!R18),INDEX(Minutes_by_use_case!$B$2:$B$9,MATCH($B18,Minutes_by_use_case!$A$2:$A$9,0)),Current_DTE!R18),"-")</f>
        <v>2140.4341038095235</v>
      </c>
      <c r="S18" s="128">
        <f>IFERROR(IF(ISBLANK(Current_DTE!S18),INDEX(Minutes_by_use_case!$B$2:$B$9,MATCH($B18,Minutes_by_use_case!$A$2:$A$9,0)),Current_DTE!S18),"-")</f>
        <v>2140.4341038095235</v>
      </c>
      <c r="T18" s="128">
        <f>IFERROR(IF(ISBLANK(Current_DTE!T18),INDEX(Minutes_by_use_case!$B$2:$B$9,MATCH($B18,Minutes_by_use_case!$A$2:$A$9,0)),Current_DTE!T18),"-")</f>
        <v>2140.4341038095235</v>
      </c>
      <c r="U18" s="128">
        <f>IFERROR(IF(ISBLANK(Current_DTE!U18),INDEX(Minutes_by_use_case!$B$2:$B$9,MATCH($B18,Minutes_by_use_case!$A$2:$A$9,0)),Current_DTE!U18),"-")</f>
        <v>2140.4341038095235</v>
      </c>
      <c r="V18" s="128">
        <f>IFERROR(IF(ISBLANK(Current_DTE!V18),INDEX(Minutes_by_use_case!$B$2:$B$9,MATCH($B18,Minutes_by_use_case!$A$2:$A$9,0)),Current_DTE!V18),"-")</f>
        <v>2140.4341038095235</v>
      </c>
      <c r="W18" s="128">
        <f>IFERROR(IF(ISBLANK(Current_DTE!W18),INDEX(Minutes_by_use_case!$B$2:$B$9,MATCH($B18,Minutes_by_use_case!$A$2:$A$9,0)),Current_DTE!W18),"-")</f>
        <v>2140.4341038095235</v>
      </c>
    </row>
    <row r="19" spans="1:23" x14ac:dyDescent="0.3">
      <c r="A19" s="46" t="s">
        <v>36</v>
      </c>
      <c r="B19" s="47" t="s">
        <v>57</v>
      </c>
      <c r="C19" s="48" t="s">
        <v>89</v>
      </c>
      <c r="D19" s="128">
        <f>IFERROR(IF(ISBLANK(Current_DTE!D19),INDEX(Minutes_by_use_case!$B$2:$B$9,MATCH($B19,Minutes_by_use_case!$A$2:$A$9,0)),Current_DTE!D19),"-")</f>
        <v>3121.1464916666664</v>
      </c>
      <c r="E19" s="128">
        <f>IFERROR(IF(ISBLANK(Current_DTE!E19),INDEX(Minutes_by_use_case!$B$2:$B$9,MATCH($B19,Minutes_by_use_case!$A$2:$A$9,0)),Current_DTE!E19),"-")</f>
        <v>3157.8943527777778</v>
      </c>
      <c r="F19" s="128">
        <f>IFERROR(IF(ISBLANK(Current_DTE!F19),INDEX(Minutes_by_use_case!$B$2:$B$9,MATCH($B19,Minutes_by_use_case!$A$2:$A$9,0)),Current_DTE!F19),"-")</f>
        <v>2937.5030555555554</v>
      </c>
      <c r="G19" s="128">
        <f>IFERROR(IF(ISBLANK(Current_DTE!G19),INDEX(Minutes_by_use_case!$B$2:$B$9,MATCH($B19,Minutes_by_use_case!$A$2:$A$9,0)),Current_DTE!G19),"-")</f>
        <v>3137.9728877777775</v>
      </c>
      <c r="H19" s="128">
        <f>IFERROR(IF(ISBLANK(Current_DTE!H19),INDEX(Minutes_by_use_case!$B$2:$B$9,MATCH($B19,Minutes_by_use_case!$A$2:$A$9,0)),Current_DTE!H19),"-")</f>
        <v>3137.9728877777775</v>
      </c>
      <c r="I19" s="128">
        <f>IFERROR(IF(ISBLANK(Current_DTE!I19),INDEX(Minutes_by_use_case!$B$2:$B$9,MATCH($B19,Minutes_by_use_case!$A$2:$A$9,0)),Current_DTE!I19),"-")</f>
        <v>3137.9728877777775</v>
      </c>
      <c r="J19" s="128">
        <f>IFERROR(IF(ISBLANK(Current_DTE!J19),INDEX(Minutes_by_use_case!$B$2:$B$9,MATCH($B19,Minutes_by_use_case!$A$2:$A$9,0)),Current_DTE!J19),"-")</f>
        <v>3137.9728877777775</v>
      </c>
      <c r="K19" s="128">
        <f>IFERROR(IF(ISBLANK(Current_DTE!K19),INDEX(Minutes_by_use_case!$B$2:$B$9,MATCH($B19,Minutes_by_use_case!$A$2:$A$9,0)),Current_DTE!K19),"-")</f>
        <v>3137.9728877777775</v>
      </c>
      <c r="L19" s="128">
        <f>IFERROR(IF(ISBLANK(Current_DTE!L19),INDEX(Minutes_by_use_case!$B$2:$B$9,MATCH($B19,Minutes_by_use_case!$A$2:$A$9,0)),Current_DTE!L19),"-")</f>
        <v>3137.9728877777775</v>
      </c>
      <c r="M19" s="128">
        <f>IFERROR(IF(ISBLANK(Current_DTE!M19),INDEX(Minutes_by_use_case!$B$2:$B$9,MATCH($B19,Minutes_by_use_case!$A$2:$A$9,0)),Current_DTE!M19),"-")</f>
        <v>3137.9728877777775</v>
      </c>
      <c r="N19" s="128">
        <f>IFERROR(IF(ISBLANK(Current_DTE!N19),INDEX(Minutes_by_use_case!$B$2:$B$9,MATCH($B19,Minutes_by_use_case!$A$2:$A$9,0)),Current_DTE!N19),"-")</f>
        <v>3137.9728877777775</v>
      </c>
      <c r="O19" s="128">
        <f>IFERROR(IF(ISBLANK(Current_DTE!O19),INDEX(Minutes_by_use_case!$B$2:$B$9,MATCH($B19,Minutes_by_use_case!$A$2:$A$9,0)),Current_DTE!O19),"-")</f>
        <v>3137.9728877777775</v>
      </c>
      <c r="P19" s="128">
        <f>IFERROR(IF(ISBLANK(Current_DTE!P19),INDEX(Minutes_by_use_case!$B$2:$B$9,MATCH($B19,Minutes_by_use_case!$A$2:$A$9,0)),Current_DTE!P19),"-")</f>
        <v>3137.9728877777775</v>
      </c>
      <c r="Q19" s="128">
        <f>IFERROR(IF(ISBLANK(Current_DTE!Q19),INDEX(Minutes_by_use_case!$B$2:$B$9,MATCH($B19,Minutes_by_use_case!$A$2:$A$9,0)),Current_DTE!Q19),"-")</f>
        <v>3137.9728877777775</v>
      </c>
      <c r="R19" s="128">
        <f>IFERROR(IF(ISBLANK(Current_DTE!R19),INDEX(Minutes_by_use_case!$B$2:$B$9,MATCH($B19,Minutes_by_use_case!$A$2:$A$9,0)),Current_DTE!R19),"-")</f>
        <v>3137.9728877777775</v>
      </c>
      <c r="S19" s="128">
        <f>IFERROR(IF(ISBLANK(Current_DTE!S19),INDEX(Minutes_by_use_case!$B$2:$B$9,MATCH($B19,Minutes_by_use_case!$A$2:$A$9,0)),Current_DTE!S19),"-")</f>
        <v>3137.9728877777775</v>
      </c>
      <c r="T19" s="128">
        <f>IFERROR(IF(ISBLANK(Current_DTE!T19),INDEX(Minutes_by_use_case!$B$2:$B$9,MATCH($B19,Minutes_by_use_case!$A$2:$A$9,0)),Current_DTE!T19),"-")</f>
        <v>3137.9728877777775</v>
      </c>
      <c r="U19" s="128">
        <f>IFERROR(IF(ISBLANK(Current_DTE!U19),INDEX(Minutes_by_use_case!$B$2:$B$9,MATCH($B19,Minutes_by_use_case!$A$2:$A$9,0)),Current_DTE!U19),"-")</f>
        <v>3137.9728877777775</v>
      </c>
      <c r="V19" s="128">
        <f>IFERROR(IF(ISBLANK(Current_DTE!V19),INDEX(Minutes_by_use_case!$B$2:$B$9,MATCH($B19,Minutes_by_use_case!$A$2:$A$9,0)),Current_DTE!V19),"-")</f>
        <v>3137.9728877777775</v>
      </c>
      <c r="W19" s="128">
        <f>IFERROR(IF(ISBLANK(Current_DTE!W19),INDEX(Minutes_by_use_case!$B$2:$B$9,MATCH($B19,Minutes_by_use_case!$A$2:$A$9,0)),Current_DTE!W19),"-")</f>
        <v>3137.9728877777775</v>
      </c>
    </row>
    <row r="20" spans="1:23" x14ac:dyDescent="0.3">
      <c r="A20" s="46" t="s">
        <v>37</v>
      </c>
      <c r="B20" s="47" t="s">
        <v>57</v>
      </c>
      <c r="C20" s="48" t="s">
        <v>89</v>
      </c>
      <c r="D20" s="128">
        <f>IFERROR(IF(ISBLANK(Current_DTE!D20),INDEX(Minutes_by_use_case!$B$2:$B$9,MATCH($B20,Minutes_by_use_case!$A$2:$A$9,0)),Current_DTE!D20),"-")</f>
        <v>3653.0924999999997</v>
      </c>
      <c r="E20" s="128">
        <f>IFERROR(IF(ISBLANK(Current_DTE!E20),INDEX(Minutes_by_use_case!$B$2:$B$9,MATCH($B20,Minutes_by_use_case!$A$2:$A$9,0)),Current_DTE!E20),"-")</f>
        <v>3468.0533333333337</v>
      </c>
      <c r="F20" s="128">
        <f>IFERROR(IF(ISBLANK(Current_DTE!F20),INDEX(Minutes_by_use_case!$B$2:$B$9,MATCH($B20,Minutes_by_use_case!$A$2:$A$9,0)),Current_DTE!F20),"-")</f>
        <v>3224.0014777777778</v>
      </c>
      <c r="G20" s="128">
        <f>IFERROR(IF(ISBLANK(Current_DTE!G20),INDEX(Minutes_by_use_case!$B$2:$B$9,MATCH($B20,Minutes_by_use_case!$A$2:$A$9,0)),Current_DTE!G20),"-")</f>
        <v>3454.7784394444448</v>
      </c>
      <c r="H20" s="128">
        <f>IFERROR(IF(ISBLANK(Current_DTE!H20),INDEX(Minutes_by_use_case!$B$2:$B$9,MATCH($B20,Minutes_by_use_case!$A$2:$A$9,0)),Current_DTE!H20),"-")</f>
        <v>3454.7784394444448</v>
      </c>
      <c r="I20" s="128">
        <f>IFERROR(IF(ISBLANK(Current_DTE!I20),INDEX(Minutes_by_use_case!$B$2:$B$9,MATCH($B20,Minutes_by_use_case!$A$2:$A$9,0)),Current_DTE!I20),"-")</f>
        <v>3454.7784394444448</v>
      </c>
      <c r="J20" s="128">
        <f>IFERROR(IF(ISBLANK(Current_DTE!J20),INDEX(Minutes_by_use_case!$B$2:$B$9,MATCH($B20,Minutes_by_use_case!$A$2:$A$9,0)),Current_DTE!J20),"-")</f>
        <v>3454.7784394444448</v>
      </c>
      <c r="K20" s="128">
        <f>IFERROR(IF(ISBLANK(Current_DTE!K20),INDEX(Minutes_by_use_case!$B$2:$B$9,MATCH($B20,Minutes_by_use_case!$A$2:$A$9,0)),Current_DTE!K20),"-")</f>
        <v>3454.7784394444448</v>
      </c>
      <c r="L20" s="128">
        <f>IFERROR(IF(ISBLANK(Current_DTE!L20),INDEX(Minutes_by_use_case!$B$2:$B$9,MATCH($B20,Minutes_by_use_case!$A$2:$A$9,0)),Current_DTE!L20),"-")</f>
        <v>3454.7784394444448</v>
      </c>
      <c r="M20" s="128">
        <f>IFERROR(IF(ISBLANK(Current_DTE!M20),INDEX(Minutes_by_use_case!$B$2:$B$9,MATCH($B20,Minutes_by_use_case!$A$2:$A$9,0)),Current_DTE!M20),"-")</f>
        <v>3454.7784394444448</v>
      </c>
      <c r="N20" s="128">
        <f>IFERROR(IF(ISBLANK(Current_DTE!N20),INDEX(Minutes_by_use_case!$B$2:$B$9,MATCH($B20,Minutes_by_use_case!$A$2:$A$9,0)),Current_DTE!N20),"-")</f>
        <v>3454.7784394444448</v>
      </c>
      <c r="O20" s="128">
        <f>IFERROR(IF(ISBLANK(Current_DTE!O20),INDEX(Minutes_by_use_case!$B$2:$B$9,MATCH($B20,Minutes_by_use_case!$A$2:$A$9,0)),Current_DTE!O20),"-")</f>
        <v>3454.7784394444448</v>
      </c>
      <c r="P20" s="128">
        <f>IFERROR(IF(ISBLANK(Current_DTE!P20),INDEX(Minutes_by_use_case!$B$2:$B$9,MATCH($B20,Minutes_by_use_case!$A$2:$A$9,0)),Current_DTE!P20),"-")</f>
        <v>3454.7784394444448</v>
      </c>
      <c r="Q20" s="128">
        <f>IFERROR(IF(ISBLANK(Current_DTE!Q20),INDEX(Minutes_by_use_case!$B$2:$B$9,MATCH($B20,Minutes_by_use_case!$A$2:$A$9,0)),Current_DTE!Q20),"-")</f>
        <v>3454.7784394444448</v>
      </c>
      <c r="R20" s="128">
        <f>IFERROR(IF(ISBLANK(Current_DTE!R20),INDEX(Minutes_by_use_case!$B$2:$B$9,MATCH($B20,Minutes_by_use_case!$A$2:$A$9,0)),Current_DTE!R20),"-")</f>
        <v>3454.7784394444448</v>
      </c>
      <c r="S20" s="128">
        <f>IFERROR(IF(ISBLANK(Current_DTE!S20),INDEX(Minutes_by_use_case!$B$2:$B$9,MATCH($B20,Minutes_by_use_case!$A$2:$A$9,0)),Current_DTE!S20),"-")</f>
        <v>3454.7784394444448</v>
      </c>
      <c r="T20" s="128">
        <f>IFERROR(IF(ISBLANK(Current_DTE!T20),INDEX(Minutes_by_use_case!$B$2:$B$9,MATCH($B20,Minutes_by_use_case!$A$2:$A$9,0)),Current_DTE!T20),"-")</f>
        <v>3454.7784394444448</v>
      </c>
      <c r="U20" s="128">
        <f>IFERROR(IF(ISBLANK(Current_DTE!U20),INDEX(Minutes_by_use_case!$B$2:$B$9,MATCH($B20,Minutes_by_use_case!$A$2:$A$9,0)),Current_DTE!U20),"-")</f>
        <v>3454.7784394444448</v>
      </c>
      <c r="V20" s="128">
        <f>IFERROR(IF(ISBLANK(Current_DTE!V20),INDEX(Minutes_by_use_case!$B$2:$B$9,MATCH($B20,Minutes_by_use_case!$A$2:$A$9,0)),Current_DTE!V20),"-")</f>
        <v>3454.7784394444448</v>
      </c>
      <c r="W20" s="128">
        <f>IFERROR(IF(ISBLANK(Current_DTE!W20),INDEX(Minutes_by_use_case!$B$2:$B$9,MATCH($B20,Minutes_by_use_case!$A$2:$A$9,0)),Current_DTE!W20),"-")</f>
        <v>3454.7784394444448</v>
      </c>
    </row>
    <row r="21" spans="1:23" x14ac:dyDescent="0.3">
      <c r="A21" s="46" t="s">
        <v>40</v>
      </c>
      <c r="B21" s="60" t="s">
        <v>58</v>
      </c>
      <c r="C21" s="48"/>
      <c r="D21" s="128">
        <f>IFERROR(IF(ISBLANK(Current_DTE!D21),INDEX(Minutes_by_use_case!$B$2:$B$9,MATCH($B21,Minutes_by_use_case!$A$2:$A$9,0)),Current_DTE!D21),"-")</f>
        <v>721.11352444444435</v>
      </c>
      <c r="E21" s="128">
        <f>IFERROR(IF(ISBLANK(Current_DTE!E21),INDEX(Minutes_by_use_case!$B$2:$B$9,MATCH($B21,Minutes_by_use_case!$A$2:$A$9,0)),Current_DTE!E21),"-")</f>
        <v>721.11352444444435</v>
      </c>
      <c r="F21" s="128">
        <f>IFERROR(IF(ISBLANK(Current_DTE!F21),INDEX(Minutes_by_use_case!$B$2:$B$9,MATCH($B21,Minutes_by_use_case!$A$2:$A$9,0)),Current_DTE!F21),"-")</f>
        <v>721.11352444444435</v>
      </c>
      <c r="G21" s="128">
        <f>IFERROR(IF(ISBLANK(Current_DTE!G21),INDEX(Minutes_by_use_case!$B$2:$B$9,MATCH($B21,Minutes_by_use_case!$A$2:$A$9,0)),Current_DTE!G21),"-")</f>
        <v>721.11352444444435</v>
      </c>
      <c r="H21" s="128">
        <f>IFERROR(IF(ISBLANK(Current_DTE!H21),INDEX(Minutes_by_use_case!$B$2:$B$9,MATCH($B21,Minutes_by_use_case!$A$2:$A$9,0)),Current_DTE!H21),"-")</f>
        <v>721.11352444444435</v>
      </c>
      <c r="I21" s="128">
        <f>IFERROR(IF(ISBLANK(Current_DTE!I21),INDEX(Minutes_by_use_case!$B$2:$B$9,MATCH($B21,Minutes_by_use_case!$A$2:$A$9,0)),Current_DTE!I21),"-")</f>
        <v>721.11352444444435</v>
      </c>
      <c r="J21" s="128">
        <f>IFERROR(IF(ISBLANK(Current_DTE!J21),INDEX(Minutes_by_use_case!$B$2:$B$9,MATCH($B21,Minutes_by_use_case!$A$2:$A$9,0)),Current_DTE!J21),"-")</f>
        <v>721.11352444444435</v>
      </c>
      <c r="K21" s="128">
        <f>IFERROR(IF(ISBLANK(Current_DTE!K21),INDEX(Minutes_by_use_case!$B$2:$B$9,MATCH($B21,Minutes_by_use_case!$A$2:$A$9,0)),Current_DTE!K21),"-")</f>
        <v>721.11352444444435</v>
      </c>
      <c r="L21" s="128">
        <f>IFERROR(IF(ISBLANK(Current_DTE!L21),INDEX(Minutes_by_use_case!$B$2:$B$9,MATCH($B21,Minutes_by_use_case!$A$2:$A$9,0)),Current_DTE!L21),"-")</f>
        <v>721.11352444444435</v>
      </c>
      <c r="M21" s="128">
        <f>IFERROR(IF(ISBLANK(Current_DTE!M21),INDEX(Minutes_by_use_case!$B$2:$B$9,MATCH($B21,Minutes_by_use_case!$A$2:$A$9,0)),Current_DTE!M21),"-")</f>
        <v>721.11352444444435</v>
      </c>
      <c r="N21" s="128">
        <f>IFERROR(IF(ISBLANK(Current_DTE!N21),INDEX(Minutes_by_use_case!$B$2:$B$9,MATCH($B21,Minutes_by_use_case!$A$2:$A$9,0)),Current_DTE!N21),"-")</f>
        <v>721.11352444444435</v>
      </c>
      <c r="O21" s="128">
        <f>IFERROR(IF(ISBLANK(Current_DTE!O21),INDEX(Minutes_by_use_case!$B$2:$B$9,MATCH($B21,Minutes_by_use_case!$A$2:$A$9,0)),Current_DTE!O21),"-")</f>
        <v>721.11352444444435</v>
      </c>
      <c r="P21" s="128">
        <f>IFERROR(IF(ISBLANK(Current_DTE!P21),INDEX(Minutes_by_use_case!$B$2:$B$9,MATCH($B21,Minutes_by_use_case!$A$2:$A$9,0)),Current_DTE!P21),"-")</f>
        <v>721.11352444444435</v>
      </c>
      <c r="Q21" s="128">
        <f>IFERROR(IF(ISBLANK(Current_DTE!Q21),INDEX(Minutes_by_use_case!$B$2:$B$9,MATCH($B21,Minutes_by_use_case!$A$2:$A$9,0)),Current_DTE!Q21),"-")</f>
        <v>721.11352444444435</v>
      </c>
      <c r="R21" s="128">
        <f>IFERROR(IF(ISBLANK(Current_DTE!R21),INDEX(Minutes_by_use_case!$B$2:$B$9,MATCH($B21,Minutes_by_use_case!$A$2:$A$9,0)),Current_DTE!R21),"-")</f>
        <v>721.11352444444435</v>
      </c>
      <c r="S21" s="128">
        <f>IFERROR(IF(ISBLANK(Current_DTE!S21),INDEX(Minutes_by_use_case!$B$2:$B$9,MATCH($B21,Minutes_by_use_case!$A$2:$A$9,0)),Current_DTE!S21),"-")</f>
        <v>721.11352444444435</v>
      </c>
      <c r="T21" s="128">
        <f>IFERROR(IF(ISBLANK(Current_DTE!T21),INDEX(Minutes_by_use_case!$B$2:$B$9,MATCH($B21,Minutes_by_use_case!$A$2:$A$9,0)),Current_DTE!T21),"-")</f>
        <v>721.11352444444435</v>
      </c>
      <c r="U21" s="128">
        <f>IFERROR(IF(ISBLANK(Current_DTE!U21),INDEX(Minutes_by_use_case!$B$2:$B$9,MATCH($B21,Minutes_by_use_case!$A$2:$A$9,0)),Current_DTE!U21),"-")</f>
        <v>721.11352444444435</v>
      </c>
      <c r="V21" s="128">
        <f>IFERROR(IF(ISBLANK(Current_DTE!V21),INDEX(Minutes_by_use_case!$B$2:$B$9,MATCH($B21,Minutes_by_use_case!$A$2:$A$9,0)),Current_DTE!V21),"-")</f>
        <v>721.11352444444435</v>
      </c>
      <c r="W21" s="128">
        <f>IFERROR(IF(ISBLANK(Current_DTE!W21),INDEX(Minutes_by_use_case!$B$2:$B$9,MATCH($B21,Minutes_by_use_case!$A$2:$A$9,0)),Current_DTE!W21),"-")</f>
        <v>721.11352444444435</v>
      </c>
    </row>
    <row r="22" spans="1:23" x14ac:dyDescent="0.3">
      <c r="A22" s="46" t="s">
        <v>73</v>
      </c>
      <c r="B22" s="47" t="s">
        <v>57</v>
      </c>
      <c r="C22" s="48"/>
      <c r="D22" s="128">
        <f>IFERROR(IF(ISBLANK(Current_DTE!D22),INDEX(Minutes_by_use_case!$B$2:$B$9,MATCH($B22,Minutes_by_use_case!$A$2:$A$9,0)),Current_DTE!D22),"-")</f>
        <v>133409.35004928565</v>
      </c>
      <c r="E22" s="128">
        <f>IFERROR(IF(ISBLANK(Current_DTE!E22),INDEX(Minutes_by_use_case!$B$2:$B$9,MATCH($B22,Minutes_by_use_case!$A$2:$A$9,0)),Current_DTE!E22),"-")</f>
        <v>133409.35004928565</v>
      </c>
      <c r="F22" s="128">
        <f>IFERROR(IF(ISBLANK(Current_DTE!F22),INDEX(Minutes_by_use_case!$B$2:$B$9,MATCH($B22,Minutes_by_use_case!$A$2:$A$9,0)),Current_DTE!F22),"-")</f>
        <v>133409.35004928565</v>
      </c>
      <c r="G22" s="128">
        <f>IFERROR(IF(ISBLANK(Current_DTE!G22),INDEX(Minutes_by_use_case!$B$2:$B$9,MATCH($B22,Minutes_by_use_case!$A$2:$A$9,0)),Current_DTE!G22),"-")</f>
        <v>133409.35004928565</v>
      </c>
      <c r="H22" s="128">
        <f>IFERROR(IF(ISBLANK(Current_DTE!H22),INDEX(Minutes_by_use_case!$B$2:$B$9,MATCH($B22,Minutes_by_use_case!$A$2:$A$9,0)),Current_DTE!H22),"-")</f>
        <v>133409.35004928565</v>
      </c>
      <c r="I22" s="128">
        <f>IFERROR(IF(ISBLANK(Current_DTE!I22),INDEX(Minutes_by_use_case!$B$2:$B$9,MATCH($B22,Minutes_by_use_case!$A$2:$A$9,0)),Current_DTE!I22),"-")</f>
        <v>133409.35004928565</v>
      </c>
      <c r="J22" s="128">
        <f>IFERROR(IF(ISBLANK(Current_DTE!J22),INDEX(Minutes_by_use_case!$B$2:$B$9,MATCH($B22,Minutes_by_use_case!$A$2:$A$9,0)),Current_DTE!J22),"-")</f>
        <v>133409.35004928565</v>
      </c>
      <c r="K22" s="128">
        <f>IFERROR(IF(ISBLANK(Current_DTE!K22),INDEX(Minutes_by_use_case!$B$2:$B$9,MATCH($B22,Minutes_by_use_case!$A$2:$A$9,0)),Current_DTE!K22),"-")</f>
        <v>133409.35004928565</v>
      </c>
      <c r="L22" s="128">
        <f>IFERROR(IF(ISBLANK(Current_DTE!L22),INDEX(Minutes_by_use_case!$B$2:$B$9,MATCH($B22,Minutes_by_use_case!$A$2:$A$9,0)),Current_DTE!L22),"-")</f>
        <v>133409.35004928565</v>
      </c>
      <c r="M22" s="128">
        <f>IFERROR(IF(ISBLANK(Current_DTE!M22),INDEX(Minutes_by_use_case!$B$2:$B$9,MATCH($B22,Minutes_by_use_case!$A$2:$A$9,0)),Current_DTE!M22),"-")</f>
        <v>133409.35004928565</v>
      </c>
      <c r="N22" s="128">
        <f>IFERROR(IF(ISBLANK(Current_DTE!N22),INDEX(Minutes_by_use_case!$B$2:$B$9,MATCH($B22,Minutes_by_use_case!$A$2:$A$9,0)),Current_DTE!N22),"-")</f>
        <v>133409.35004928565</v>
      </c>
      <c r="O22" s="128">
        <f>IFERROR(IF(ISBLANK(Current_DTE!O22),INDEX(Minutes_by_use_case!$B$2:$B$9,MATCH($B22,Minutes_by_use_case!$A$2:$A$9,0)),Current_DTE!O22),"-")</f>
        <v>133409.35004928565</v>
      </c>
      <c r="P22" s="128">
        <f>IFERROR(IF(ISBLANK(Current_DTE!P22),INDEX(Minutes_by_use_case!$B$2:$B$9,MATCH($B22,Minutes_by_use_case!$A$2:$A$9,0)),Current_DTE!P22),"-")</f>
        <v>133409.35004928565</v>
      </c>
      <c r="Q22" s="128">
        <f>IFERROR(IF(ISBLANK(Current_DTE!Q22),INDEX(Minutes_by_use_case!$B$2:$B$9,MATCH($B22,Minutes_by_use_case!$A$2:$A$9,0)),Current_DTE!Q22),"-")</f>
        <v>133409.35004928565</v>
      </c>
      <c r="R22" s="128">
        <f>IFERROR(IF(ISBLANK(Current_DTE!R22),INDEX(Minutes_by_use_case!$B$2:$B$9,MATCH($B22,Minutes_by_use_case!$A$2:$A$9,0)),Current_DTE!R22),"-")</f>
        <v>133409.35004928565</v>
      </c>
      <c r="S22" s="128">
        <f>IFERROR(IF(ISBLANK(Current_DTE!S22),INDEX(Minutes_by_use_case!$B$2:$B$9,MATCH($B22,Minutes_by_use_case!$A$2:$A$9,0)),Current_DTE!S22),"-")</f>
        <v>133409.35004928565</v>
      </c>
      <c r="T22" s="128">
        <f>IFERROR(IF(ISBLANK(Current_DTE!T22),INDEX(Minutes_by_use_case!$B$2:$B$9,MATCH($B22,Minutes_by_use_case!$A$2:$A$9,0)),Current_DTE!T22),"-")</f>
        <v>133409.35004928565</v>
      </c>
      <c r="U22" s="128">
        <f>IFERROR(IF(ISBLANK(Current_DTE!U22),INDEX(Minutes_by_use_case!$B$2:$B$9,MATCH($B22,Minutes_by_use_case!$A$2:$A$9,0)),Current_DTE!U22),"-")</f>
        <v>133409.35004928565</v>
      </c>
      <c r="V22" s="128">
        <f>IFERROR(IF(ISBLANK(Current_DTE!V22),INDEX(Minutes_by_use_case!$B$2:$B$9,MATCH($B22,Minutes_by_use_case!$A$2:$A$9,0)),Current_DTE!V22),"-")</f>
        <v>133409.35004928565</v>
      </c>
      <c r="W22" s="128">
        <f>IFERROR(IF(ISBLANK(Current_DTE!W22),INDEX(Minutes_by_use_case!$B$2:$B$9,MATCH($B22,Minutes_by_use_case!$A$2:$A$9,0)),Current_DTE!W22),"-")</f>
        <v>133409.35004928565</v>
      </c>
    </row>
    <row r="23" spans="1:23" x14ac:dyDescent="0.3">
      <c r="A23" s="46" t="s">
        <v>38</v>
      </c>
      <c r="B23" s="47" t="s">
        <v>57</v>
      </c>
      <c r="C23" s="48" t="s">
        <v>89</v>
      </c>
      <c r="D23" s="128">
        <f>IFERROR(IF(ISBLANK(Current_DTE!D23),INDEX(Minutes_by_use_case!$B$2:$B$9,MATCH($B23,Minutes_by_use_case!$A$2:$A$9,0)),Current_DTE!D23),"-")</f>
        <v>21.986611111111113</v>
      </c>
      <c r="E23" s="128">
        <f>IFERROR(IF(ISBLANK(Current_DTE!E23),INDEX(Minutes_by_use_case!$B$2:$B$9,MATCH($B23,Minutes_by_use_case!$A$2:$A$9,0)),Current_DTE!E23),"-")</f>
        <v>1.1333333333333333</v>
      </c>
      <c r="F23" s="128">
        <f>IFERROR(IF(ISBLANK(Current_DTE!F23),INDEX(Minutes_by_use_case!$B$2:$B$9,MATCH($B23,Minutes_by_use_case!$A$2:$A$9,0)),Current_DTE!F23),"-")</f>
        <v>3.7333333333333334</v>
      </c>
      <c r="G23" s="128">
        <f>IFERROR(IF(ISBLANK(Current_DTE!G23),INDEX(Minutes_by_use_case!$B$2:$B$9,MATCH($B23,Minutes_by_use_case!$A$2:$A$9,0)),Current_DTE!G23),"-")</f>
        <v>23.303841111111115</v>
      </c>
      <c r="H23" s="128">
        <f>IFERROR(IF(ISBLANK(Current_DTE!H23),INDEX(Minutes_by_use_case!$B$2:$B$9,MATCH($B23,Minutes_by_use_case!$A$2:$A$9,0)),Current_DTE!H23),"-")</f>
        <v>23.303841111111115</v>
      </c>
      <c r="I23" s="128">
        <f>IFERROR(IF(ISBLANK(Current_DTE!I23),INDEX(Minutes_by_use_case!$B$2:$B$9,MATCH($B23,Minutes_by_use_case!$A$2:$A$9,0)),Current_DTE!I23),"-")</f>
        <v>23.303841111111115</v>
      </c>
      <c r="J23" s="128">
        <f>IFERROR(IF(ISBLANK(Current_DTE!J23),INDEX(Minutes_by_use_case!$B$2:$B$9,MATCH($B23,Minutes_by_use_case!$A$2:$A$9,0)),Current_DTE!J23),"-")</f>
        <v>23.303841111111115</v>
      </c>
      <c r="K23" s="128">
        <f>IFERROR(IF(ISBLANK(Current_DTE!K23),INDEX(Minutes_by_use_case!$B$2:$B$9,MATCH($B23,Minutes_by_use_case!$A$2:$A$9,0)),Current_DTE!K23),"-")</f>
        <v>23.303841111111115</v>
      </c>
      <c r="L23" s="128">
        <f>IFERROR(IF(ISBLANK(Current_DTE!L23),INDEX(Minutes_by_use_case!$B$2:$B$9,MATCH($B23,Minutes_by_use_case!$A$2:$A$9,0)),Current_DTE!L23),"-")</f>
        <v>23.303841111111115</v>
      </c>
      <c r="M23" s="128">
        <f>IFERROR(IF(ISBLANK(Current_DTE!M23),INDEX(Minutes_by_use_case!$B$2:$B$9,MATCH($B23,Minutes_by_use_case!$A$2:$A$9,0)),Current_DTE!M23),"-")</f>
        <v>23.303841111111115</v>
      </c>
      <c r="N23" s="128">
        <f>IFERROR(IF(ISBLANK(Current_DTE!N23),INDEX(Minutes_by_use_case!$B$2:$B$9,MATCH($B23,Minutes_by_use_case!$A$2:$A$9,0)),Current_DTE!N23),"-")</f>
        <v>23.303841111111115</v>
      </c>
      <c r="O23" s="128">
        <f>IFERROR(IF(ISBLANK(Current_DTE!O23),INDEX(Minutes_by_use_case!$B$2:$B$9,MATCH($B23,Minutes_by_use_case!$A$2:$A$9,0)),Current_DTE!O23),"-")</f>
        <v>23.303841111111115</v>
      </c>
      <c r="P23" s="128">
        <f>IFERROR(IF(ISBLANK(Current_DTE!P23),INDEX(Minutes_by_use_case!$B$2:$B$9,MATCH($B23,Minutes_by_use_case!$A$2:$A$9,0)),Current_DTE!P23),"-")</f>
        <v>23.303841111111115</v>
      </c>
      <c r="Q23" s="128">
        <f>IFERROR(IF(ISBLANK(Current_DTE!Q23),INDEX(Minutes_by_use_case!$B$2:$B$9,MATCH($B23,Minutes_by_use_case!$A$2:$A$9,0)),Current_DTE!Q23),"-")</f>
        <v>23.303841111111115</v>
      </c>
      <c r="R23" s="128">
        <f>IFERROR(IF(ISBLANK(Current_DTE!R23),INDEX(Minutes_by_use_case!$B$2:$B$9,MATCH($B23,Minutes_by_use_case!$A$2:$A$9,0)),Current_DTE!R23),"-")</f>
        <v>23.303841111111115</v>
      </c>
      <c r="S23" s="128">
        <f>IFERROR(IF(ISBLANK(Current_DTE!S23),INDEX(Minutes_by_use_case!$B$2:$B$9,MATCH($B23,Minutes_by_use_case!$A$2:$A$9,0)),Current_DTE!S23),"-")</f>
        <v>23.303841111111115</v>
      </c>
      <c r="T23" s="128">
        <f>IFERROR(IF(ISBLANK(Current_DTE!T23),INDEX(Minutes_by_use_case!$B$2:$B$9,MATCH($B23,Minutes_by_use_case!$A$2:$A$9,0)),Current_DTE!T23),"-")</f>
        <v>23.303841111111115</v>
      </c>
      <c r="U23" s="128">
        <f>IFERROR(IF(ISBLANK(Current_DTE!U23),INDEX(Minutes_by_use_case!$B$2:$B$9,MATCH($B23,Minutes_by_use_case!$A$2:$A$9,0)),Current_DTE!U23),"-")</f>
        <v>23.303841111111115</v>
      </c>
      <c r="V23" s="128">
        <f>IFERROR(IF(ISBLANK(Current_DTE!V23),INDEX(Minutes_by_use_case!$B$2:$B$9,MATCH($B23,Minutes_by_use_case!$A$2:$A$9,0)),Current_DTE!V23),"-")</f>
        <v>23.303841111111115</v>
      </c>
      <c r="W23" s="128">
        <f>IFERROR(IF(ISBLANK(Current_DTE!W23),INDEX(Minutes_by_use_case!$B$2:$B$9,MATCH($B23,Minutes_by_use_case!$A$2:$A$9,0)),Current_DTE!W23),"-")</f>
        <v>23.303841111111115</v>
      </c>
    </row>
    <row r="24" spans="1:23" s="108" customFormat="1" x14ac:dyDescent="0.3">
      <c r="A24" s="122" t="s">
        <v>39</v>
      </c>
      <c r="B24" s="123" t="s">
        <v>59</v>
      </c>
      <c r="C24" s="48" t="s">
        <v>89</v>
      </c>
      <c r="D24" s="128">
        <f>IFERROR(IF(ISBLANK(Current_DTE!D24),INDEX(Minutes_by_use_case!$B$2:$B$9,MATCH($B24,Minutes_by_use_case!$A$2:$A$9,0)),Current_DTE!D24),"-")</f>
        <v>7757.52</v>
      </c>
      <c r="E24" s="128">
        <f>IFERROR(IF(ISBLANK(Current_DTE!E24),INDEX(Minutes_by_use_case!$B$2:$B$9,MATCH($B24,Minutes_by_use_case!$A$2:$A$9,0)),Current_DTE!E24),"-")</f>
        <v>7884.0724999999993</v>
      </c>
      <c r="F24" s="128">
        <f>IFERROR(IF(ISBLANK(Current_DTE!F24),INDEX(Minutes_by_use_case!$B$2:$B$9,MATCH($B24,Minutes_by_use_case!$A$2:$A$9,0)),Current_DTE!F24),"-")</f>
        <v>7411.0455555555554</v>
      </c>
      <c r="G24" s="128">
        <f>IFERROR(IF(ISBLANK(Current_DTE!G24),INDEX(Minutes_by_use_case!$B$2:$B$9,MATCH($B24,Minutes_by_use_case!$A$2:$A$9,0)),Current_DTE!G24),"-")</f>
        <v>7749.4853583333334</v>
      </c>
      <c r="H24" s="128">
        <f>IFERROR(IF(ISBLANK(Current_DTE!H24),INDEX(Minutes_by_use_case!$B$2:$B$9,MATCH($B24,Minutes_by_use_case!$A$2:$A$9,0)),Current_DTE!H24),"-")</f>
        <v>7749.4853583333334</v>
      </c>
      <c r="I24" s="128">
        <f>IFERROR(IF(ISBLANK(Current_DTE!I24),INDEX(Minutes_by_use_case!$B$2:$B$9,MATCH($B24,Minutes_by_use_case!$A$2:$A$9,0)),Current_DTE!I24),"-")</f>
        <v>7749.4853583333334</v>
      </c>
      <c r="J24" s="128">
        <f>IFERROR(IF(ISBLANK(Current_DTE!J24),INDEX(Minutes_by_use_case!$B$2:$B$9,MATCH($B24,Minutes_by_use_case!$A$2:$A$9,0)),Current_DTE!J24),"-")</f>
        <v>7749.4853583333334</v>
      </c>
      <c r="K24" s="128">
        <f>IFERROR(IF(ISBLANK(Current_DTE!K24),INDEX(Minutes_by_use_case!$B$2:$B$9,MATCH($B24,Minutes_by_use_case!$A$2:$A$9,0)),Current_DTE!K24),"-")</f>
        <v>7749.4853583333334</v>
      </c>
      <c r="L24" s="128">
        <f>IFERROR(IF(ISBLANK(Current_DTE!L24),INDEX(Minutes_by_use_case!$B$2:$B$9,MATCH($B24,Minutes_by_use_case!$A$2:$A$9,0)),Current_DTE!L24),"-")</f>
        <v>7749.4853583333334</v>
      </c>
      <c r="M24" s="128">
        <f>IFERROR(IF(ISBLANK(Current_DTE!M24),INDEX(Minutes_by_use_case!$B$2:$B$9,MATCH($B24,Minutes_by_use_case!$A$2:$A$9,0)),Current_DTE!M24),"-")</f>
        <v>7749.4853583333334</v>
      </c>
      <c r="N24" s="128">
        <f>IFERROR(IF(ISBLANK(Current_DTE!N24),INDEX(Minutes_by_use_case!$B$2:$B$9,MATCH($B24,Minutes_by_use_case!$A$2:$A$9,0)),Current_DTE!N24),"-")</f>
        <v>7749.4853583333334</v>
      </c>
      <c r="O24" s="128">
        <f>IFERROR(IF(ISBLANK(Current_DTE!O24),INDEX(Minutes_by_use_case!$B$2:$B$9,MATCH($B24,Minutes_by_use_case!$A$2:$A$9,0)),Current_DTE!O24),"-")</f>
        <v>7749.4853583333334</v>
      </c>
      <c r="P24" s="128">
        <f>IFERROR(IF(ISBLANK(Current_DTE!P24),INDEX(Minutes_by_use_case!$B$2:$B$9,MATCH($B24,Minutes_by_use_case!$A$2:$A$9,0)),Current_DTE!P24),"-")</f>
        <v>7749.4853583333334</v>
      </c>
      <c r="Q24" s="128">
        <f>IFERROR(IF(ISBLANK(Current_DTE!Q24),INDEX(Minutes_by_use_case!$B$2:$B$9,MATCH($B24,Minutes_by_use_case!$A$2:$A$9,0)),Current_DTE!Q24),"-")</f>
        <v>7749.4853583333334</v>
      </c>
      <c r="R24" s="128">
        <f>IFERROR(IF(ISBLANK(Current_DTE!R24),INDEX(Minutes_by_use_case!$B$2:$B$9,MATCH($B24,Minutes_by_use_case!$A$2:$A$9,0)),Current_DTE!R24),"-")</f>
        <v>7749.4853583333334</v>
      </c>
      <c r="S24" s="128">
        <f>IFERROR(IF(ISBLANK(Current_DTE!S24),INDEX(Minutes_by_use_case!$B$2:$B$9,MATCH($B24,Minutes_by_use_case!$A$2:$A$9,0)),Current_DTE!S24),"-")</f>
        <v>7749.4853583333334</v>
      </c>
      <c r="T24" s="128">
        <f>IFERROR(IF(ISBLANK(Current_DTE!T24),INDEX(Minutes_by_use_case!$B$2:$B$9,MATCH($B24,Minutes_by_use_case!$A$2:$A$9,0)),Current_DTE!T24),"-")</f>
        <v>7749.4853583333334</v>
      </c>
      <c r="U24" s="128">
        <f>IFERROR(IF(ISBLANK(Current_DTE!U24),INDEX(Minutes_by_use_case!$B$2:$B$9,MATCH($B24,Minutes_by_use_case!$A$2:$A$9,0)),Current_DTE!U24),"-")</f>
        <v>7749.4853583333334</v>
      </c>
      <c r="V24" s="128">
        <f>IFERROR(IF(ISBLANK(Current_DTE!V24),INDEX(Minutes_by_use_case!$B$2:$B$9,MATCH($B24,Minutes_by_use_case!$A$2:$A$9,0)),Current_DTE!V24),"-")</f>
        <v>7749.4853583333334</v>
      </c>
      <c r="W24" s="128">
        <f>IFERROR(IF(ISBLANK(Current_DTE!W24),INDEX(Minutes_by_use_case!$B$2:$B$9,MATCH($B24,Minutes_by_use_case!$A$2:$A$9,0)),Current_DTE!W24),"-")</f>
        <v>7749.4853583333334</v>
      </c>
    </row>
    <row r="25" spans="1:23" x14ac:dyDescent="0.3">
      <c r="A25" s="46" t="s">
        <v>41</v>
      </c>
      <c r="B25" s="47" t="s">
        <v>60</v>
      </c>
      <c r="C25" s="48"/>
      <c r="D25" s="128">
        <f>IFERROR(IF(ISBLANK(Current_DTE!D25),INDEX(Minutes_by_use_case!$B$2:$B$9,MATCH($B25,Minutes_by_use_case!$A$2:$A$9,0)),Current_DTE!D25),"-")</f>
        <v>0</v>
      </c>
      <c r="E25" s="128">
        <f>IFERROR(IF(ISBLANK(Current_DTE!E25),INDEX(Minutes_by_use_case!$B$2:$B$9,MATCH($B25,Minutes_by_use_case!$A$2:$A$9,0)),Current_DTE!E25),"-")</f>
        <v>0</v>
      </c>
      <c r="F25" s="128">
        <f>IFERROR(IF(ISBLANK(Current_DTE!F25),INDEX(Minutes_by_use_case!$B$2:$B$9,MATCH($B25,Minutes_by_use_case!$A$2:$A$9,0)),Current_DTE!F25),"-")</f>
        <v>0</v>
      </c>
      <c r="G25" s="128">
        <f>IFERROR(IF(ISBLANK(Current_DTE!G25),INDEX(Minutes_by_use_case!$B$2:$B$9,MATCH($B25,Minutes_by_use_case!$A$2:$A$9,0)),Current_DTE!G25),"-")</f>
        <v>0</v>
      </c>
      <c r="H25" s="128">
        <f>IFERROR(IF(ISBLANK(Current_DTE!H25),INDEX(Minutes_by_use_case!$B$2:$B$9,MATCH($B25,Minutes_by_use_case!$A$2:$A$9,0)),Current_DTE!H25),"-")</f>
        <v>0</v>
      </c>
      <c r="I25" s="128">
        <f>IFERROR(IF(ISBLANK(Current_DTE!I25),INDEX(Minutes_by_use_case!$B$2:$B$9,MATCH($B25,Minutes_by_use_case!$A$2:$A$9,0)),Current_DTE!I25),"-")</f>
        <v>0</v>
      </c>
      <c r="J25" s="128">
        <f>IFERROR(IF(ISBLANK(Current_DTE!J25),INDEX(Minutes_by_use_case!$B$2:$B$9,MATCH($B25,Minutes_by_use_case!$A$2:$A$9,0)),Current_DTE!J25),"-")</f>
        <v>0</v>
      </c>
      <c r="K25" s="128">
        <f>IFERROR(IF(ISBLANK(Current_DTE!K25),INDEX(Minutes_by_use_case!$B$2:$B$9,MATCH($B25,Minutes_by_use_case!$A$2:$A$9,0)),Current_DTE!K25),"-")</f>
        <v>0</v>
      </c>
      <c r="L25" s="128">
        <f>IFERROR(IF(ISBLANK(Current_DTE!L25),INDEX(Minutes_by_use_case!$B$2:$B$9,MATCH($B25,Minutes_by_use_case!$A$2:$A$9,0)),Current_DTE!L25),"-")</f>
        <v>0</v>
      </c>
      <c r="M25" s="128">
        <f>IFERROR(IF(ISBLANK(Current_DTE!M25),INDEX(Minutes_by_use_case!$B$2:$B$9,MATCH($B25,Minutes_by_use_case!$A$2:$A$9,0)),Current_DTE!M25),"-")</f>
        <v>0</v>
      </c>
      <c r="N25" s="128">
        <f>IFERROR(IF(ISBLANK(Current_DTE!N25),INDEX(Minutes_by_use_case!$B$2:$B$9,MATCH($B25,Minutes_by_use_case!$A$2:$A$9,0)),Current_DTE!N25),"-")</f>
        <v>0</v>
      </c>
      <c r="O25" s="128">
        <f>IFERROR(IF(ISBLANK(Current_DTE!O25),INDEX(Minutes_by_use_case!$B$2:$B$9,MATCH($B25,Minutes_by_use_case!$A$2:$A$9,0)),Current_DTE!O25),"-")</f>
        <v>0</v>
      </c>
      <c r="P25" s="128">
        <f>IFERROR(IF(ISBLANK(Current_DTE!P25),INDEX(Minutes_by_use_case!$B$2:$B$9,MATCH($B25,Minutes_by_use_case!$A$2:$A$9,0)),Current_DTE!P25),"-")</f>
        <v>0</v>
      </c>
      <c r="Q25" s="128">
        <f>IFERROR(IF(ISBLANK(Current_DTE!Q25),INDEX(Minutes_by_use_case!$B$2:$B$9,MATCH($B25,Minutes_by_use_case!$A$2:$A$9,0)),Current_DTE!Q25),"-")</f>
        <v>0</v>
      </c>
      <c r="R25" s="128">
        <f>IFERROR(IF(ISBLANK(Current_DTE!R25),INDEX(Minutes_by_use_case!$B$2:$B$9,MATCH($B25,Minutes_by_use_case!$A$2:$A$9,0)),Current_DTE!R25),"-")</f>
        <v>0</v>
      </c>
      <c r="S25" s="128">
        <f>IFERROR(IF(ISBLANK(Current_DTE!S25),INDEX(Minutes_by_use_case!$B$2:$B$9,MATCH($B25,Minutes_by_use_case!$A$2:$A$9,0)),Current_DTE!S25),"-")</f>
        <v>0</v>
      </c>
      <c r="T25" s="128">
        <f>IFERROR(IF(ISBLANK(Current_DTE!T25),INDEX(Minutes_by_use_case!$B$2:$B$9,MATCH($B25,Minutes_by_use_case!$A$2:$A$9,0)),Current_DTE!T25),"-")</f>
        <v>0</v>
      </c>
      <c r="U25" s="128">
        <f>IFERROR(IF(ISBLANK(Current_DTE!U25),INDEX(Minutes_by_use_case!$B$2:$B$9,MATCH($B25,Minutes_by_use_case!$A$2:$A$9,0)),Current_DTE!U25),"-")</f>
        <v>0</v>
      </c>
      <c r="V25" s="128">
        <f>IFERROR(IF(ISBLANK(Current_DTE!V25),INDEX(Minutes_by_use_case!$B$2:$B$9,MATCH($B25,Minutes_by_use_case!$A$2:$A$9,0)),Current_DTE!V25),"-")</f>
        <v>0</v>
      </c>
      <c r="W25" s="128">
        <f>IFERROR(IF(ISBLANK(Current_DTE!W25),INDEX(Minutes_by_use_case!$B$2:$B$9,MATCH($B25,Minutes_by_use_case!$A$2:$A$9,0)),Current_DTE!W25),"-")</f>
        <v>0</v>
      </c>
    </row>
    <row r="26" spans="1:23" x14ac:dyDescent="0.3">
      <c r="A26" s="46" t="s">
        <v>74</v>
      </c>
      <c r="B26" s="47" t="s">
        <v>57</v>
      </c>
      <c r="C26" s="48"/>
      <c r="D26" s="128">
        <f>IFERROR(IF(ISBLANK(Current_DTE!D26),INDEX(Minutes_by_use_case!$B$2:$B$9,MATCH($B26,Minutes_by_use_case!$A$2:$A$9,0)),Current_DTE!D26),"-")</f>
        <v>133409.35004928565</v>
      </c>
      <c r="E26" s="128">
        <f>IFERROR(IF(ISBLANK(Current_DTE!E26),INDEX(Minutes_by_use_case!$B$2:$B$9,MATCH($B26,Minutes_by_use_case!$A$2:$A$9,0)),Current_DTE!E26),"-")</f>
        <v>133409.35004928565</v>
      </c>
      <c r="F26" s="128">
        <f>IFERROR(IF(ISBLANK(Current_DTE!F26),INDEX(Minutes_by_use_case!$B$2:$B$9,MATCH($B26,Minutes_by_use_case!$A$2:$A$9,0)),Current_DTE!F26),"-")</f>
        <v>133409.35004928565</v>
      </c>
      <c r="G26" s="128">
        <f>IFERROR(IF(ISBLANK(Current_DTE!G26),INDEX(Minutes_by_use_case!$B$2:$B$9,MATCH($B26,Minutes_by_use_case!$A$2:$A$9,0)),Current_DTE!G26),"-")</f>
        <v>133409.35004928565</v>
      </c>
      <c r="H26" s="128">
        <f>IFERROR(IF(ISBLANK(Current_DTE!H26),INDEX(Minutes_by_use_case!$B$2:$B$9,MATCH($B26,Minutes_by_use_case!$A$2:$A$9,0)),Current_DTE!H26),"-")</f>
        <v>133409.35004928565</v>
      </c>
      <c r="I26" s="128">
        <f>IFERROR(IF(ISBLANK(Current_DTE!I26),INDEX(Minutes_by_use_case!$B$2:$B$9,MATCH($B26,Minutes_by_use_case!$A$2:$A$9,0)),Current_DTE!I26),"-")</f>
        <v>133409.35004928565</v>
      </c>
      <c r="J26" s="128">
        <f>IFERROR(IF(ISBLANK(Current_DTE!J26),INDEX(Minutes_by_use_case!$B$2:$B$9,MATCH($B26,Minutes_by_use_case!$A$2:$A$9,0)),Current_DTE!J26),"-")</f>
        <v>133409.35004928565</v>
      </c>
      <c r="K26" s="128">
        <f>IFERROR(IF(ISBLANK(Current_DTE!K26),INDEX(Minutes_by_use_case!$B$2:$B$9,MATCH($B26,Minutes_by_use_case!$A$2:$A$9,0)),Current_DTE!K26),"-")</f>
        <v>133409.35004928565</v>
      </c>
      <c r="L26" s="128">
        <f>IFERROR(IF(ISBLANK(Current_DTE!L26),INDEX(Minutes_by_use_case!$B$2:$B$9,MATCH($B26,Minutes_by_use_case!$A$2:$A$9,0)),Current_DTE!L26),"-")</f>
        <v>133409.35004928565</v>
      </c>
      <c r="M26" s="128">
        <f>IFERROR(IF(ISBLANK(Current_DTE!M26),INDEX(Minutes_by_use_case!$B$2:$B$9,MATCH($B26,Minutes_by_use_case!$A$2:$A$9,0)),Current_DTE!M26),"-")</f>
        <v>133409.35004928565</v>
      </c>
      <c r="N26" s="128">
        <f>IFERROR(IF(ISBLANK(Current_DTE!N26),INDEX(Minutes_by_use_case!$B$2:$B$9,MATCH($B26,Minutes_by_use_case!$A$2:$A$9,0)),Current_DTE!N26),"-")</f>
        <v>133409.35004928565</v>
      </c>
      <c r="O26" s="128">
        <f>IFERROR(IF(ISBLANK(Current_DTE!O26),INDEX(Minutes_by_use_case!$B$2:$B$9,MATCH($B26,Minutes_by_use_case!$A$2:$A$9,0)),Current_DTE!O26),"-")</f>
        <v>133409.35004928565</v>
      </c>
      <c r="P26" s="128">
        <f>IFERROR(IF(ISBLANK(Current_DTE!P26),INDEX(Minutes_by_use_case!$B$2:$B$9,MATCH($B26,Minutes_by_use_case!$A$2:$A$9,0)),Current_DTE!P26),"-")</f>
        <v>133409.35004928565</v>
      </c>
      <c r="Q26" s="128">
        <f>IFERROR(IF(ISBLANK(Current_DTE!Q26),INDEX(Minutes_by_use_case!$B$2:$B$9,MATCH($B26,Minutes_by_use_case!$A$2:$A$9,0)),Current_DTE!Q26),"-")</f>
        <v>133409.35004928565</v>
      </c>
      <c r="R26" s="128">
        <f>IFERROR(IF(ISBLANK(Current_DTE!R26),INDEX(Minutes_by_use_case!$B$2:$B$9,MATCH($B26,Minutes_by_use_case!$A$2:$A$9,0)),Current_DTE!R26),"-")</f>
        <v>133409.35004928565</v>
      </c>
      <c r="S26" s="128">
        <f>IFERROR(IF(ISBLANK(Current_DTE!S26),INDEX(Minutes_by_use_case!$B$2:$B$9,MATCH($B26,Minutes_by_use_case!$A$2:$A$9,0)),Current_DTE!S26),"-")</f>
        <v>133409.35004928565</v>
      </c>
      <c r="T26" s="128">
        <f>IFERROR(IF(ISBLANK(Current_DTE!T26),INDEX(Minutes_by_use_case!$B$2:$B$9,MATCH($B26,Minutes_by_use_case!$A$2:$A$9,0)),Current_DTE!T26),"-")</f>
        <v>133409.35004928565</v>
      </c>
      <c r="U26" s="128">
        <f>IFERROR(IF(ISBLANK(Current_DTE!U26),INDEX(Minutes_by_use_case!$B$2:$B$9,MATCH($B26,Minutes_by_use_case!$A$2:$A$9,0)),Current_DTE!U26),"-")</f>
        <v>133409.35004928565</v>
      </c>
      <c r="V26" s="128">
        <f>IFERROR(IF(ISBLANK(Current_DTE!V26),INDEX(Minutes_by_use_case!$B$2:$B$9,MATCH($B26,Minutes_by_use_case!$A$2:$A$9,0)),Current_DTE!V26),"-")</f>
        <v>133409.35004928565</v>
      </c>
      <c r="W26" s="128">
        <f>IFERROR(IF(ISBLANK(Current_DTE!W26),INDEX(Minutes_by_use_case!$B$2:$B$9,MATCH($B26,Minutes_by_use_case!$A$2:$A$9,0)),Current_DTE!W26),"-")</f>
        <v>133409.35004928565</v>
      </c>
    </row>
    <row r="27" spans="1:23" x14ac:dyDescent="0.3">
      <c r="A27" s="46" t="s">
        <v>75</v>
      </c>
      <c r="B27" s="47" t="s">
        <v>57</v>
      </c>
      <c r="C27" s="48"/>
      <c r="D27" s="128">
        <f>IFERROR(IF(ISBLANK(Current_DTE!D27),INDEX(Minutes_by_use_case!$B$2:$B$9,MATCH($B27,Minutes_by_use_case!$A$2:$A$9,0)),Current_DTE!D27),"-")</f>
        <v>133409.35004928565</v>
      </c>
      <c r="E27" s="128">
        <f>IFERROR(IF(ISBLANK(Current_DTE!E27),INDEX(Minutes_by_use_case!$B$2:$B$9,MATCH($B27,Minutes_by_use_case!$A$2:$A$9,0)),Current_DTE!E27),"-")</f>
        <v>133409.35004928565</v>
      </c>
      <c r="F27" s="128">
        <f>IFERROR(IF(ISBLANK(Current_DTE!F27),INDEX(Minutes_by_use_case!$B$2:$B$9,MATCH($B27,Minutes_by_use_case!$A$2:$A$9,0)),Current_DTE!F27),"-")</f>
        <v>133409.35004928565</v>
      </c>
      <c r="G27" s="128">
        <f>IFERROR(IF(ISBLANK(Current_DTE!G27),INDEX(Minutes_by_use_case!$B$2:$B$9,MATCH($B27,Minutes_by_use_case!$A$2:$A$9,0)),Current_DTE!G27),"-")</f>
        <v>133409.35004928565</v>
      </c>
      <c r="H27" s="128">
        <f>IFERROR(IF(ISBLANK(Current_DTE!H27),INDEX(Minutes_by_use_case!$B$2:$B$9,MATCH($B27,Minutes_by_use_case!$A$2:$A$9,0)),Current_DTE!H27),"-")</f>
        <v>133409.35004928565</v>
      </c>
      <c r="I27" s="128">
        <f>IFERROR(IF(ISBLANK(Current_DTE!I27),INDEX(Minutes_by_use_case!$B$2:$B$9,MATCH($B27,Minutes_by_use_case!$A$2:$A$9,0)),Current_DTE!I27),"-")</f>
        <v>133409.35004928565</v>
      </c>
      <c r="J27" s="128">
        <f>IFERROR(IF(ISBLANK(Current_DTE!J27),INDEX(Minutes_by_use_case!$B$2:$B$9,MATCH($B27,Minutes_by_use_case!$A$2:$A$9,0)),Current_DTE!J27),"-")</f>
        <v>133409.35004928565</v>
      </c>
      <c r="K27" s="128">
        <f>IFERROR(IF(ISBLANK(Current_DTE!K27),INDEX(Minutes_by_use_case!$B$2:$B$9,MATCH($B27,Minutes_by_use_case!$A$2:$A$9,0)),Current_DTE!K27),"-")</f>
        <v>133409.35004928565</v>
      </c>
      <c r="L27" s="128">
        <f>IFERROR(IF(ISBLANK(Current_DTE!L27),INDEX(Minutes_by_use_case!$B$2:$B$9,MATCH($B27,Minutes_by_use_case!$A$2:$A$9,0)),Current_DTE!L27),"-")</f>
        <v>133409.35004928565</v>
      </c>
      <c r="M27" s="128">
        <f>IFERROR(IF(ISBLANK(Current_DTE!M27),INDEX(Minutes_by_use_case!$B$2:$B$9,MATCH($B27,Minutes_by_use_case!$A$2:$A$9,0)),Current_DTE!M27),"-")</f>
        <v>133409.35004928565</v>
      </c>
      <c r="N27" s="128">
        <f>IFERROR(IF(ISBLANK(Current_DTE!N27),INDEX(Minutes_by_use_case!$B$2:$B$9,MATCH($B27,Minutes_by_use_case!$A$2:$A$9,0)),Current_DTE!N27),"-")</f>
        <v>133409.35004928565</v>
      </c>
      <c r="O27" s="128">
        <f>IFERROR(IF(ISBLANK(Current_DTE!O27),INDEX(Minutes_by_use_case!$B$2:$B$9,MATCH($B27,Minutes_by_use_case!$A$2:$A$9,0)),Current_DTE!O27),"-")</f>
        <v>133409.35004928565</v>
      </c>
      <c r="P27" s="128">
        <f>IFERROR(IF(ISBLANK(Current_DTE!P27),INDEX(Minutes_by_use_case!$B$2:$B$9,MATCH($B27,Minutes_by_use_case!$A$2:$A$9,0)),Current_DTE!P27),"-")</f>
        <v>133409.35004928565</v>
      </c>
      <c r="Q27" s="128">
        <f>IFERROR(IF(ISBLANK(Current_DTE!Q27),INDEX(Minutes_by_use_case!$B$2:$B$9,MATCH($B27,Minutes_by_use_case!$A$2:$A$9,0)),Current_DTE!Q27),"-")</f>
        <v>133409.35004928565</v>
      </c>
      <c r="R27" s="128">
        <f>IFERROR(IF(ISBLANK(Current_DTE!R27),INDEX(Minutes_by_use_case!$B$2:$B$9,MATCH($B27,Minutes_by_use_case!$A$2:$A$9,0)),Current_DTE!R27),"-")</f>
        <v>133409.35004928565</v>
      </c>
      <c r="S27" s="128">
        <f>IFERROR(IF(ISBLANK(Current_DTE!S27),INDEX(Minutes_by_use_case!$B$2:$B$9,MATCH($B27,Minutes_by_use_case!$A$2:$A$9,0)),Current_DTE!S27),"-")</f>
        <v>133409.35004928565</v>
      </c>
      <c r="T27" s="128">
        <f>IFERROR(IF(ISBLANK(Current_DTE!T27),INDEX(Minutes_by_use_case!$B$2:$B$9,MATCH($B27,Minutes_by_use_case!$A$2:$A$9,0)),Current_DTE!T27),"-")</f>
        <v>133409.35004928565</v>
      </c>
      <c r="U27" s="128">
        <f>IFERROR(IF(ISBLANK(Current_DTE!U27),INDEX(Minutes_by_use_case!$B$2:$B$9,MATCH($B27,Minutes_by_use_case!$A$2:$A$9,0)),Current_DTE!U27),"-")</f>
        <v>133409.35004928565</v>
      </c>
      <c r="V27" s="128">
        <f>IFERROR(IF(ISBLANK(Current_DTE!V27),INDEX(Minutes_by_use_case!$B$2:$B$9,MATCH($B27,Minutes_by_use_case!$A$2:$A$9,0)),Current_DTE!V27),"-")</f>
        <v>133409.35004928565</v>
      </c>
      <c r="W27" s="128">
        <f>IFERROR(IF(ISBLANK(Current_DTE!W27),INDEX(Minutes_by_use_case!$B$2:$B$9,MATCH($B27,Minutes_by_use_case!$A$2:$A$9,0)),Current_DTE!W27),"-")</f>
        <v>133409.35004928565</v>
      </c>
    </row>
    <row r="28" spans="1:23" x14ac:dyDescent="0.3">
      <c r="A28" s="46" t="s">
        <v>76</v>
      </c>
      <c r="B28" s="47" t="s">
        <v>57</v>
      </c>
      <c r="C28" s="48"/>
      <c r="D28" s="128">
        <f>IFERROR(IF(ISBLANK(Current_DTE!D28),INDEX(Minutes_by_use_case!$B$2:$B$9,MATCH($B28,Minutes_by_use_case!$A$2:$A$9,0)),Current_DTE!D28),"-")</f>
        <v>133409.35004928565</v>
      </c>
      <c r="E28" s="128">
        <f>IFERROR(IF(ISBLANK(Current_DTE!E28),INDEX(Minutes_by_use_case!$B$2:$B$9,MATCH($B28,Minutes_by_use_case!$A$2:$A$9,0)),Current_DTE!E28),"-")</f>
        <v>133409.35004928565</v>
      </c>
      <c r="F28" s="128">
        <f>IFERROR(IF(ISBLANK(Current_DTE!F28),INDEX(Minutes_by_use_case!$B$2:$B$9,MATCH($B28,Minutes_by_use_case!$A$2:$A$9,0)),Current_DTE!F28),"-")</f>
        <v>133409.35004928565</v>
      </c>
      <c r="G28" s="128">
        <f>IFERROR(IF(ISBLANK(Current_DTE!G28),INDEX(Minutes_by_use_case!$B$2:$B$9,MATCH($B28,Minutes_by_use_case!$A$2:$A$9,0)),Current_DTE!G28),"-")</f>
        <v>133409.35004928565</v>
      </c>
      <c r="H28" s="128">
        <f>IFERROR(IF(ISBLANK(Current_DTE!H28),INDEX(Minutes_by_use_case!$B$2:$B$9,MATCH($B28,Minutes_by_use_case!$A$2:$A$9,0)),Current_DTE!H28),"-")</f>
        <v>133409.35004928565</v>
      </c>
      <c r="I28" s="128">
        <f>IFERROR(IF(ISBLANK(Current_DTE!I28),INDEX(Minutes_by_use_case!$B$2:$B$9,MATCH($B28,Minutes_by_use_case!$A$2:$A$9,0)),Current_DTE!I28),"-")</f>
        <v>133409.35004928565</v>
      </c>
      <c r="J28" s="128">
        <f>IFERROR(IF(ISBLANK(Current_DTE!J28),INDEX(Minutes_by_use_case!$B$2:$B$9,MATCH($B28,Minutes_by_use_case!$A$2:$A$9,0)),Current_DTE!J28),"-")</f>
        <v>133409.35004928565</v>
      </c>
      <c r="K28" s="128">
        <f>IFERROR(IF(ISBLANK(Current_DTE!K28),INDEX(Minutes_by_use_case!$B$2:$B$9,MATCH($B28,Minutes_by_use_case!$A$2:$A$9,0)),Current_DTE!K28),"-")</f>
        <v>133409.35004928565</v>
      </c>
      <c r="L28" s="128">
        <f>IFERROR(IF(ISBLANK(Current_DTE!L28),INDEX(Minutes_by_use_case!$B$2:$B$9,MATCH($B28,Minutes_by_use_case!$A$2:$A$9,0)),Current_DTE!L28),"-")</f>
        <v>133409.35004928565</v>
      </c>
      <c r="M28" s="128">
        <f>IFERROR(IF(ISBLANK(Current_DTE!M28),INDEX(Minutes_by_use_case!$B$2:$B$9,MATCH($B28,Minutes_by_use_case!$A$2:$A$9,0)),Current_DTE!M28),"-")</f>
        <v>133409.35004928565</v>
      </c>
      <c r="N28" s="128">
        <f>IFERROR(IF(ISBLANK(Current_DTE!N28),INDEX(Minutes_by_use_case!$B$2:$B$9,MATCH($B28,Minutes_by_use_case!$A$2:$A$9,0)),Current_DTE!N28),"-")</f>
        <v>133409.35004928565</v>
      </c>
      <c r="O28" s="128">
        <f>IFERROR(IF(ISBLANK(Current_DTE!O28),INDEX(Minutes_by_use_case!$B$2:$B$9,MATCH($B28,Minutes_by_use_case!$A$2:$A$9,0)),Current_DTE!O28),"-")</f>
        <v>133409.35004928565</v>
      </c>
      <c r="P28" s="128">
        <f>IFERROR(IF(ISBLANK(Current_DTE!P28),INDEX(Minutes_by_use_case!$B$2:$B$9,MATCH($B28,Minutes_by_use_case!$A$2:$A$9,0)),Current_DTE!P28),"-")</f>
        <v>133409.35004928565</v>
      </c>
      <c r="Q28" s="128">
        <f>IFERROR(IF(ISBLANK(Current_DTE!Q28),INDEX(Minutes_by_use_case!$B$2:$B$9,MATCH($B28,Minutes_by_use_case!$A$2:$A$9,0)),Current_DTE!Q28),"-")</f>
        <v>133409.35004928565</v>
      </c>
      <c r="R28" s="128">
        <f>IFERROR(IF(ISBLANK(Current_DTE!R28),INDEX(Minutes_by_use_case!$B$2:$B$9,MATCH($B28,Minutes_by_use_case!$A$2:$A$9,0)),Current_DTE!R28),"-")</f>
        <v>133409.35004928565</v>
      </c>
      <c r="S28" s="128">
        <f>IFERROR(IF(ISBLANK(Current_DTE!S28),INDEX(Minutes_by_use_case!$B$2:$B$9,MATCH($B28,Minutes_by_use_case!$A$2:$A$9,0)),Current_DTE!S28),"-")</f>
        <v>133409.35004928565</v>
      </c>
      <c r="T28" s="128">
        <f>IFERROR(IF(ISBLANK(Current_DTE!T28),INDEX(Minutes_by_use_case!$B$2:$B$9,MATCH($B28,Minutes_by_use_case!$A$2:$A$9,0)),Current_DTE!T28),"-")</f>
        <v>133409.35004928565</v>
      </c>
      <c r="U28" s="128">
        <f>IFERROR(IF(ISBLANK(Current_DTE!U28),INDEX(Minutes_by_use_case!$B$2:$B$9,MATCH($B28,Minutes_by_use_case!$A$2:$A$9,0)),Current_DTE!U28),"-")</f>
        <v>133409.35004928565</v>
      </c>
      <c r="V28" s="128">
        <f>IFERROR(IF(ISBLANK(Current_DTE!V28),INDEX(Minutes_by_use_case!$B$2:$B$9,MATCH($B28,Minutes_by_use_case!$A$2:$A$9,0)),Current_DTE!V28),"-")</f>
        <v>133409.35004928565</v>
      </c>
      <c r="W28" s="128">
        <f>IFERROR(IF(ISBLANK(Current_DTE!W28),INDEX(Minutes_by_use_case!$B$2:$B$9,MATCH($B28,Minutes_by_use_case!$A$2:$A$9,0)),Current_DTE!W28),"-")</f>
        <v>133409.35004928565</v>
      </c>
    </row>
    <row r="29" spans="1:23" x14ac:dyDescent="0.3">
      <c r="A29" s="46" t="s">
        <v>42</v>
      </c>
      <c r="B29" s="54" t="s">
        <v>61</v>
      </c>
      <c r="C29" s="48"/>
      <c r="D29" s="128">
        <f>IFERROR(IF(ISBLANK(Current_DTE!D29),INDEX(Minutes_by_use_case!$B$2:$B$9,MATCH($B29,Minutes_by_use_case!$A$2:$A$9,0)),Current_DTE!D29),"-")</f>
        <v>89453.837836666688</v>
      </c>
      <c r="E29" s="128">
        <f>IFERROR(IF(ISBLANK(Current_DTE!E29),INDEX(Minutes_by_use_case!$B$2:$B$9,MATCH($B29,Minutes_by_use_case!$A$2:$A$9,0)),Current_DTE!E29),"-")</f>
        <v>89453.837836666688</v>
      </c>
      <c r="F29" s="128">
        <f>IFERROR(IF(ISBLANK(Current_DTE!F29),INDEX(Minutes_by_use_case!$B$2:$B$9,MATCH($B29,Minutes_by_use_case!$A$2:$A$9,0)),Current_DTE!F29),"-")</f>
        <v>89453.837836666688</v>
      </c>
      <c r="G29" s="128">
        <f>IFERROR(IF(ISBLANK(Current_DTE!G29),INDEX(Minutes_by_use_case!$B$2:$B$9,MATCH($B29,Minutes_by_use_case!$A$2:$A$9,0)),Current_DTE!G29),"-")</f>
        <v>89453.837836666688</v>
      </c>
      <c r="H29" s="128">
        <f>IFERROR(IF(ISBLANK(Current_DTE!H29),INDEX(Minutes_by_use_case!$B$2:$B$9,MATCH($B29,Minutes_by_use_case!$A$2:$A$9,0)),Current_DTE!H29),"-")</f>
        <v>89453.837836666688</v>
      </c>
      <c r="I29" s="128">
        <f>IFERROR(IF(ISBLANK(Current_DTE!I29),INDEX(Minutes_by_use_case!$B$2:$B$9,MATCH($B29,Minutes_by_use_case!$A$2:$A$9,0)),Current_DTE!I29),"-")</f>
        <v>89453.837836666688</v>
      </c>
      <c r="J29" s="128">
        <f>IFERROR(IF(ISBLANK(Current_DTE!J29),INDEX(Minutes_by_use_case!$B$2:$B$9,MATCH($B29,Minutes_by_use_case!$A$2:$A$9,0)),Current_DTE!J29),"-")</f>
        <v>89453.837836666688</v>
      </c>
      <c r="K29" s="128">
        <f>IFERROR(IF(ISBLANK(Current_DTE!K29),INDEX(Minutes_by_use_case!$B$2:$B$9,MATCH($B29,Minutes_by_use_case!$A$2:$A$9,0)),Current_DTE!K29),"-")</f>
        <v>89453.837836666688</v>
      </c>
      <c r="L29" s="128">
        <f>IFERROR(IF(ISBLANK(Current_DTE!L29),INDEX(Minutes_by_use_case!$B$2:$B$9,MATCH($B29,Minutes_by_use_case!$A$2:$A$9,0)),Current_DTE!L29),"-")</f>
        <v>89453.837836666688</v>
      </c>
      <c r="M29" s="128">
        <f>IFERROR(IF(ISBLANK(Current_DTE!M29),INDEX(Minutes_by_use_case!$B$2:$B$9,MATCH($B29,Minutes_by_use_case!$A$2:$A$9,0)),Current_DTE!M29),"-")</f>
        <v>89453.837836666688</v>
      </c>
      <c r="N29" s="128">
        <f>IFERROR(IF(ISBLANK(Current_DTE!N29),INDEX(Minutes_by_use_case!$B$2:$B$9,MATCH($B29,Minutes_by_use_case!$A$2:$A$9,0)),Current_DTE!N29),"-")</f>
        <v>89453.837836666688</v>
      </c>
      <c r="O29" s="128">
        <f>IFERROR(IF(ISBLANK(Current_DTE!O29),INDEX(Minutes_by_use_case!$B$2:$B$9,MATCH($B29,Minutes_by_use_case!$A$2:$A$9,0)),Current_DTE!O29),"-")</f>
        <v>89453.837836666688</v>
      </c>
      <c r="P29" s="128">
        <f>IFERROR(IF(ISBLANK(Current_DTE!P29),INDEX(Minutes_by_use_case!$B$2:$B$9,MATCH($B29,Minutes_by_use_case!$A$2:$A$9,0)),Current_DTE!P29),"-")</f>
        <v>89453.837836666688</v>
      </c>
      <c r="Q29" s="128">
        <f>IFERROR(IF(ISBLANK(Current_DTE!Q29),INDEX(Minutes_by_use_case!$B$2:$B$9,MATCH($B29,Minutes_by_use_case!$A$2:$A$9,0)),Current_DTE!Q29),"-")</f>
        <v>89453.837836666688</v>
      </c>
      <c r="R29" s="128">
        <f>IFERROR(IF(ISBLANK(Current_DTE!R29),INDEX(Minutes_by_use_case!$B$2:$B$9,MATCH($B29,Minutes_by_use_case!$A$2:$A$9,0)),Current_DTE!R29),"-")</f>
        <v>89453.837836666688</v>
      </c>
      <c r="S29" s="128">
        <f>IFERROR(IF(ISBLANK(Current_DTE!S29),INDEX(Minutes_by_use_case!$B$2:$B$9,MATCH($B29,Minutes_by_use_case!$A$2:$A$9,0)),Current_DTE!S29),"-")</f>
        <v>89453.837836666688</v>
      </c>
      <c r="T29" s="128">
        <f>IFERROR(IF(ISBLANK(Current_DTE!T29),INDEX(Minutes_by_use_case!$B$2:$B$9,MATCH($B29,Minutes_by_use_case!$A$2:$A$9,0)),Current_DTE!T29),"-")</f>
        <v>89453.837836666688</v>
      </c>
      <c r="U29" s="128">
        <f>IFERROR(IF(ISBLANK(Current_DTE!U29),INDEX(Minutes_by_use_case!$B$2:$B$9,MATCH($B29,Minutes_by_use_case!$A$2:$A$9,0)),Current_DTE!U29),"-")</f>
        <v>89453.837836666688</v>
      </c>
      <c r="V29" s="128">
        <f>IFERROR(IF(ISBLANK(Current_DTE!V29),INDEX(Minutes_by_use_case!$B$2:$B$9,MATCH($B29,Minutes_by_use_case!$A$2:$A$9,0)),Current_DTE!V29),"-")</f>
        <v>89453.837836666688</v>
      </c>
      <c r="W29" s="128">
        <f>IFERROR(IF(ISBLANK(Current_DTE!W29),INDEX(Minutes_by_use_case!$B$2:$B$9,MATCH($B29,Minutes_by_use_case!$A$2:$A$9,0)),Current_DTE!W29),"-")</f>
        <v>89453.837836666688</v>
      </c>
    </row>
    <row r="30" spans="1:23" x14ac:dyDescent="0.3">
      <c r="A30" s="46" t="s">
        <v>77</v>
      </c>
      <c r="B30" s="54" t="s">
        <v>58</v>
      </c>
      <c r="C30" s="48"/>
      <c r="D30" s="128">
        <f>IFERROR(IF(ISBLANK(Current_DTE!D30),INDEX(Minutes_by_use_case!$B$2:$B$9,MATCH($B30,Minutes_by_use_case!$A$2:$A$9,0)),Current_DTE!D30),"-")</f>
        <v>721.11352444444435</v>
      </c>
      <c r="E30" s="128">
        <f>IFERROR(IF(ISBLANK(Current_DTE!E30),INDEX(Minutes_by_use_case!$B$2:$B$9,MATCH($B30,Minutes_by_use_case!$A$2:$A$9,0)),Current_DTE!E30),"-")</f>
        <v>721.11352444444435</v>
      </c>
      <c r="F30" s="128">
        <f>IFERROR(IF(ISBLANK(Current_DTE!F30),INDEX(Minutes_by_use_case!$B$2:$B$9,MATCH($B30,Minutes_by_use_case!$A$2:$A$9,0)),Current_DTE!F30),"-")</f>
        <v>721.11352444444435</v>
      </c>
      <c r="G30" s="128">
        <f>IFERROR(IF(ISBLANK(Current_DTE!G30),INDEX(Minutes_by_use_case!$B$2:$B$9,MATCH($B30,Minutes_by_use_case!$A$2:$A$9,0)),Current_DTE!G30),"-")</f>
        <v>721.11352444444435</v>
      </c>
      <c r="H30" s="128">
        <f>IFERROR(IF(ISBLANK(Current_DTE!H30),INDEX(Minutes_by_use_case!$B$2:$B$9,MATCH($B30,Minutes_by_use_case!$A$2:$A$9,0)),Current_DTE!H30),"-")</f>
        <v>721.11352444444435</v>
      </c>
      <c r="I30" s="128">
        <f>IFERROR(IF(ISBLANK(Current_DTE!I30),INDEX(Minutes_by_use_case!$B$2:$B$9,MATCH($B30,Minutes_by_use_case!$A$2:$A$9,0)),Current_DTE!I30),"-")</f>
        <v>721.11352444444435</v>
      </c>
      <c r="J30" s="128">
        <f>IFERROR(IF(ISBLANK(Current_DTE!J30),INDEX(Minutes_by_use_case!$B$2:$B$9,MATCH($B30,Minutes_by_use_case!$A$2:$A$9,0)),Current_DTE!J30),"-")</f>
        <v>721.11352444444435</v>
      </c>
      <c r="K30" s="128">
        <f>IFERROR(IF(ISBLANK(Current_DTE!K30),INDEX(Minutes_by_use_case!$B$2:$B$9,MATCH($B30,Minutes_by_use_case!$A$2:$A$9,0)),Current_DTE!K30),"-")</f>
        <v>721.11352444444435</v>
      </c>
      <c r="L30" s="128">
        <f>IFERROR(IF(ISBLANK(Current_DTE!L30),INDEX(Minutes_by_use_case!$B$2:$B$9,MATCH($B30,Minutes_by_use_case!$A$2:$A$9,0)),Current_DTE!L30),"-")</f>
        <v>721.11352444444435</v>
      </c>
      <c r="M30" s="128">
        <f>IFERROR(IF(ISBLANK(Current_DTE!M30),INDEX(Minutes_by_use_case!$B$2:$B$9,MATCH($B30,Minutes_by_use_case!$A$2:$A$9,0)),Current_DTE!M30),"-")</f>
        <v>721.11352444444435</v>
      </c>
      <c r="N30" s="128">
        <f>IFERROR(IF(ISBLANK(Current_DTE!N30),INDEX(Minutes_by_use_case!$B$2:$B$9,MATCH($B30,Minutes_by_use_case!$A$2:$A$9,0)),Current_DTE!N30),"-")</f>
        <v>721.11352444444435</v>
      </c>
      <c r="O30" s="128">
        <f>IFERROR(IF(ISBLANK(Current_DTE!O30),INDEX(Minutes_by_use_case!$B$2:$B$9,MATCH($B30,Minutes_by_use_case!$A$2:$A$9,0)),Current_DTE!O30),"-")</f>
        <v>721.11352444444435</v>
      </c>
      <c r="P30" s="128">
        <f>IFERROR(IF(ISBLANK(Current_DTE!P30),INDEX(Minutes_by_use_case!$B$2:$B$9,MATCH($B30,Minutes_by_use_case!$A$2:$A$9,0)),Current_DTE!P30),"-")</f>
        <v>721.11352444444435</v>
      </c>
      <c r="Q30" s="128">
        <f>IFERROR(IF(ISBLANK(Current_DTE!Q30),INDEX(Minutes_by_use_case!$B$2:$B$9,MATCH($B30,Minutes_by_use_case!$A$2:$A$9,0)),Current_DTE!Q30),"-")</f>
        <v>721.11352444444435</v>
      </c>
      <c r="R30" s="128">
        <f>IFERROR(IF(ISBLANK(Current_DTE!R30),INDEX(Minutes_by_use_case!$B$2:$B$9,MATCH($B30,Minutes_by_use_case!$A$2:$A$9,0)),Current_DTE!R30),"-")</f>
        <v>721.11352444444435</v>
      </c>
      <c r="S30" s="128">
        <f>IFERROR(IF(ISBLANK(Current_DTE!S30),INDEX(Minutes_by_use_case!$B$2:$B$9,MATCH($B30,Minutes_by_use_case!$A$2:$A$9,0)),Current_DTE!S30),"-")</f>
        <v>721.11352444444435</v>
      </c>
      <c r="T30" s="128">
        <f>IFERROR(IF(ISBLANK(Current_DTE!T30),INDEX(Minutes_by_use_case!$B$2:$B$9,MATCH($B30,Minutes_by_use_case!$A$2:$A$9,0)),Current_DTE!T30),"-")</f>
        <v>721.11352444444435</v>
      </c>
      <c r="U30" s="128">
        <f>IFERROR(IF(ISBLANK(Current_DTE!U30),INDEX(Minutes_by_use_case!$B$2:$B$9,MATCH($B30,Minutes_by_use_case!$A$2:$A$9,0)),Current_DTE!U30),"-")</f>
        <v>721.11352444444435</v>
      </c>
      <c r="V30" s="128">
        <f>IFERROR(IF(ISBLANK(Current_DTE!V30),INDEX(Minutes_by_use_case!$B$2:$B$9,MATCH($B30,Minutes_by_use_case!$A$2:$A$9,0)),Current_DTE!V30),"-")</f>
        <v>721.11352444444435</v>
      </c>
      <c r="W30" s="128">
        <f>IFERROR(IF(ISBLANK(Current_DTE!W30),INDEX(Minutes_by_use_case!$B$2:$B$9,MATCH($B30,Minutes_by_use_case!$A$2:$A$9,0)),Current_DTE!W30),"-")</f>
        <v>721.11352444444435</v>
      </c>
    </row>
    <row r="31" spans="1:23" x14ac:dyDescent="0.3">
      <c r="A31" s="46" t="s">
        <v>87</v>
      </c>
      <c r="B31" s="47" t="s">
        <v>56</v>
      </c>
      <c r="C31" s="48" t="s">
        <v>89</v>
      </c>
      <c r="D31" s="128">
        <f>IFERROR(IF(ISBLANK(Current_DTE!D31),INDEX(Minutes_by_use_case!$B$2:$B$9,MATCH($B31,Minutes_by_use_case!$A$2:$A$9,0)),Current_DTE!D31),"-")</f>
        <v>221.29177222222222</v>
      </c>
      <c r="E31" s="128">
        <f>IFERROR(IF(ISBLANK(Current_DTE!E31),INDEX(Minutes_by_use_case!$B$2:$B$9,MATCH($B31,Minutes_by_use_case!$A$2:$A$9,0)),Current_DTE!E31),"-")</f>
        <v>244.03194444444446</v>
      </c>
      <c r="F31" s="128">
        <f>IFERROR(IF(ISBLANK(Current_DTE!F31),INDEX(Minutes_by_use_case!$B$2:$B$9,MATCH($B31,Minutes_by_use_case!$A$2:$A$9,0)),Current_DTE!F31),"-")</f>
        <v>248.09916666666669</v>
      </c>
      <c r="G31" s="128">
        <f>IFERROR(IF(ISBLANK(Current_DTE!G31),INDEX(Minutes_by_use_case!$B$2:$B$9,MATCH($B31,Minutes_by_use_case!$A$2:$A$9,0)),Current_DTE!G31),"-")</f>
        <v>251.81902111111111</v>
      </c>
      <c r="H31" s="128">
        <f>IFERROR(IF(ISBLANK(Current_DTE!H31),INDEX(Minutes_by_use_case!$B$2:$B$9,MATCH($B31,Minutes_by_use_case!$A$2:$A$9,0)),Current_DTE!H31),"-")</f>
        <v>251.81902111111111</v>
      </c>
      <c r="I31" s="128">
        <f>IFERROR(IF(ISBLANK(Current_DTE!I31),INDEX(Minutes_by_use_case!$B$2:$B$9,MATCH($B31,Minutes_by_use_case!$A$2:$A$9,0)),Current_DTE!I31),"-")</f>
        <v>251.81902111111111</v>
      </c>
      <c r="J31" s="128">
        <f>IFERROR(IF(ISBLANK(Current_DTE!J31),INDEX(Minutes_by_use_case!$B$2:$B$9,MATCH($B31,Minutes_by_use_case!$A$2:$A$9,0)),Current_DTE!J31),"-")</f>
        <v>251.81902111111111</v>
      </c>
      <c r="K31" s="128">
        <f>IFERROR(IF(ISBLANK(Current_DTE!K31),INDEX(Minutes_by_use_case!$B$2:$B$9,MATCH($B31,Minutes_by_use_case!$A$2:$A$9,0)),Current_DTE!K31),"-")</f>
        <v>251.81902111111111</v>
      </c>
      <c r="L31" s="128">
        <f>IFERROR(IF(ISBLANK(Current_DTE!L31),INDEX(Minutes_by_use_case!$B$2:$B$9,MATCH($B31,Minutes_by_use_case!$A$2:$A$9,0)),Current_DTE!L31),"-")</f>
        <v>251.81902111111111</v>
      </c>
      <c r="M31" s="128">
        <f>IFERROR(IF(ISBLANK(Current_DTE!M31),INDEX(Minutes_by_use_case!$B$2:$B$9,MATCH($B31,Minutes_by_use_case!$A$2:$A$9,0)),Current_DTE!M31),"-")</f>
        <v>251.81902111111111</v>
      </c>
      <c r="N31" s="128">
        <f>IFERROR(IF(ISBLANK(Current_DTE!N31),INDEX(Minutes_by_use_case!$B$2:$B$9,MATCH($B31,Minutes_by_use_case!$A$2:$A$9,0)),Current_DTE!N31),"-")</f>
        <v>251.81902111111111</v>
      </c>
      <c r="O31" s="128">
        <f>IFERROR(IF(ISBLANK(Current_DTE!O31),INDEX(Minutes_by_use_case!$B$2:$B$9,MATCH($B31,Minutes_by_use_case!$A$2:$A$9,0)),Current_DTE!O31),"-")</f>
        <v>251.81902111111111</v>
      </c>
      <c r="P31" s="128">
        <f>IFERROR(IF(ISBLANK(Current_DTE!P31),INDEX(Minutes_by_use_case!$B$2:$B$9,MATCH($B31,Minutes_by_use_case!$A$2:$A$9,0)),Current_DTE!P31),"-")</f>
        <v>251.81902111111111</v>
      </c>
      <c r="Q31" s="128">
        <f>IFERROR(IF(ISBLANK(Current_DTE!Q31),INDEX(Minutes_by_use_case!$B$2:$B$9,MATCH($B31,Minutes_by_use_case!$A$2:$A$9,0)),Current_DTE!Q31),"-")</f>
        <v>251.81902111111111</v>
      </c>
      <c r="R31" s="128">
        <f>IFERROR(IF(ISBLANK(Current_DTE!R31),INDEX(Minutes_by_use_case!$B$2:$B$9,MATCH($B31,Minutes_by_use_case!$A$2:$A$9,0)),Current_DTE!R31),"-")</f>
        <v>251.81902111111111</v>
      </c>
      <c r="S31" s="128">
        <f>IFERROR(IF(ISBLANK(Current_DTE!S31),INDEX(Minutes_by_use_case!$B$2:$B$9,MATCH($B31,Minutes_by_use_case!$A$2:$A$9,0)),Current_DTE!S31),"-")</f>
        <v>251.81902111111111</v>
      </c>
      <c r="T31" s="128">
        <f>IFERROR(IF(ISBLANK(Current_DTE!T31),INDEX(Minutes_by_use_case!$B$2:$B$9,MATCH($B31,Minutes_by_use_case!$A$2:$A$9,0)),Current_DTE!T31),"-")</f>
        <v>251.81902111111111</v>
      </c>
      <c r="U31" s="128">
        <f>IFERROR(IF(ISBLANK(Current_DTE!U31),INDEX(Minutes_by_use_case!$B$2:$B$9,MATCH($B31,Minutes_by_use_case!$A$2:$A$9,0)),Current_DTE!U31),"-")</f>
        <v>251.81902111111111</v>
      </c>
      <c r="V31" s="128">
        <f>IFERROR(IF(ISBLANK(Current_DTE!V31),INDEX(Minutes_by_use_case!$B$2:$B$9,MATCH($B31,Minutes_by_use_case!$A$2:$A$9,0)),Current_DTE!V31),"-")</f>
        <v>251.81902111111111</v>
      </c>
      <c r="W31" s="128">
        <f>IFERROR(IF(ISBLANK(Current_DTE!W31),INDEX(Minutes_by_use_case!$B$2:$B$9,MATCH($B31,Minutes_by_use_case!$A$2:$A$9,0)),Current_DTE!W31),"-")</f>
        <v>251.81902111111111</v>
      </c>
    </row>
    <row r="32" spans="1:23" x14ac:dyDescent="0.3">
      <c r="A32" s="46" t="s">
        <v>43</v>
      </c>
      <c r="B32" s="54" t="s">
        <v>61</v>
      </c>
      <c r="C32" s="48" t="s">
        <v>89</v>
      </c>
      <c r="D32" s="128">
        <f>IFERROR(IF(ISBLANK(Current_DTE!D32),INDEX(Minutes_by_use_case!$B$2:$B$9,MATCH($B32,Minutes_by_use_case!$A$2:$A$9,0)),Current_DTE!D32),"-")</f>
        <v>64.996111111111119</v>
      </c>
      <c r="E32" s="128">
        <f>IFERROR(IF(ISBLANK(Current_DTE!E32),INDEX(Minutes_by_use_case!$B$2:$B$9,MATCH($B32,Minutes_by_use_case!$A$2:$A$9,0)),Current_DTE!E32),"-")</f>
        <v>0</v>
      </c>
      <c r="F32" s="128">
        <f>IFERROR(IF(ISBLANK(Current_DTE!F32),INDEX(Minutes_by_use_case!$B$2:$B$9,MATCH($B32,Minutes_by_use_case!$A$2:$A$9,0)),Current_DTE!F32),"-")</f>
        <v>0</v>
      </c>
      <c r="G32" s="128">
        <f>IFERROR(IF(ISBLANK(Current_DTE!G32),INDEX(Minutes_by_use_case!$B$2:$B$9,MATCH($B32,Minutes_by_use_case!$A$2:$A$9,0)),Current_DTE!G32),"-")</f>
        <v>111.85489222222222</v>
      </c>
      <c r="H32" s="128">
        <f>IFERROR(IF(ISBLANK(Current_DTE!H32),INDEX(Minutes_by_use_case!$B$2:$B$9,MATCH($B32,Minutes_by_use_case!$A$2:$A$9,0)),Current_DTE!H32),"-")</f>
        <v>111.85489222222222</v>
      </c>
      <c r="I32" s="128">
        <f>IFERROR(IF(ISBLANK(Current_DTE!I32),INDEX(Minutes_by_use_case!$B$2:$B$9,MATCH($B32,Minutes_by_use_case!$A$2:$A$9,0)),Current_DTE!I32),"-")</f>
        <v>111.85489222222222</v>
      </c>
      <c r="J32" s="128">
        <f>IFERROR(IF(ISBLANK(Current_DTE!J32),INDEX(Minutes_by_use_case!$B$2:$B$9,MATCH($B32,Minutes_by_use_case!$A$2:$A$9,0)),Current_DTE!J32),"-")</f>
        <v>111.85489222222222</v>
      </c>
      <c r="K32" s="128">
        <f>IFERROR(IF(ISBLANK(Current_DTE!K32),INDEX(Minutes_by_use_case!$B$2:$B$9,MATCH($B32,Minutes_by_use_case!$A$2:$A$9,0)),Current_DTE!K32),"-")</f>
        <v>111.85489222222222</v>
      </c>
      <c r="L32" s="128">
        <f>IFERROR(IF(ISBLANK(Current_DTE!L32),INDEX(Minutes_by_use_case!$B$2:$B$9,MATCH($B32,Minutes_by_use_case!$A$2:$A$9,0)),Current_DTE!L32),"-")</f>
        <v>111.85489222222222</v>
      </c>
      <c r="M32" s="128">
        <f>IFERROR(IF(ISBLANK(Current_DTE!M32),INDEX(Minutes_by_use_case!$B$2:$B$9,MATCH($B32,Minutes_by_use_case!$A$2:$A$9,0)),Current_DTE!M32),"-")</f>
        <v>111.85489222222222</v>
      </c>
      <c r="N32" s="128">
        <f>IFERROR(IF(ISBLANK(Current_DTE!N32),INDEX(Minutes_by_use_case!$B$2:$B$9,MATCH($B32,Minutes_by_use_case!$A$2:$A$9,0)),Current_DTE!N32),"-")</f>
        <v>111.85489222222222</v>
      </c>
      <c r="O32" s="128">
        <f>IFERROR(IF(ISBLANK(Current_DTE!O32),INDEX(Minutes_by_use_case!$B$2:$B$9,MATCH($B32,Minutes_by_use_case!$A$2:$A$9,0)),Current_DTE!O32),"-")</f>
        <v>111.85489222222222</v>
      </c>
      <c r="P32" s="128">
        <f>IFERROR(IF(ISBLANK(Current_DTE!P32),INDEX(Minutes_by_use_case!$B$2:$B$9,MATCH($B32,Minutes_by_use_case!$A$2:$A$9,0)),Current_DTE!P32),"-")</f>
        <v>111.85489222222222</v>
      </c>
      <c r="Q32" s="128">
        <f>IFERROR(IF(ISBLANK(Current_DTE!Q32),INDEX(Minutes_by_use_case!$B$2:$B$9,MATCH($B32,Minutes_by_use_case!$A$2:$A$9,0)),Current_DTE!Q32),"-")</f>
        <v>111.85489222222222</v>
      </c>
      <c r="R32" s="128">
        <f>IFERROR(IF(ISBLANK(Current_DTE!R32),INDEX(Minutes_by_use_case!$B$2:$B$9,MATCH($B32,Minutes_by_use_case!$A$2:$A$9,0)),Current_DTE!R32),"-")</f>
        <v>111.85489222222222</v>
      </c>
      <c r="S32" s="128">
        <f>IFERROR(IF(ISBLANK(Current_DTE!S32),INDEX(Minutes_by_use_case!$B$2:$B$9,MATCH($B32,Minutes_by_use_case!$A$2:$A$9,0)),Current_DTE!S32),"-")</f>
        <v>111.85489222222222</v>
      </c>
      <c r="T32" s="128">
        <f>IFERROR(IF(ISBLANK(Current_DTE!T32),INDEX(Minutes_by_use_case!$B$2:$B$9,MATCH($B32,Minutes_by_use_case!$A$2:$A$9,0)),Current_DTE!T32),"-")</f>
        <v>111.85489222222222</v>
      </c>
      <c r="U32" s="128">
        <f>IFERROR(IF(ISBLANK(Current_DTE!U32),INDEX(Minutes_by_use_case!$B$2:$B$9,MATCH($B32,Minutes_by_use_case!$A$2:$A$9,0)),Current_DTE!U32),"-")</f>
        <v>111.85489222222222</v>
      </c>
      <c r="V32" s="128">
        <f>IFERROR(IF(ISBLANK(Current_DTE!V32),INDEX(Minutes_by_use_case!$B$2:$B$9,MATCH($B32,Minutes_by_use_case!$A$2:$A$9,0)),Current_DTE!V32),"-")</f>
        <v>111.85489222222222</v>
      </c>
      <c r="W32" s="128">
        <f>IFERROR(IF(ISBLANK(Current_DTE!W32),INDEX(Minutes_by_use_case!$B$2:$B$9,MATCH($B32,Minutes_by_use_case!$A$2:$A$9,0)),Current_DTE!W32),"-")</f>
        <v>111.85489222222222</v>
      </c>
    </row>
    <row r="33" spans="1:23" x14ac:dyDescent="0.3">
      <c r="A33" s="46" t="s">
        <v>55</v>
      </c>
      <c r="B33" s="47" t="s">
        <v>57</v>
      </c>
      <c r="C33" s="48" t="s">
        <v>89</v>
      </c>
      <c r="D33" s="128">
        <f>IFERROR(IF(ISBLANK(Current_DTE!D33),INDEX(Minutes_by_use_case!$B$2:$B$9,MATCH($B33,Minutes_by_use_case!$A$2:$A$9,0)),Current_DTE!D33),"-")</f>
        <v>575.81194444444441</v>
      </c>
      <c r="E33" s="128">
        <f>IFERROR(IF(ISBLANK(Current_DTE!E33),INDEX(Minutes_by_use_case!$B$2:$B$9,MATCH($B33,Minutes_by_use_case!$A$2:$A$9,0)),Current_DTE!E33),"-")</f>
        <v>580.59861111111104</v>
      </c>
      <c r="F33" s="128">
        <f>IFERROR(IF(ISBLANK(Current_DTE!F33),INDEX(Minutes_by_use_case!$B$2:$B$9,MATCH($B33,Minutes_by_use_case!$A$2:$A$9,0)),Current_DTE!F33),"-")</f>
        <v>499.24888888888893</v>
      </c>
      <c r="G33" s="128">
        <f>IFERROR(IF(ISBLANK(Current_DTE!G33),INDEX(Minutes_by_use_case!$B$2:$B$9,MATCH($B33,Minutes_by_use_case!$A$2:$A$9,0)),Current_DTE!G33),"-")</f>
        <v>565.82727777777768</v>
      </c>
      <c r="H33" s="128">
        <f>IFERROR(IF(ISBLANK(Current_DTE!H33),INDEX(Minutes_by_use_case!$B$2:$B$9,MATCH($B33,Minutes_by_use_case!$A$2:$A$9,0)),Current_DTE!H33),"-")</f>
        <v>565.82727777777768</v>
      </c>
      <c r="I33" s="128">
        <f>IFERROR(IF(ISBLANK(Current_DTE!I33),INDEX(Minutes_by_use_case!$B$2:$B$9,MATCH($B33,Minutes_by_use_case!$A$2:$A$9,0)),Current_DTE!I33),"-")</f>
        <v>565.82727777777768</v>
      </c>
      <c r="J33" s="128">
        <f>IFERROR(IF(ISBLANK(Current_DTE!J33),INDEX(Minutes_by_use_case!$B$2:$B$9,MATCH($B33,Minutes_by_use_case!$A$2:$A$9,0)),Current_DTE!J33),"-")</f>
        <v>565.82727777777768</v>
      </c>
      <c r="K33" s="128">
        <f>IFERROR(IF(ISBLANK(Current_DTE!K33),INDEX(Minutes_by_use_case!$B$2:$B$9,MATCH($B33,Minutes_by_use_case!$A$2:$A$9,0)),Current_DTE!K33),"-")</f>
        <v>565.82727777777768</v>
      </c>
      <c r="L33" s="128">
        <f>IFERROR(IF(ISBLANK(Current_DTE!L33),INDEX(Minutes_by_use_case!$B$2:$B$9,MATCH($B33,Minutes_by_use_case!$A$2:$A$9,0)),Current_DTE!L33),"-")</f>
        <v>565.82727777777768</v>
      </c>
      <c r="M33" s="128">
        <f>IFERROR(IF(ISBLANK(Current_DTE!M33),INDEX(Minutes_by_use_case!$B$2:$B$9,MATCH($B33,Minutes_by_use_case!$A$2:$A$9,0)),Current_DTE!M33),"-")</f>
        <v>565.82727777777768</v>
      </c>
      <c r="N33" s="128">
        <f>IFERROR(IF(ISBLANK(Current_DTE!N33),INDEX(Minutes_by_use_case!$B$2:$B$9,MATCH($B33,Minutes_by_use_case!$A$2:$A$9,0)),Current_DTE!N33),"-")</f>
        <v>565.82727777777768</v>
      </c>
      <c r="O33" s="128">
        <f>IFERROR(IF(ISBLANK(Current_DTE!O33),INDEX(Minutes_by_use_case!$B$2:$B$9,MATCH($B33,Minutes_by_use_case!$A$2:$A$9,0)),Current_DTE!O33),"-")</f>
        <v>565.82727777777768</v>
      </c>
      <c r="P33" s="128">
        <f>IFERROR(IF(ISBLANK(Current_DTE!P33),INDEX(Minutes_by_use_case!$B$2:$B$9,MATCH($B33,Minutes_by_use_case!$A$2:$A$9,0)),Current_DTE!P33),"-")</f>
        <v>565.82727777777768</v>
      </c>
      <c r="Q33" s="128">
        <f>IFERROR(IF(ISBLANK(Current_DTE!Q33),INDEX(Minutes_by_use_case!$B$2:$B$9,MATCH($B33,Minutes_by_use_case!$A$2:$A$9,0)),Current_DTE!Q33),"-")</f>
        <v>565.82727777777768</v>
      </c>
      <c r="R33" s="128">
        <f>IFERROR(IF(ISBLANK(Current_DTE!R33),INDEX(Minutes_by_use_case!$B$2:$B$9,MATCH($B33,Minutes_by_use_case!$A$2:$A$9,0)),Current_DTE!R33),"-")</f>
        <v>565.82727777777768</v>
      </c>
      <c r="S33" s="128">
        <f>IFERROR(IF(ISBLANK(Current_DTE!S33),INDEX(Minutes_by_use_case!$B$2:$B$9,MATCH($B33,Minutes_by_use_case!$A$2:$A$9,0)),Current_DTE!S33),"-")</f>
        <v>565.82727777777768</v>
      </c>
      <c r="T33" s="128">
        <f>IFERROR(IF(ISBLANK(Current_DTE!T33),INDEX(Minutes_by_use_case!$B$2:$B$9,MATCH($B33,Minutes_by_use_case!$A$2:$A$9,0)),Current_DTE!T33),"-")</f>
        <v>565.82727777777768</v>
      </c>
      <c r="U33" s="128">
        <f>IFERROR(IF(ISBLANK(Current_DTE!U33),INDEX(Minutes_by_use_case!$B$2:$B$9,MATCH($B33,Minutes_by_use_case!$A$2:$A$9,0)),Current_DTE!U33),"-")</f>
        <v>565.82727777777768</v>
      </c>
      <c r="V33" s="128">
        <f>IFERROR(IF(ISBLANK(Current_DTE!V33),INDEX(Minutes_by_use_case!$B$2:$B$9,MATCH($B33,Minutes_by_use_case!$A$2:$A$9,0)),Current_DTE!V33),"-")</f>
        <v>565.82727777777768</v>
      </c>
      <c r="W33" s="128">
        <f>IFERROR(IF(ISBLANK(Current_DTE!W33),INDEX(Minutes_by_use_case!$B$2:$B$9,MATCH($B33,Minutes_by_use_case!$A$2:$A$9,0)),Current_DTE!W33),"-")</f>
        <v>565.82727777777768</v>
      </c>
    </row>
    <row r="34" spans="1:23" x14ac:dyDescent="0.3">
      <c r="A34" s="46" t="s">
        <v>44</v>
      </c>
      <c r="B34" s="46"/>
      <c r="C34" s="48"/>
      <c r="D34" s="128" t="str">
        <f>IFERROR(IF(ISBLANK(Current_DTE!D34),INDEX(Minutes_by_use_case!$B$2:$B$9,MATCH($B34,Minutes_by_use_case!$A$2:$A$9,0)),Current_DTE!D34),"-")</f>
        <v>-</v>
      </c>
      <c r="E34" s="128" t="str">
        <f>IFERROR(IF(ISBLANK(Current_DTE!E34),INDEX(Minutes_by_use_case!$B$2:$B$9,MATCH($B34,Minutes_by_use_case!$A$2:$A$9,0)),Current_DTE!E34),"-")</f>
        <v>-</v>
      </c>
      <c r="F34" s="128" t="str">
        <f>IFERROR(IF(ISBLANK(Current_DTE!F34),INDEX(Minutes_by_use_case!$B$2:$B$9,MATCH($B34,Minutes_by_use_case!$A$2:$A$9,0)),Current_DTE!F34),"-")</f>
        <v>-</v>
      </c>
      <c r="G34" s="128" t="str">
        <f>IFERROR(IF(ISBLANK(Current_DTE!G34),INDEX(Minutes_by_use_case!$B$2:$B$9,MATCH($B34,Minutes_by_use_case!$A$2:$A$9,0)),Current_DTE!G34),"-")</f>
        <v>-</v>
      </c>
      <c r="H34" s="128" t="str">
        <f>IFERROR(IF(ISBLANK(Current_DTE!H34),INDEX(Minutes_by_use_case!$B$2:$B$9,MATCH($B34,Minutes_by_use_case!$A$2:$A$9,0)),Current_DTE!H34),"-")</f>
        <v>-</v>
      </c>
      <c r="I34" s="128" t="str">
        <f>IFERROR(IF(ISBLANK(Current_DTE!I34),INDEX(Minutes_by_use_case!$B$2:$B$9,MATCH($B34,Minutes_by_use_case!$A$2:$A$9,0)),Current_DTE!I34),"-")</f>
        <v>-</v>
      </c>
      <c r="J34" s="128" t="str">
        <f>IFERROR(IF(ISBLANK(Current_DTE!J34),INDEX(Minutes_by_use_case!$B$2:$B$9,MATCH($B34,Minutes_by_use_case!$A$2:$A$9,0)),Current_DTE!J34),"-")</f>
        <v>-</v>
      </c>
      <c r="K34" s="128" t="str">
        <f>IFERROR(IF(ISBLANK(Current_DTE!K34),INDEX(Minutes_by_use_case!$B$2:$B$9,MATCH($B34,Minutes_by_use_case!$A$2:$A$9,0)),Current_DTE!K34),"-")</f>
        <v>-</v>
      </c>
      <c r="L34" s="128" t="str">
        <f>IFERROR(IF(ISBLANK(Current_DTE!L34),INDEX(Minutes_by_use_case!$B$2:$B$9,MATCH($B34,Minutes_by_use_case!$A$2:$A$9,0)),Current_DTE!L34),"-")</f>
        <v>-</v>
      </c>
      <c r="M34" s="128" t="str">
        <f>IFERROR(IF(ISBLANK(Current_DTE!M34),INDEX(Minutes_by_use_case!$B$2:$B$9,MATCH($B34,Minutes_by_use_case!$A$2:$A$9,0)),Current_DTE!M34),"-")</f>
        <v>-</v>
      </c>
      <c r="N34" s="128" t="str">
        <f>IFERROR(IF(ISBLANK(Current_DTE!N34),INDEX(Minutes_by_use_case!$B$2:$B$9,MATCH($B34,Minutes_by_use_case!$A$2:$A$9,0)),Current_DTE!N34),"-")</f>
        <v>-</v>
      </c>
      <c r="O34" s="128" t="str">
        <f>IFERROR(IF(ISBLANK(Current_DTE!O34),INDEX(Minutes_by_use_case!$B$2:$B$9,MATCH($B34,Minutes_by_use_case!$A$2:$A$9,0)),Current_DTE!O34),"-")</f>
        <v>-</v>
      </c>
      <c r="P34" s="128" t="str">
        <f>IFERROR(IF(ISBLANK(Current_DTE!P34),INDEX(Minutes_by_use_case!$B$2:$B$9,MATCH($B34,Minutes_by_use_case!$A$2:$A$9,0)),Current_DTE!P34),"-")</f>
        <v>-</v>
      </c>
      <c r="Q34" s="128" t="str">
        <f>IFERROR(IF(ISBLANK(Current_DTE!Q34),INDEX(Minutes_by_use_case!$B$2:$B$9,MATCH($B34,Minutes_by_use_case!$A$2:$A$9,0)),Current_DTE!Q34),"-")</f>
        <v>-</v>
      </c>
      <c r="R34" s="128" t="str">
        <f>IFERROR(IF(ISBLANK(Current_DTE!R34),INDEX(Minutes_by_use_case!$B$2:$B$9,MATCH($B34,Minutes_by_use_case!$A$2:$A$9,0)),Current_DTE!R34),"-")</f>
        <v>-</v>
      </c>
      <c r="S34" s="128" t="str">
        <f>IFERROR(IF(ISBLANK(Current_DTE!S34),INDEX(Minutes_by_use_case!$B$2:$B$9,MATCH($B34,Minutes_by_use_case!$A$2:$A$9,0)),Current_DTE!S34),"-")</f>
        <v>-</v>
      </c>
      <c r="T34" s="128" t="str">
        <f>IFERROR(IF(ISBLANK(Current_DTE!T34),INDEX(Minutes_by_use_case!$B$2:$B$9,MATCH($B34,Minutes_by_use_case!$A$2:$A$9,0)),Current_DTE!T34),"-")</f>
        <v>-</v>
      </c>
      <c r="U34" s="128" t="str">
        <f>IFERROR(IF(ISBLANK(Current_DTE!U34),INDEX(Minutes_by_use_case!$B$2:$B$9,MATCH($B34,Minutes_by_use_case!$A$2:$A$9,0)),Current_DTE!U34),"-")</f>
        <v>-</v>
      </c>
      <c r="V34" s="128" t="str">
        <f>IFERROR(IF(ISBLANK(Current_DTE!V34),INDEX(Minutes_by_use_case!$B$2:$B$9,MATCH($B34,Minutes_by_use_case!$A$2:$A$9,0)),Current_DTE!V34),"-")</f>
        <v>-</v>
      </c>
      <c r="W34" s="128" t="str">
        <f>IFERROR(IF(ISBLANK(Current_DTE!W34),INDEX(Minutes_by_use_case!$B$2:$B$9,MATCH($B34,Minutes_by_use_case!$A$2:$A$9,0)),Current_DTE!W34),"-")</f>
        <v>-</v>
      </c>
    </row>
    <row r="35" spans="1:23" x14ac:dyDescent="0.3">
      <c r="A35" s="46" t="s">
        <v>78</v>
      </c>
      <c r="B35" s="47" t="s">
        <v>57</v>
      </c>
      <c r="C35" s="48" t="s">
        <v>89</v>
      </c>
      <c r="D35" s="128">
        <f>IFERROR(IF(ISBLANK(Current_DTE!D35),INDEX(Minutes_by_use_case!$B$2:$B$9,MATCH($B35,Minutes_by_use_case!$A$2:$A$9,0)),Current_DTE!D35),"-")</f>
        <v>64.579722222222216</v>
      </c>
      <c r="E35" s="128">
        <f>IFERROR(IF(ISBLANK(Current_DTE!E35),INDEX(Minutes_by_use_case!$B$2:$B$9,MATCH($B35,Minutes_by_use_case!$A$2:$A$9,0)),Current_DTE!E35),"-")</f>
        <v>56.487941666666664</v>
      </c>
      <c r="F35" s="128">
        <f>IFERROR(IF(ISBLANK(Current_DTE!F35),INDEX(Minutes_by_use_case!$B$2:$B$9,MATCH($B35,Minutes_by_use_case!$A$2:$A$9,0)),Current_DTE!F35),"-")</f>
        <v>49.259444444444441</v>
      </c>
      <c r="G35" s="128">
        <f>IFERROR(IF(ISBLANK(Current_DTE!G35),INDEX(Minutes_by_use_case!$B$2:$B$9,MATCH($B35,Minutes_by_use_case!$A$2:$A$9,0)),Current_DTE!G35),"-")</f>
        <v>60.035777777777774</v>
      </c>
      <c r="H35" s="128">
        <f>IFERROR(IF(ISBLANK(Current_DTE!H35),INDEX(Minutes_by_use_case!$B$2:$B$9,MATCH($B35,Minutes_by_use_case!$A$2:$A$9,0)),Current_DTE!H35),"-")</f>
        <v>60.035777777777774</v>
      </c>
      <c r="I35" s="128">
        <f>IFERROR(IF(ISBLANK(Current_DTE!I35),INDEX(Minutes_by_use_case!$B$2:$B$9,MATCH($B35,Minutes_by_use_case!$A$2:$A$9,0)),Current_DTE!I35),"-")</f>
        <v>60.035777777777774</v>
      </c>
      <c r="J35" s="128">
        <f>IFERROR(IF(ISBLANK(Current_DTE!J35),INDEX(Minutes_by_use_case!$B$2:$B$9,MATCH($B35,Minutes_by_use_case!$A$2:$A$9,0)),Current_DTE!J35),"-")</f>
        <v>60.035777777777774</v>
      </c>
      <c r="K35" s="128">
        <f>IFERROR(IF(ISBLANK(Current_DTE!K35),INDEX(Minutes_by_use_case!$B$2:$B$9,MATCH($B35,Minutes_by_use_case!$A$2:$A$9,0)),Current_DTE!K35),"-")</f>
        <v>60.035777777777774</v>
      </c>
      <c r="L35" s="128">
        <f>IFERROR(IF(ISBLANK(Current_DTE!L35),INDEX(Minutes_by_use_case!$B$2:$B$9,MATCH($B35,Minutes_by_use_case!$A$2:$A$9,0)),Current_DTE!L35),"-")</f>
        <v>60.035777777777774</v>
      </c>
      <c r="M35" s="128">
        <f>IFERROR(IF(ISBLANK(Current_DTE!M35),INDEX(Minutes_by_use_case!$B$2:$B$9,MATCH($B35,Minutes_by_use_case!$A$2:$A$9,0)),Current_DTE!M35),"-")</f>
        <v>60.035777777777774</v>
      </c>
      <c r="N35" s="128">
        <f>IFERROR(IF(ISBLANK(Current_DTE!N35),INDEX(Minutes_by_use_case!$B$2:$B$9,MATCH($B35,Minutes_by_use_case!$A$2:$A$9,0)),Current_DTE!N35),"-")</f>
        <v>60.035777777777774</v>
      </c>
      <c r="O35" s="128">
        <f>IFERROR(IF(ISBLANK(Current_DTE!O35),INDEX(Minutes_by_use_case!$B$2:$B$9,MATCH($B35,Minutes_by_use_case!$A$2:$A$9,0)),Current_DTE!O35),"-")</f>
        <v>60.035777777777774</v>
      </c>
      <c r="P35" s="128">
        <f>IFERROR(IF(ISBLANK(Current_DTE!P35),INDEX(Minutes_by_use_case!$B$2:$B$9,MATCH($B35,Minutes_by_use_case!$A$2:$A$9,0)),Current_DTE!P35),"-")</f>
        <v>60.035777777777774</v>
      </c>
      <c r="Q35" s="128">
        <f>IFERROR(IF(ISBLANK(Current_DTE!Q35),INDEX(Minutes_by_use_case!$B$2:$B$9,MATCH($B35,Minutes_by_use_case!$A$2:$A$9,0)),Current_DTE!Q35),"-")</f>
        <v>60.035777777777774</v>
      </c>
      <c r="R35" s="128">
        <f>IFERROR(IF(ISBLANK(Current_DTE!R35),INDEX(Minutes_by_use_case!$B$2:$B$9,MATCH($B35,Minutes_by_use_case!$A$2:$A$9,0)),Current_DTE!R35),"-")</f>
        <v>60.035777777777774</v>
      </c>
      <c r="S35" s="128">
        <f>IFERROR(IF(ISBLANK(Current_DTE!S35),INDEX(Minutes_by_use_case!$B$2:$B$9,MATCH($B35,Minutes_by_use_case!$A$2:$A$9,0)),Current_DTE!S35),"-")</f>
        <v>60.035777777777774</v>
      </c>
      <c r="T35" s="128">
        <f>IFERROR(IF(ISBLANK(Current_DTE!T35),INDEX(Minutes_by_use_case!$B$2:$B$9,MATCH($B35,Minutes_by_use_case!$A$2:$A$9,0)),Current_DTE!T35),"-")</f>
        <v>60.035777777777774</v>
      </c>
      <c r="U35" s="128">
        <f>IFERROR(IF(ISBLANK(Current_DTE!U35),INDEX(Minutes_by_use_case!$B$2:$B$9,MATCH($B35,Minutes_by_use_case!$A$2:$A$9,0)),Current_DTE!U35),"-")</f>
        <v>60.035777777777774</v>
      </c>
      <c r="V35" s="128">
        <f>IFERROR(IF(ISBLANK(Current_DTE!V35),INDEX(Minutes_by_use_case!$B$2:$B$9,MATCH($B35,Minutes_by_use_case!$A$2:$A$9,0)),Current_DTE!V35),"-")</f>
        <v>60.035777777777774</v>
      </c>
      <c r="W35" s="128">
        <f>IFERROR(IF(ISBLANK(Current_DTE!W35),INDEX(Minutes_by_use_case!$B$2:$B$9,MATCH($B35,Minutes_by_use_case!$A$2:$A$9,0)),Current_DTE!W35),"-")</f>
        <v>60.035777777777774</v>
      </c>
    </row>
    <row r="36" spans="1:23" x14ac:dyDescent="0.3">
      <c r="A36" s="46" t="s">
        <v>45</v>
      </c>
      <c r="B36" s="47" t="s">
        <v>57</v>
      </c>
      <c r="C36" s="48"/>
      <c r="D36" s="128">
        <f>IFERROR(IF(ISBLANK(Current_DTE!D36),INDEX(Minutes_by_use_case!$B$2:$B$9,MATCH($B36,Minutes_by_use_case!$A$2:$A$9,0)),Current_DTE!D36),"-")</f>
        <v>133409.35004928565</v>
      </c>
      <c r="E36" s="128">
        <f>IFERROR(IF(ISBLANK(Current_DTE!E36),INDEX(Minutes_by_use_case!$B$2:$B$9,MATCH($B36,Minutes_by_use_case!$A$2:$A$9,0)),Current_DTE!E36),"-")</f>
        <v>133409.35004928565</v>
      </c>
      <c r="F36" s="128">
        <f>IFERROR(IF(ISBLANK(Current_DTE!F36),INDEX(Minutes_by_use_case!$B$2:$B$9,MATCH($B36,Minutes_by_use_case!$A$2:$A$9,0)),Current_DTE!F36),"-")</f>
        <v>133409.35004928565</v>
      </c>
      <c r="G36" s="128">
        <f>IFERROR(IF(ISBLANK(Current_DTE!G36),INDEX(Minutes_by_use_case!$B$2:$B$9,MATCH($B36,Minutes_by_use_case!$A$2:$A$9,0)),Current_DTE!G36),"-")</f>
        <v>133409.35004928565</v>
      </c>
      <c r="H36" s="128">
        <f>IFERROR(IF(ISBLANK(Current_DTE!H36),INDEX(Minutes_by_use_case!$B$2:$B$9,MATCH($B36,Minutes_by_use_case!$A$2:$A$9,0)),Current_DTE!H36),"-")</f>
        <v>133409.35004928565</v>
      </c>
      <c r="I36" s="128">
        <f>IFERROR(IF(ISBLANK(Current_DTE!I36),INDEX(Minutes_by_use_case!$B$2:$B$9,MATCH($B36,Minutes_by_use_case!$A$2:$A$9,0)),Current_DTE!I36),"-")</f>
        <v>133409.35004928565</v>
      </c>
      <c r="J36" s="128">
        <f>IFERROR(IF(ISBLANK(Current_DTE!J36),INDEX(Minutes_by_use_case!$B$2:$B$9,MATCH($B36,Minutes_by_use_case!$A$2:$A$9,0)),Current_DTE!J36),"-")</f>
        <v>133409.35004928565</v>
      </c>
      <c r="K36" s="128">
        <f>IFERROR(IF(ISBLANK(Current_DTE!K36),INDEX(Minutes_by_use_case!$B$2:$B$9,MATCH($B36,Minutes_by_use_case!$A$2:$A$9,0)),Current_DTE!K36),"-")</f>
        <v>133409.35004928565</v>
      </c>
      <c r="L36" s="128">
        <f>IFERROR(IF(ISBLANK(Current_DTE!L36),INDEX(Minutes_by_use_case!$B$2:$B$9,MATCH($B36,Minutes_by_use_case!$A$2:$A$9,0)),Current_DTE!L36),"-")</f>
        <v>133409.35004928565</v>
      </c>
      <c r="M36" s="128">
        <f>IFERROR(IF(ISBLANK(Current_DTE!M36),INDEX(Minutes_by_use_case!$B$2:$B$9,MATCH($B36,Minutes_by_use_case!$A$2:$A$9,0)),Current_DTE!M36),"-")</f>
        <v>133409.35004928565</v>
      </c>
      <c r="N36" s="128">
        <f>IFERROR(IF(ISBLANK(Current_DTE!N36),INDEX(Minutes_by_use_case!$B$2:$B$9,MATCH($B36,Minutes_by_use_case!$A$2:$A$9,0)),Current_DTE!N36),"-")</f>
        <v>133409.35004928565</v>
      </c>
      <c r="O36" s="128">
        <f>IFERROR(IF(ISBLANK(Current_DTE!O36),INDEX(Minutes_by_use_case!$B$2:$B$9,MATCH($B36,Minutes_by_use_case!$A$2:$A$9,0)),Current_DTE!O36),"-")</f>
        <v>133409.35004928565</v>
      </c>
      <c r="P36" s="128">
        <f>IFERROR(IF(ISBLANK(Current_DTE!P36),INDEX(Minutes_by_use_case!$B$2:$B$9,MATCH($B36,Minutes_by_use_case!$A$2:$A$9,0)),Current_DTE!P36),"-")</f>
        <v>133409.35004928565</v>
      </c>
      <c r="Q36" s="128">
        <f>IFERROR(IF(ISBLANK(Current_DTE!Q36),INDEX(Minutes_by_use_case!$B$2:$B$9,MATCH($B36,Minutes_by_use_case!$A$2:$A$9,0)),Current_DTE!Q36),"-")</f>
        <v>133409.35004928565</v>
      </c>
      <c r="R36" s="128">
        <f>IFERROR(IF(ISBLANK(Current_DTE!R36),INDEX(Minutes_by_use_case!$B$2:$B$9,MATCH($B36,Minutes_by_use_case!$A$2:$A$9,0)),Current_DTE!R36),"-")</f>
        <v>133409.35004928565</v>
      </c>
      <c r="S36" s="128">
        <f>IFERROR(IF(ISBLANK(Current_DTE!S36),INDEX(Minutes_by_use_case!$B$2:$B$9,MATCH($B36,Minutes_by_use_case!$A$2:$A$9,0)),Current_DTE!S36),"-")</f>
        <v>133409.35004928565</v>
      </c>
      <c r="T36" s="128">
        <f>IFERROR(IF(ISBLANK(Current_DTE!T36),INDEX(Minutes_by_use_case!$B$2:$B$9,MATCH($B36,Minutes_by_use_case!$A$2:$A$9,0)),Current_DTE!T36),"-")</f>
        <v>133409.35004928565</v>
      </c>
      <c r="U36" s="128">
        <f>IFERROR(IF(ISBLANK(Current_DTE!U36),INDEX(Minutes_by_use_case!$B$2:$B$9,MATCH($B36,Minutes_by_use_case!$A$2:$A$9,0)),Current_DTE!U36),"-")</f>
        <v>133409.35004928565</v>
      </c>
      <c r="V36" s="128">
        <f>IFERROR(IF(ISBLANK(Current_DTE!V36),INDEX(Minutes_by_use_case!$B$2:$B$9,MATCH($B36,Minutes_by_use_case!$A$2:$A$9,0)),Current_DTE!V36),"-")</f>
        <v>133409.35004928565</v>
      </c>
      <c r="W36" s="128">
        <f>IFERROR(IF(ISBLANK(Current_DTE!W36),INDEX(Minutes_by_use_case!$B$2:$B$9,MATCH($B36,Minutes_by_use_case!$A$2:$A$9,0)),Current_DTE!W36),"-")</f>
        <v>133409.35004928565</v>
      </c>
    </row>
    <row r="37" spans="1:23" x14ac:dyDescent="0.3">
      <c r="A37" s="46" t="s">
        <v>46</v>
      </c>
      <c r="B37" s="54" t="s">
        <v>59</v>
      </c>
      <c r="C37" s="48"/>
      <c r="D37" s="128">
        <f>IFERROR(IF(ISBLANK(Current_DTE!D37),INDEX(Minutes_by_use_case!$B$2:$B$9,MATCH($B37,Minutes_by_use_case!$A$2:$A$9,0)),Current_DTE!D37),"-")</f>
        <v>171572.29579277776</v>
      </c>
      <c r="E37" s="128">
        <f>IFERROR(IF(ISBLANK(Current_DTE!E37),INDEX(Minutes_by_use_case!$B$2:$B$9,MATCH($B37,Minutes_by_use_case!$A$2:$A$9,0)),Current_DTE!E37),"-")</f>
        <v>171572.29579277776</v>
      </c>
      <c r="F37" s="128">
        <f>IFERROR(IF(ISBLANK(Current_DTE!F37),INDEX(Minutes_by_use_case!$B$2:$B$9,MATCH($B37,Minutes_by_use_case!$A$2:$A$9,0)),Current_DTE!F37),"-")</f>
        <v>171572.29579277776</v>
      </c>
      <c r="G37" s="128">
        <f>IFERROR(IF(ISBLANK(Current_DTE!G37),INDEX(Minutes_by_use_case!$B$2:$B$9,MATCH($B37,Minutes_by_use_case!$A$2:$A$9,0)),Current_DTE!G37),"-")</f>
        <v>171572.29579277776</v>
      </c>
      <c r="H37" s="128">
        <f>IFERROR(IF(ISBLANK(Current_DTE!H37),INDEX(Minutes_by_use_case!$B$2:$B$9,MATCH($B37,Minutes_by_use_case!$A$2:$A$9,0)),Current_DTE!H37),"-")</f>
        <v>171572.29579277776</v>
      </c>
      <c r="I37" s="128">
        <f>IFERROR(IF(ISBLANK(Current_DTE!I37),INDEX(Minutes_by_use_case!$B$2:$B$9,MATCH($B37,Minutes_by_use_case!$A$2:$A$9,0)),Current_DTE!I37),"-")</f>
        <v>171572.29579277776</v>
      </c>
      <c r="J37" s="128">
        <f>IFERROR(IF(ISBLANK(Current_DTE!J37),INDEX(Minutes_by_use_case!$B$2:$B$9,MATCH($B37,Minutes_by_use_case!$A$2:$A$9,0)),Current_DTE!J37),"-")</f>
        <v>171572.29579277776</v>
      </c>
      <c r="K37" s="128">
        <f>IFERROR(IF(ISBLANK(Current_DTE!K37),INDEX(Minutes_by_use_case!$B$2:$B$9,MATCH($B37,Minutes_by_use_case!$A$2:$A$9,0)),Current_DTE!K37),"-")</f>
        <v>171572.29579277776</v>
      </c>
      <c r="L37" s="128">
        <f>IFERROR(IF(ISBLANK(Current_DTE!L37),INDEX(Minutes_by_use_case!$B$2:$B$9,MATCH($B37,Minutes_by_use_case!$A$2:$A$9,0)),Current_DTE!L37),"-")</f>
        <v>171572.29579277776</v>
      </c>
      <c r="M37" s="128">
        <f>IFERROR(IF(ISBLANK(Current_DTE!M37),INDEX(Minutes_by_use_case!$B$2:$B$9,MATCH($B37,Minutes_by_use_case!$A$2:$A$9,0)),Current_DTE!M37),"-")</f>
        <v>171572.29579277776</v>
      </c>
      <c r="N37" s="128">
        <f>IFERROR(IF(ISBLANK(Current_DTE!N37),INDEX(Minutes_by_use_case!$B$2:$B$9,MATCH($B37,Minutes_by_use_case!$A$2:$A$9,0)),Current_DTE!N37),"-")</f>
        <v>171572.29579277776</v>
      </c>
      <c r="O37" s="128">
        <f>IFERROR(IF(ISBLANK(Current_DTE!O37),INDEX(Minutes_by_use_case!$B$2:$B$9,MATCH($B37,Minutes_by_use_case!$A$2:$A$9,0)),Current_DTE!O37),"-")</f>
        <v>171572.29579277776</v>
      </c>
      <c r="P37" s="128">
        <f>IFERROR(IF(ISBLANK(Current_DTE!P37),INDEX(Minutes_by_use_case!$B$2:$B$9,MATCH($B37,Minutes_by_use_case!$A$2:$A$9,0)),Current_DTE!P37),"-")</f>
        <v>171572.29579277776</v>
      </c>
      <c r="Q37" s="128">
        <f>IFERROR(IF(ISBLANK(Current_DTE!Q37),INDEX(Minutes_by_use_case!$B$2:$B$9,MATCH($B37,Minutes_by_use_case!$A$2:$A$9,0)),Current_DTE!Q37),"-")</f>
        <v>171572.29579277776</v>
      </c>
      <c r="R37" s="128">
        <f>IFERROR(IF(ISBLANK(Current_DTE!R37),INDEX(Minutes_by_use_case!$B$2:$B$9,MATCH($B37,Minutes_by_use_case!$A$2:$A$9,0)),Current_DTE!R37),"-")</f>
        <v>171572.29579277776</v>
      </c>
      <c r="S37" s="128">
        <f>IFERROR(IF(ISBLANK(Current_DTE!S37),INDEX(Minutes_by_use_case!$B$2:$B$9,MATCH($B37,Minutes_by_use_case!$A$2:$A$9,0)),Current_DTE!S37),"-")</f>
        <v>171572.29579277776</v>
      </c>
      <c r="T37" s="128">
        <f>IFERROR(IF(ISBLANK(Current_DTE!T37),INDEX(Minutes_by_use_case!$B$2:$B$9,MATCH($B37,Minutes_by_use_case!$A$2:$A$9,0)),Current_DTE!T37),"-")</f>
        <v>171572.29579277776</v>
      </c>
      <c r="U37" s="128">
        <f>IFERROR(IF(ISBLANK(Current_DTE!U37),INDEX(Minutes_by_use_case!$B$2:$B$9,MATCH($B37,Minutes_by_use_case!$A$2:$A$9,0)),Current_DTE!U37),"-")</f>
        <v>171572.29579277776</v>
      </c>
      <c r="V37" s="128">
        <f>IFERROR(IF(ISBLANK(Current_DTE!V37),INDEX(Minutes_by_use_case!$B$2:$B$9,MATCH($B37,Minutes_by_use_case!$A$2:$A$9,0)),Current_DTE!V37),"-")</f>
        <v>171572.29579277776</v>
      </c>
      <c r="W37" s="128">
        <f>IFERROR(IF(ISBLANK(Current_DTE!W37),INDEX(Minutes_by_use_case!$B$2:$B$9,MATCH($B37,Minutes_by_use_case!$A$2:$A$9,0)),Current_DTE!W37),"-")</f>
        <v>171572.29579277776</v>
      </c>
    </row>
    <row r="38" spans="1:23" x14ac:dyDescent="0.3">
      <c r="A38" s="46" t="s">
        <v>47</v>
      </c>
      <c r="B38" s="55" t="s">
        <v>64</v>
      </c>
      <c r="C38" s="48"/>
      <c r="D38" s="128" t="str">
        <f>IFERROR(IF(ISBLANK(Current_DTE!D38),INDEX(Minutes_by_use_case!$B$2:$B$9,MATCH($B38,Minutes_by_use_case!$A$2:$A$9,0)),Current_DTE!D38),"-")</f>
        <v>-</v>
      </c>
      <c r="E38" s="128" t="str">
        <f>IFERROR(IF(ISBLANK(Current_DTE!E38),INDEX(Minutes_by_use_case!$B$2:$B$9,MATCH($B38,Minutes_by_use_case!$A$2:$A$9,0)),Current_DTE!E38),"-")</f>
        <v>-</v>
      </c>
      <c r="F38" s="128" t="str">
        <f>IFERROR(IF(ISBLANK(Current_DTE!F38),INDEX(Minutes_by_use_case!$B$2:$B$9,MATCH($B38,Minutes_by_use_case!$A$2:$A$9,0)),Current_DTE!F38),"-")</f>
        <v>-</v>
      </c>
      <c r="G38" s="128" t="str">
        <f>IFERROR(IF(ISBLANK(Current_DTE!G38),INDEX(Minutes_by_use_case!$B$2:$B$9,MATCH($B38,Minutes_by_use_case!$A$2:$A$9,0)),Current_DTE!G38),"-")</f>
        <v>-</v>
      </c>
      <c r="H38" s="128" t="str">
        <f>IFERROR(IF(ISBLANK(Current_DTE!H38),INDEX(Minutes_by_use_case!$B$2:$B$9,MATCH($B38,Minutes_by_use_case!$A$2:$A$9,0)),Current_DTE!H38),"-")</f>
        <v>-</v>
      </c>
      <c r="I38" s="128" t="str">
        <f>IFERROR(IF(ISBLANK(Current_DTE!I38),INDEX(Minutes_by_use_case!$B$2:$B$9,MATCH($B38,Minutes_by_use_case!$A$2:$A$9,0)),Current_DTE!I38),"-")</f>
        <v>-</v>
      </c>
      <c r="J38" s="128" t="str">
        <f>IFERROR(IF(ISBLANK(Current_DTE!J38),INDEX(Minutes_by_use_case!$B$2:$B$9,MATCH($B38,Minutes_by_use_case!$A$2:$A$9,0)),Current_DTE!J38),"-")</f>
        <v>-</v>
      </c>
      <c r="K38" s="128" t="str">
        <f>IFERROR(IF(ISBLANK(Current_DTE!K38),INDEX(Minutes_by_use_case!$B$2:$B$9,MATCH($B38,Minutes_by_use_case!$A$2:$A$9,0)),Current_DTE!K38),"-")</f>
        <v>-</v>
      </c>
      <c r="L38" s="128" t="str">
        <f>IFERROR(IF(ISBLANK(Current_DTE!L38),INDEX(Minutes_by_use_case!$B$2:$B$9,MATCH($B38,Minutes_by_use_case!$A$2:$A$9,0)),Current_DTE!L38),"-")</f>
        <v>-</v>
      </c>
      <c r="M38" s="128" t="str">
        <f>IFERROR(IF(ISBLANK(Current_DTE!M38),INDEX(Minutes_by_use_case!$B$2:$B$9,MATCH($B38,Minutes_by_use_case!$A$2:$A$9,0)),Current_DTE!M38),"-")</f>
        <v>-</v>
      </c>
      <c r="N38" s="128" t="str">
        <f>IFERROR(IF(ISBLANK(Current_DTE!N38),INDEX(Minutes_by_use_case!$B$2:$B$9,MATCH($B38,Minutes_by_use_case!$A$2:$A$9,0)),Current_DTE!N38),"-")</f>
        <v>-</v>
      </c>
      <c r="O38" s="128" t="str">
        <f>IFERROR(IF(ISBLANK(Current_DTE!O38),INDEX(Minutes_by_use_case!$B$2:$B$9,MATCH($B38,Minutes_by_use_case!$A$2:$A$9,0)),Current_DTE!O38),"-")</f>
        <v>-</v>
      </c>
      <c r="P38" s="128" t="str">
        <f>IFERROR(IF(ISBLANK(Current_DTE!P38),INDEX(Minutes_by_use_case!$B$2:$B$9,MATCH($B38,Minutes_by_use_case!$A$2:$A$9,0)),Current_DTE!P38),"-")</f>
        <v>-</v>
      </c>
      <c r="Q38" s="128" t="str">
        <f>IFERROR(IF(ISBLANK(Current_DTE!Q38),INDEX(Minutes_by_use_case!$B$2:$B$9,MATCH($B38,Minutes_by_use_case!$A$2:$A$9,0)),Current_DTE!Q38),"-")</f>
        <v>-</v>
      </c>
      <c r="R38" s="128" t="str">
        <f>IFERROR(IF(ISBLANK(Current_DTE!R38),INDEX(Minutes_by_use_case!$B$2:$B$9,MATCH($B38,Minutes_by_use_case!$A$2:$A$9,0)),Current_DTE!R38),"-")</f>
        <v>-</v>
      </c>
      <c r="S38" s="128" t="str">
        <f>IFERROR(IF(ISBLANK(Current_DTE!S38),INDEX(Minutes_by_use_case!$B$2:$B$9,MATCH($B38,Minutes_by_use_case!$A$2:$A$9,0)),Current_DTE!S38),"-")</f>
        <v>-</v>
      </c>
      <c r="T38" s="128" t="str">
        <f>IFERROR(IF(ISBLANK(Current_DTE!T38),INDEX(Minutes_by_use_case!$B$2:$B$9,MATCH($B38,Minutes_by_use_case!$A$2:$A$9,0)),Current_DTE!T38),"-")</f>
        <v>-</v>
      </c>
      <c r="U38" s="128" t="str">
        <f>IFERROR(IF(ISBLANK(Current_DTE!U38),INDEX(Minutes_by_use_case!$B$2:$B$9,MATCH($B38,Minutes_by_use_case!$A$2:$A$9,0)),Current_DTE!U38),"-")</f>
        <v>-</v>
      </c>
      <c r="V38" s="128" t="str">
        <f>IFERROR(IF(ISBLANK(Current_DTE!V38),INDEX(Minutes_by_use_case!$B$2:$B$9,MATCH($B38,Minutes_by_use_case!$A$2:$A$9,0)),Current_DTE!V38),"-")</f>
        <v>-</v>
      </c>
      <c r="W38" s="128" t="str">
        <f>IFERROR(IF(ISBLANK(Current_DTE!W38),INDEX(Minutes_by_use_case!$B$2:$B$9,MATCH($B38,Minutes_by_use_case!$A$2:$A$9,0)),Current_DTE!W38),"-")</f>
        <v>-</v>
      </c>
    </row>
    <row r="39" spans="1:23" x14ac:dyDescent="0.3">
      <c r="A39" s="46" t="s">
        <v>48</v>
      </c>
      <c r="B39" s="55" t="s">
        <v>64</v>
      </c>
      <c r="C39" s="48"/>
      <c r="D39" s="128" t="str">
        <f>IFERROR(IF(ISBLANK(Current_DTE!D39),INDEX(Minutes_by_use_case!$B$2:$B$9,MATCH($B39,Minutes_by_use_case!$A$2:$A$9,0)),Current_DTE!D39),"-")</f>
        <v>-</v>
      </c>
      <c r="E39" s="128" t="str">
        <f>IFERROR(IF(ISBLANK(Current_DTE!E39),INDEX(Minutes_by_use_case!$B$2:$B$9,MATCH($B39,Minutes_by_use_case!$A$2:$A$9,0)),Current_DTE!E39),"-")</f>
        <v>-</v>
      </c>
      <c r="F39" s="128" t="str">
        <f>IFERROR(IF(ISBLANK(Current_DTE!F39),INDEX(Minutes_by_use_case!$B$2:$B$9,MATCH($B39,Minutes_by_use_case!$A$2:$A$9,0)),Current_DTE!F39),"-")</f>
        <v>-</v>
      </c>
      <c r="G39" s="128" t="str">
        <f>IFERROR(IF(ISBLANK(Current_DTE!G39),INDEX(Minutes_by_use_case!$B$2:$B$9,MATCH($B39,Minutes_by_use_case!$A$2:$A$9,0)),Current_DTE!G39),"-")</f>
        <v>-</v>
      </c>
      <c r="H39" s="128" t="str">
        <f>IFERROR(IF(ISBLANK(Current_DTE!H39),INDEX(Minutes_by_use_case!$B$2:$B$9,MATCH($B39,Minutes_by_use_case!$A$2:$A$9,0)),Current_DTE!H39),"-")</f>
        <v>-</v>
      </c>
      <c r="I39" s="128" t="str">
        <f>IFERROR(IF(ISBLANK(Current_DTE!I39),INDEX(Minutes_by_use_case!$B$2:$B$9,MATCH($B39,Minutes_by_use_case!$A$2:$A$9,0)),Current_DTE!I39),"-")</f>
        <v>-</v>
      </c>
      <c r="J39" s="128" t="str">
        <f>IFERROR(IF(ISBLANK(Current_DTE!J39),INDEX(Minutes_by_use_case!$B$2:$B$9,MATCH($B39,Minutes_by_use_case!$A$2:$A$9,0)),Current_DTE!J39),"-")</f>
        <v>-</v>
      </c>
      <c r="K39" s="128" t="str">
        <f>IFERROR(IF(ISBLANK(Current_DTE!K39),INDEX(Minutes_by_use_case!$B$2:$B$9,MATCH($B39,Minutes_by_use_case!$A$2:$A$9,0)),Current_DTE!K39),"-")</f>
        <v>-</v>
      </c>
      <c r="L39" s="128" t="str">
        <f>IFERROR(IF(ISBLANK(Current_DTE!L39),INDEX(Minutes_by_use_case!$B$2:$B$9,MATCH($B39,Minutes_by_use_case!$A$2:$A$9,0)),Current_DTE!L39),"-")</f>
        <v>-</v>
      </c>
      <c r="M39" s="128" t="str">
        <f>IFERROR(IF(ISBLANK(Current_DTE!M39),INDEX(Minutes_by_use_case!$B$2:$B$9,MATCH($B39,Minutes_by_use_case!$A$2:$A$9,0)),Current_DTE!M39),"-")</f>
        <v>-</v>
      </c>
      <c r="N39" s="128" t="str">
        <f>IFERROR(IF(ISBLANK(Current_DTE!N39),INDEX(Minutes_by_use_case!$B$2:$B$9,MATCH($B39,Minutes_by_use_case!$A$2:$A$9,0)),Current_DTE!N39),"-")</f>
        <v>-</v>
      </c>
      <c r="O39" s="128" t="str">
        <f>IFERROR(IF(ISBLANK(Current_DTE!O39),INDEX(Minutes_by_use_case!$B$2:$B$9,MATCH($B39,Minutes_by_use_case!$A$2:$A$9,0)),Current_DTE!O39),"-")</f>
        <v>-</v>
      </c>
      <c r="P39" s="128" t="str">
        <f>IFERROR(IF(ISBLANK(Current_DTE!P39),INDEX(Minutes_by_use_case!$B$2:$B$9,MATCH($B39,Minutes_by_use_case!$A$2:$A$9,0)),Current_DTE!P39),"-")</f>
        <v>-</v>
      </c>
      <c r="Q39" s="128" t="str">
        <f>IFERROR(IF(ISBLANK(Current_DTE!Q39),INDEX(Minutes_by_use_case!$B$2:$B$9,MATCH($B39,Minutes_by_use_case!$A$2:$A$9,0)),Current_DTE!Q39),"-")</f>
        <v>-</v>
      </c>
      <c r="R39" s="128" t="str">
        <f>IFERROR(IF(ISBLANK(Current_DTE!R39),INDEX(Minutes_by_use_case!$B$2:$B$9,MATCH($B39,Minutes_by_use_case!$A$2:$A$9,0)),Current_DTE!R39),"-")</f>
        <v>-</v>
      </c>
      <c r="S39" s="128" t="str">
        <f>IFERROR(IF(ISBLANK(Current_DTE!S39),INDEX(Minutes_by_use_case!$B$2:$B$9,MATCH($B39,Minutes_by_use_case!$A$2:$A$9,0)),Current_DTE!S39),"-")</f>
        <v>-</v>
      </c>
      <c r="T39" s="128" t="str">
        <f>IFERROR(IF(ISBLANK(Current_DTE!T39),INDEX(Minutes_by_use_case!$B$2:$B$9,MATCH($B39,Minutes_by_use_case!$A$2:$A$9,0)),Current_DTE!T39),"-")</f>
        <v>-</v>
      </c>
      <c r="U39" s="128" t="str">
        <f>IFERROR(IF(ISBLANK(Current_DTE!U39),INDEX(Minutes_by_use_case!$B$2:$B$9,MATCH($B39,Minutes_by_use_case!$A$2:$A$9,0)),Current_DTE!U39),"-")</f>
        <v>-</v>
      </c>
      <c r="V39" s="128" t="str">
        <f>IFERROR(IF(ISBLANK(Current_DTE!V39),INDEX(Minutes_by_use_case!$B$2:$B$9,MATCH($B39,Minutes_by_use_case!$A$2:$A$9,0)),Current_DTE!V39),"-")</f>
        <v>-</v>
      </c>
      <c r="W39" s="128" t="str">
        <f>IFERROR(IF(ISBLANK(Current_DTE!W39),INDEX(Minutes_by_use_case!$B$2:$B$9,MATCH($B39,Minutes_by_use_case!$A$2:$A$9,0)),Current_DTE!W39),"-")</f>
        <v>-</v>
      </c>
    </row>
    <row r="40" spans="1:23" x14ac:dyDescent="0.3">
      <c r="A40" s="46" t="s">
        <v>49</v>
      </c>
      <c r="B40" s="47" t="s">
        <v>57</v>
      </c>
      <c r="C40" s="48" t="s">
        <v>89</v>
      </c>
      <c r="D40" s="128">
        <f>IFERROR(IF(ISBLANK(Current_DTE!D40),INDEX(Minutes_by_use_case!$B$2:$B$9,MATCH($B40,Minutes_by_use_case!$A$2:$A$9,0)),Current_DTE!D40),"-")</f>
        <v>0</v>
      </c>
      <c r="E40" s="128">
        <f>IFERROR(IF(ISBLANK(Current_DTE!E40),INDEX(Minutes_by_use_case!$B$2:$B$9,MATCH($B40,Minutes_by_use_case!$A$2:$A$9,0)),Current_DTE!E40),"-")</f>
        <v>0</v>
      </c>
      <c r="F40" s="128">
        <f>IFERROR(IF(ISBLANK(Current_DTE!F40),INDEX(Minutes_by_use_case!$B$2:$B$9,MATCH($B40,Minutes_by_use_case!$A$2:$A$9,0)),Current_DTE!F40),"-")</f>
        <v>0</v>
      </c>
      <c r="G40" s="128">
        <f>IFERROR(IF(ISBLANK(Current_DTE!G40),INDEX(Minutes_by_use_case!$B$2:$B$9,MATCH($B40,Minutes_by_use_case!$A$2:$A$9,0)),Current_DTE!G40),"-")</f>
        <v>1368.9678622222223</v>
      </c>
      <c r="H40" s="128">
        <f>IFERROR(IF(ISBLANK(Current_DTE!H40),INDEX(Minutes_by_use_case!$B$2:$B$9,MATCH($B40,Minutes_by_use_case!$A$2:$A$9,0)),Current_DTE!H40),"-")</f>
        <v>1368.9678622222223</v>
      </c>
      <c r="I40" s="128">
        <f>IFERROR(IF(ISBLANK(Current_DTE!I40),INDEX(Minutes_by_use_case!$B$2:$B$9,MATCH($B40,Minutes_by_use_case!$A$2:$A$9,0)),Current_DTE!I40),"-")</f>
        <v>1368.9678622222223</v>
      </c>
      <c r="J40" s="128">
        <f>IFERROR(IF(ISBLANK(Current_DTE!J40),INDEX(Minutes_by_use_case!$B$2:$B$9,MATCH($B40,Minutes_by_use_case!$A$2:$A$9,0)),Current_DTE!J40),"-")</f>
        <v>1368.9678622222223</v>
      </c>
      <c r="K40" s="128">
        <f>IFERROR(IF(ISBLANK(Current_DTE!K40),INDEX(Minutes_by_use_case!$B$2:$B$9,MATCH($B40,Minutes_by_use_case!$A$2:$A$9,0)),Current_DTE!K40),"-")</f>
        <v>1368.9678622222223</v>
      </c>
      <c r="L40" s="128">
        <f>IFERROR(IF(ISBLANK(Current_DTE!L40),INDEX(Minutes_by_use_case!$B$2:$B$9,MATCH($B40,Minutes_by_use_case!$A$2:$A$9,0)),Current_DTE!L40),"-")</f>
        <v>1368.9678622222223</v>
      </c>
      <c r="M40" s="128">
        <f>IFERROR(IF(ISBLANK(Current_DTE!M40),INDEX(Minutes_by_use_case!$B$2:$B$9,MATCH($B40,Minutes_by_use_case!$A$2:$A$9,0)),Current_DTE!M40),"-")</f>
        <v>1368.9678622222223</v>
      </c>
      <c r="N40" s="128">
        <f>IFERROR(IF(ISBLANK(Current_DTE!N40),INDEX(Minutes_by_use_case!$B$2:$B$9,MATCH($B40,Minutes_by_use_case!$A$2:$A$9,0)),Current_DTE!N40),"-")</f>
        <v>1368.9678622222223</v>
      </c>
      <c r="O40" s="128">
        <f>IFERROR(IF(ISBLANK(Current_DTE!O40),INDEX(Minutes_by_use_case!$B$2:$B$9,MATCH($B40,Minutes_by_use_case!$A$2:$A$9,0)),Current_DTE!O40),"-")</f>
        <v>1368.9678622222223</v>
      </c>
      <c r="P40" s="128">
        <f>IFERROR(IF(ISBLANK(Current_DTE!P40),INDEX(Minutes_by_use_case!$B$2:$B$9,MATCH($B40,Minutes_by_use_case!$A$2:$A$9,0)),Current_DTE!P40),"-")</f>
        <v>1368.9678622222223</v>
      </c>
      <c r="Q40" s="128">
        <f>IFERROR(IF(ISBLANK(Current_DTE!Q40),INDEX(Minutes_by_use_case!$B$2:$B$9,MATCH($B40,Minutes_by_use_case!$A$2:$A$9,0)),Current_DTE!Q40),"-")</f>
        <v>1368.9678622222223</v>
      </c>
      <c r="R40" s="128">
        <f>IFERROR(IF(ISBLANK(Current_DTE!R40),INDEX(Minutes_by_use_case!$B$2:$B$9,MATCH($B40,Minutes_by_use_case!$A$2:$A$9,0)),Current_DTE!R40),"-")</f>
        <v>1368.9678622222223</v>
      </c>
      <c r="S40" s="128">
        <f>IFERROR(IF(ISBLANK(Current_DTE!S40),INDEX(Minutes_by_use_case!$B$2:$B$9,MATCH($B40,Minutes_by_use_case!$A$2:$A$9,0)),Current_DTE!S40),"-")</f>
        <v>1368.9678622222223</v>
      </c>
      <c r="T40" s="128">
        <f>IFERROR(IF(ISBLANK(Current_DTE!T40),INDEX(Minutes_by_use_case!$B$2:$B$9,MATCH($B40,Minutes_by_use_case!$A$2:$A$9,0)),Current_DTE!T40),"-")</f>
        <v>1368.9678622222223</v>
      </c>
      <c r="U40" s="128">
        <f>IFERROR(IF(ISBLANK(Current_DTE!U40),INDEX(Minutes_by_use_case!$B$2:$B$9,MATCH($B40,Minutes_by_use_case!$A$2:$A$9,0)),Current_DTE!U40),"-")</f>
        <v>1368.9678622222223</v>
      </c>
      <c r="V40" s="128">
        <f>IFERROR(IF(ISBLANK(Current_DTE!V40),INDEX(Minutes_by_use_case!$B$2:$B$9,MATCH($B40,Minutes_by_use_case!$A$2:$A$9,0)),Current_DTE!V40),"-")</f>
        <v>1368.9678622222223</v>
      </c>
      <c r="W40" s="128">
        <f>IFERROR(IF(ISBLANK(Current_DTE!W40),INDEX(Minutes_by_use_case!$B$2:$B$9,MATCH($B40,Minutes_by_use_case!$A$2:$A$9,0)),Current_DTE!W40),"-")</f>
        <v>1368.9678622222223</v>
      </c>
    </row>
    <row r="41" spans="1:23" x14ac:dyDescent="0.3">
      <c r="A41" s="46" t="s">
        <v>50</v>
      </c>
      <c r="B41" s="54" t="s">
        <v>61</v>
      </c>
      <c r="C41" s="48" t="s">
        <v>89</v>
      </c>
      <c r="D41" s="128">
        <f>IFERROR(IF(ISBLANK(Current_DTE!D41),INDEX(Minutes_by_use_case!$B$2:$B$9,MATCH($B41,Minutes_by_use_case!$A$2:$A$9,0)),Current_DTE!D41),"-")</f>
        <v>1321.6547222222223</v>
      </c>
      <c r="E41" s="128">
        <f>IFERROR(IF(ISBLANK(Current_DTE!E41),INDEX(Minutes_by_use_case!$B$2:$B$9,MATCH($B41,Minutes_by_use_case!$A$2:$A$9,0)),Current_DTE!E41),"-")</f>
        <v>1450.1822222222222</v>
      </c>
      <c r="F41" s="128">
        <f>IFERROR(IF(ISBLANK(Current_DTE!F41),INDEX(Minutes_by_use_case!$B$2:$B$9,MATCH($B41,Minutes_by_use_case!$A$2:$A$9,0)),Current_DTE!F41),"-")</f>
        <v>1386.2452777777776</v>
      </c>
      <c r="G41" s="128">
        <f>IFERROR(IF(ISBLANK(Current_DTE!G41),INDEX(Minutes_by_use_case!$B$2:$B$9,MATCH($B41,Minutes_by_use_case!$A$2:$A$9,0)),Current_DTE!G41),"-")</f>
        <v>1393.7255555555555</v>
      </c>
      <c r="H41" s="128">
        <f>IFERROR(IF(ISBLANK(Current_DTE!H41),INDEX(Minutes_by_use_case!$B$2:$B$9,MATCH($B41,Minutes_by_use_case!$A$2:$A$9,0)),Current_DTE!H41),"-")</f>
        <v>1393.7255555555555</v>
      </c>
      <c r="I41" s="128">
        <f>IFERROR(IF(ISBLANK(Current_DTE!I41),INDEX(Minutes_by_use_case!$B$2:$B$9,MATCH($B41,Minutes_by_use_case!$A$2:$A$9,0)),Current_DTE!I41),"-")</f>
        <v>1393.7255555555555</v>
      </c>
      <c r="J41" s="128">
        <f>IFERROR(IF(ISBLANK(Current_DTE!J41),INDEX(Minutes_by_use_case!$B$2:$B$9,MATCH($B41,Minutes_by_use_case!$A$2:$A$9,0)),Current_DTE!J41),"-")</f>
        <v>1393.7255555555555</v>
      </c>
      <c r="K41" s="128">
        <f>IFERROR(IF(ISBLANK(Current_DTE!K41),INDEX(Minutes_by_use_case!$B$2:$B$9,MATCH($B41,Minutes_by_use_case!$A$2:$A$9,0)),Current_DTE!K41),"-")</f>
        <v>1393.7255555555555</v>
      </c>
      <c r="L41" s="128">
        <f>IFERROR(IF(ISBLANK(Current_DTE!L41),INDEX(Minutes_by_use_case!$B$2:$B$9,MATCH($B41,Minutes_by_use_case!$A$2:$A$9,0)),Current_DTE!L41),"-")</f>
        <v>1393.7255555555555</v>
      </c>
      <c r="M41" s="128">
        <f>IFERROR(IF(ISBLANK(Current_DTE!M41),INDEX(Minutes_by_use_case!$B$2:$B$9,MATCH($B41,Minutes_by_use_case!$A$2:$A$9,0)),Current_DTE!M41),"-")</f>
        <v>1393.7255555555555</v>
      </c>
      <c r="N41" s="128">
        <f>IFERROR(IF(ISBLANK(Current_DTE!N41),INDEX(Minutes_by_use_case!$B$2:$B$9,MATCH($B41,Minutes_by_use_case!$A$2:$A$9,0)),Current_DTE!N41),"-")</f>
        <v>1393.7255555555555</v>
      </c>
      <c r="O41" s="128">
        <f>IFERROR(IF(ISBLANK(Current_DTE!O41),INDEX(Minutes_by_use_case!$B$2:$B$9,MATCH($B41,Minutes_by_use_case!$A$2:$A$9,0)),Current_DTE!O41),"-")</f>
        <v>1393.7255555555555</v>
      </c>
      <c r="P41" s="128">
        <f>IFERROR(IF(ISBLANK(Current_DTE!P41),INDEX(Minutes_by_use_case!$B$2:$B$9,MATCH($B41,Minutes_by_use_case!$A$2:$A$9,0)),Current_DTE!P41),"-")</f>
        <v>1393.7255555555555</v>
      </c>
      <c r="Q41" s="128">
        <f>IFERROR(IF(ISBLANK(Current_DTE!Q41),INDEX(Minutes_by_use_case!$B$2:$B$9,MATCH($B41,Minutes_by_use_case!$A$2:$A$9,0)),Current_DTE!Q41),"-")</f>
        <v>1393.7255555555555</v>
      </c>
      <c r="R41" s="128">
        <f>IFERROR(IF(ISBLANK(Current_DTE!R41),INDEX(Minutes_by_use_case!$B$2:$B$9,MATCH($B41,Minutes_by_use_case!$A$2:$A$9,0)),Current_DTE!R41),"-")</f>
        <v>1393.7255555555555</v>
      </c>
      <c r="S41" s="128">
        <f>IFERROR(IF(ISBLANK(Current_DTE!S41),INDEX(Minutes_by_use_case!$B$2:$B$9,MATCH($B41,Minutes_by_use_case!$A$2:$A$9,0)),Current_DTE!S41),"-")</f>
        <v>1393.7255555555555</v>
      </c>
      <c r="T41" s="128">
        <f>IFERROR(IF(ISBLANK(Current_DTE!T41),INDEX(Minutes_by_use_case!$B$2:$B$9,MATCH($B41,Minutes_by_use_case!$A$2:$A$9,0)),Current_DTE!T41),"-")</f>
        <v>1393.7255555555555</v>
      </c>
      <c r="U41" s="128">
        <f>IFERROR(IF(ISBLANK(Current_DTE!U41),INDEX(Minutes_by_use_case!$B$2:$B$9,MATCH($B41,Minutes_by_use_case!$A$2:$A$9,0)),Current_DTE!U41),"-")</f>
        <v>1393.7255555555555</v>
      </c>
      <c r="V41" s="128">
        <f>IFERROR(IF(ISBLANK(Current_DTE!V41),INDEX(Minutes_by_use_case!$B$2:$B$9,MATCH($B41,Minutes_by_use_case!$A$2:$A$9,0)),Current_DTE!V41),"-")</f>
        <v>1393.7255555555555</v>
      </c>
      <c r="W41" s="128">
        <f>IFERROR(IF(ISBLANK(Current_DTE!W41),INDEX(Minutes_by_use_case!$B$2:$B$9,MATCH($B41,Minutes_by_use_case!$A$2:$A$9,0)),Current_DTE!W41),"-")</f>
        <v>1393.7255555555555</v>
      </c>
    </row>
    <row r="42" spans="1:23" x14ac:dyDescent="0.3">
      <c r="A42" s="46" t="s">
        <v>79</v>
      </c>
      <c r="B42" s="54" t="s">
        <v>59</v>
      </c>
      <c r="C42" s="48"/>
      <c r="D42" s="128">
        <f>IFERROR(IF(ISBLANK(Current_DTE!D42),INDEX(Minutes_by_use_case!$B$2:$B$9,MATCH($B42,Minutes_by_use_case!$A$2:$A$9,0)),Current_DTE!D42),"-")</f>
        <v>171572.29579277776</v>
      </c>
      <c r="E42" s="128">
        <f>IFERROR(IF(ISBLANK(Current_DTE!E42),INDEX(Minutes_by_use_case!$B$2:$B$9,MATCH($B42,Minutes_by_use_case!$A$2:$A$9,0)),Current_DTE!E42),"-")</f>
        <v>171572.29579277776</v>
      </c>
      <c r="F42" s="128">
        <f>IFERROR(IF(ISBLANK(Current_DTE!F42),INDEX(Minutes_by_use_case!$B$2:$B$9,MATCH($B42,Minutes_by_use_case!$A$2:$A$9,0)),Current_DTE!F42),"-")</f>
        <v>171572.29579277776</v>
      </c>
      <c r="G42" s="128">
        <f>IFERROR(IF(ISBLANK(Current_DTE!G42),INDEX(Minutes_by_use_case!$B$2:$B$9,MATCH($B42,Minutes_by_use_case!$A$2:$A$9,0)),Current_DTE!G42),"-")</f>
        <v>171572.29579277776</v>
      </c>
      <c r="H42" s="128">
        <f>IFERROR(IF(ISBLANK(Current_DTE!H42),INDEX(Minutes_by_use_case!$B$2:$B$9,MATCH($B42,Minutes_by_use_case!$A$2:$A$9,0)),Current_DTE!H42),"-")</f>
        <v>171572.29579277776</v>
      </c>
      <c r="I42" s="128">
        <f>IFERROR(IF(ISBLANK(Current_DTE!I42),INDEX(Minutes_by_use_case!$B$2:$B$9,MATCH($B42,Minutes_by_use_case!$A$2:$A$9,0)),Current_DTE!I42),"-")</f>
        <v>171572.29579277776</v>
      </c>
      <c r="J42" s="128">
        <f>IFERROR(IF(ISBLANK(Current_DTE!J42),INDEX(Minutes_by_use_case!$B$2:$B$9,MATCH($B42,Minutes_by_use_case!$A$2:$A$9,0)),Current_DTE!J42),"-")</f>
        <v>171572.29579277776</v>
      </c>
      <c r="K42" s="128">
        <f>IFERROR(IF(ISBLANK(Current_DTE!K42),INDEX(Minutes_by_use_case!$B$2:$B$9,MATCH($B42,Minutes_by_use_case!$A$2:$A$9,0)),Current_DTE!K42),"-")</f>
        <v>171572.29579277776</v>
      </c>
      <c r="L42" s="128">
        <f>IFERROR(IF(ISBLANK(Current_DTE!L42),INDEX(Minutes_by_use_case!$B$2:$B$9,MATCH($B42,Minutes_by_use_case!$A$2:$A$9,0)),Current_DTE!L42),"-")</f>
        <v>171572.29579277776</v>
      </c>
      <c r="M42" s="128">
        <f>IFERROR(IF(ISBLANK(Current_DTE!M42),INDEX(Minutes_by_use_case!$B$2:$B$9,MATCH($B42,Minutes_by_use_case!$A$2:$A$9,0)),Current_DTE!M42),"-")</f>
        <v>171572.29579277776</v>
      </c>
      <c r="N42" s="128">
        <f>IFERROR(IF(ISBLANK(Current_DTE!N42),INDEX(Minutes_by_use_case!$B$2:$B$9,MATCH($B42,Minutes_by_use_case!$A$2:$A$9,0)),Current_DTE!N42),"-")</f>
        <v>171572.29579277776</v>
      </c>
      <c r="O42" s="128">
        <f>IFERROR(IF(ISBLANK(Current_DTE!O42),INDEX(Minutes_by_use_case!$B$2:$B$9,MATCH($B42,Minutes_by_use_case!$A$2:$A$9,0)),Current_DTE!O42),"-")</f>
        <v>171572.29579277776</v>
      </c>
      <c r="P42" s="128">
        <f>IFERROR(IF(ISBLANK(Current_DTE!P42),INDEX(Minutes_by_use_case!$B$2:$B$9,MATCH($B42,Minutes_by_use_case!$A$2:$A$9,0)),Current_DTE!P42),"-")</f>
        <v>171572.29579277776</v>
      </c>
      <c r="Q42" s="128">
        <f>IFERROR(IF(ISBLANK(Current_DTE!Q42),INDEX(Minutes_by_use_case!$B$2:$B$9,MATCH($B42,Minutes_by_use_case!$A$2:$A$9,0)),Current_DTE!Q42),"-")</f>
        <v>171572.29579277776</v>
      </c>
      <c r="R42" s="128">
        <f>IFERROR(IF(ISBLANK(Current_DTE!R42),INDEX(Minutes_by_use_case!$B$2:$B$9,MATCH($B42,Minutes_by_use_case!$A$2:$A$9,0)),Current_DTE!R42),"-")</f>
        <v>171572.29579277776</v>
      </c>
      <c r="S42" s="128">
        <f>IFERROR(IF(ISBLANK(Current_DTE!S42),INDEX(Minutes_by_use_case!$B$2:$B$9,MATCH($B42,Minutes_by_use_case!$A$2:$A$9,0)),Current_DTE!S42),"-")</f>
        <v>171572.29579277776</v>
      </c>
      <c r="T42" s="128">
        <f>IFERROR(IF(ISBLANK(Current_DTE!T42),INDEX(Minutes_by_use_case!$B$2:$B$9,MATCH($B42,Minutes_by_use_case!$A$2:$A$9,0)),Current_DTE!T42),"-")</f>
        <v>171572.29579277776</v>
      </c>
      <c r="U42" s="128">
        <f>IFERROR(IF(ISBLANK(Current_DTE!U42),INDEX(Minutes_by_use_case!$B$2:$B$9,MATCH($B42,Minutes_by_use_case!$A$2:$A$9,0)),Current_DTE!U42),"-")</f>
        <v>171572.29579277776</v>
      </c>
      <c r="V42" s="128">
        <f>IFERROR(IF(ISBLANK(Current_DTE!V42),INDEX(Minutes_by_use_case!$B$2:$B$9,MATCH($B42,Minutes_by_use_case!$A$2:$A$9,0)),Current_DTE!V42),"-")</f>
        <v>171572.29579277776</v>
      </c>
      <c r="W42" s="128">
        <f>IFERROR(IF(ISBLANK(Current_DTE!W42),INDEX(Minutes_by_use_case!$B$2:$B$9,MATCH($B42,Minutes_by_use_case!$A$2:$A$9,0)),Current_DTE!W42),"-")</f>
        <v>171572.29579277776</v>
      </c>
    </row>
    <row r="43" spans="1:23" x14ac:dyDescent="0.3">
      <c r="A43" s="46" t="s">
        <v>80</v>
      </c>
      <c r="B43" s="47" t="s">
        <v>62</v>
      </c>
      <c r="C43" s="48"/>
      <c r="D43" s="128" t="str">
        <f>IFERROR(IF(ISBLANK(Current_DTE!D43),INDEX(Minutes_by_use_case!$B$2:$B$9,MATCH($B43,Minutes_by_use_case!$A$2:$A$9,0)),Current_DTE!D43),"-")</f>
        <v>-</v>
      </c>
      <c r="E43" s="128" t="str">
        <f>IFERROR(IF(ISBLANK(Current_DTE!E43),INDEX(Minutes_by_use_case!$B$2:$B$9,MATCH($B43,Minutes_by_use_case!$A$2:$A$9,0)),Current_DTE!E43),"-")</f>
        <v>-</v>
      </c>
      <c r="F43" s="128" t="str">
        <f>IFERROR(IF(ISBLANK(Current_DTE!F43),INDEX(Minutes_by_use_case!$B$2:$B$9,MATCH($B43,Minutes_by_use_case!$A$2:$A$9,0)),Current_DTE!F43),"-")</f>
        <v>-</v>
      </c>
      <c r="G43" s="128" t="str">
        <f>IFERROR(IF(ISBLANK(Current_DTE!G43),INDEX(Minutes_by_use_case!$B$2:$B$9,MATCH($B43,Minutes_by_use_case!$A$2:$A$9,0)),Current_DTE!G43),"-")</f>
        <v>-</v>
      </c>
      <c r="H43" s="128" t="str">
        <f>IFERROR(IF(ISBLANK(Current_DTE!H43),INDEX(Minutes_by_use_case!$B$2:$B$9,MATCH($B43,Minutes_by_use_case!$A$2:$A$9,0)),Current_DTE!H43),"-")</f>
        <v>-</v>
      </c>
      <c r="I43" s="128" t="str">
        <f>IFERROR(IF(ISBLANK(Current_DTE!I43),INDEX(Minutes_by_use_case!$B$2:$B$9,MATCH($B43,Minutes_by_use_case!$A$2:$A$9,0)),Current_DTE!I43),"-")</f>
        <v>-</v>
      </c>
      <c r="J43" s="128" t="str">
        <f>IFERROR(IF(ISBLANK(Current_DTE!J43),INDEX(Minutes_by_use_case!$B$2:$B$9,MATCH($B43,Minutes_by_use_case!$A$2:$A$9,0)),Current_DTE!J43),"-")</f>
        <v>-</v>
      </c>
      <c r="K43" s="128" t="str">
        <f>IFERROR(IF(ISBLANK(Current_DTE!K43),INDEX(Minutes_by_use_case!$B$2:$B$9,MATCH($B43,Minutes_by_use_case!$A$2:$A$9,0)),Current_DTE!K43),"-")</f>
        <v>-</v>
      </c>
      <c r="L43" s="128" t="str">
        <f>IFERROR(IF(ISBLANK(Current_DTE!L43),INDEX(Minutes_by_use_case!$B$2:$B$9,MATCH($B43,Minutes_by_use_case!$A$2:$A$9,0)),Current_DTE!L43),"-")</f>
        <v>-</v>
      </c>
      <c r="M43" s="128" t="str">
        <f>IFERROR(IF(ISBLANK(Current_DTE!M43),INDEX(Minutes_by_use_case!$B$2:$B$9,MATCH($B43,Minutes_by_use_case!$A$2:$A$9,0)),Current_DTE!M43),"-")</f>
        <v>-</v>
      </c>
      <c r="N43" s="128" t="str">
        <f>IFERROR(IF(ISBLANK(Current_DTE!N43),INDEX(Minutes_by_use_case!$B$2:$B$9,MATCH($B43,Minutes_by_use_case!$A$2:$A$9,0)),Current_DTE!N43),"-")</f>
        <v>-</v>
      </c>
      <c r="O43" s="128" t="str">
        <f>IFERROR(IF(ISBLANK(Current_DTE!O43),INDEX(Minutes_by_use_case!$B$2:$B$9,MATCH($B43,Minutes_by_use_case!$A$2:$A$9,0)),Current_DTE!O43),"-")</f>
        <v>-</v>
      </c>
      <c r="P43" s="128" t="str">
        <f>IFERROR(IF(ISBLANK(Current_DTE!P43),INDEX(Minutes_by_use_case!$B$2:$B$9,MATCH($B43,Minutes_by_use_case!$A$2:$A$9,0)),Current_DTE!P43),"-")</f>
        <v>-</v>
      </c>
      <c r="Q43" s="128" t="str">
        <f>IFERROR(IF(ISBLANK(Current_DTE!Q43),INDEX(Minutes_by_use_case!$B$2:$B$9,MATCH($B43,Minutes_by_use_case!$A$2:$A$9,0)),Current_DTE!Q43),"-")</f>
        <v>-</v>
      </c>
      <c r="R43" s="128" t="str">
        <f>IFERROR(IF(ISBLANK(Current_DTE!R43),INDEX(Minutes_by_use_case!$B$2:$B$9,MATCH($B43,Minutes_by_use_case!$A$2:$A$9,0)),Current_DTE!R43),"-")</f>
        <v>-</v>
      </c>
      <c r="S43" s="128" t="str">
        <f>IFERROR(IF(ISBLANK(Current_DTE!S43),INDEX(Minutes_by_use_case!$B$2:$B$9,MATCH($B43,Minutes_by_use_case!$A$2:$A$9,0)),Current_DTE!S43),"-")</f>
        <v>-</v>
      </c>
      <c r="T43" s="128" t="str">
        <f>IFERROR(IF(ISBLANK(Current_DTE!T43),INDEX(Minutes_by_use_case!$B$2:$B$9,MATCH($B43,Minutes_by_use_case!$A$2:$A$9,0)),Current_DTE!T43),"-")</f>
        <v>-</v>
      </c>
      <c r="U43" s="128" t="str">
        <f>IFERROR(IF(ISBLANK(Current_DTE!U43),INDEX(Minutes_by_use_case!$B$2:$B$9,MATCH($B43,Minutes_by_use_case!$A$2:$A$9,0)),Current_DTE!U43),"-")</f>
        <v>-</v>
      </c>
      <c r="V43" s="128" t="str">
        <f>IFERROR(IF(ISBLANK(Current_DTE!V43),INDEX(Minutes_by_use_case!$B$2:$B$9,MATCH($B43,Minutes_by_use_case!$A$2:$A$9,0)),Current_DTE!V43),"-")</f>
        <v>-</v>
      </c>
      <c r="W43" s="128" t="str">
        <f>IFERROR(IF(ISBLANK(Current_DTE!W43),INDEX(Minutes_by_use_case!$B$2:$B$9,MATCH($B43,Minutes_by_use_case!$A$2:$A$9,0)),Current_DTE!W43),"-")</f>
        <v>-</v>
      </c>
    </row>
    <row r="44" spans="1:23" x14ac:dyDescent="0.3">
      <c r="A44" s="46" t="s">
        <v>81</v>
      </c>
      <c r="B44" s="47" t="s">
        <v>57</v>
      </c>
      <c r="C44" s="48" t="s">
        <v>89</v>
      </c>
      <c r="D44" s="128">
        <f>IFERROR(IF(ISBLANK(Current_DTE!D44),INDEX(Minutes_by_use_case!$B$2:$B$9,MATCH($B44,Minutes_by_use_case!$A$2:$A$9,0)),Current_DTE!D44),"-")</f>
        <v>3017.8666666666668</v>
      </c>
      <c r="E44" s="128">
        <f>IFERROR(IF(ISBLANK(Current_DTE!E44),INDEX(Minutes_by_use_case!$B$2:$B$9,MATCH($B44,Minutes_by_use_case!$A$2:$A$9,0)),Current_DTE!E44),"-")</f>
        <v>3078.4611111111108</v>
      </c>
      <c r="F44" s="128">
        <f>IFERROR(IF(ISBLANK(Current_DTE!F44),INDEX(Minutes_by_use_case!$B$2:$B$9,MATCH($B44,Minutes_by_use_case!$A$2:$A$9,0)),Current_DTE!F44),"-")</f>
        <v>2765.7895222222219</v>
      </c>
      <c r="G44" s="128">
        <f>IFERROR(IF(ISBLANK(Current_DTE!G44),INDEX(Minutes_by_use_case!$B$2:$B$9,MATCH($B44,Minutes_by_use_case!$A$2:$A$9,0)),Current_DTE!G44),"-")</f>
        <v>3000.2460561111111</v>
      </c>
      <c r="H44" s="128">
        <f>IFERROR(IF(ISBLANK(Current_DTE!H44),INDEX(Minutes_by_use_case!$B$2:$B$9,MATCH($B44,Minutes_by_use_case!$A$2:$A$9,0)),Current_DTE!H44),"-")</f>
        <v>3000.2460561111111</v>
      </c>
      <c r="I44" s="128">
        <f>IFERROR(IF(ISBLANK(Current_DTE!I44),INDEX(Minutes_by_use_case!$B$2:$B$9,MATCH($B44,Minutes_by_use_case!$A$2:$A$9,0)),Current_DTE!I44),"-")</f>
        <v>3000.2460561111111</v>
      </c>
      <c r="J44" s="128">
        <f>IFERROR(IF(ISBLANK(Current_DTE!J44),INDEX(Minutes_by_use_case!$B$2:$B$9,MATCH($B44,Minutes_by_use_case!$A$2:$A$9,0)),Current_DTE!J44),"-")</f>
        <v>3000.2460561111111</v>
      </c>
      <c r="K44" s="128">
        <f>IFERROR(IF(ISBLANK(Current_DTE!K44),INDEX(Minutes_by_use_case!$B$2:$B$9,MATCH($B44,Minutes_by_use_case!$A$2:$A$9,0)),Current_DTE!K44),"-")</f>
        <v>3000.2460561111111</v>
      </c>
      <c r="L44" s="128">
        <f>IFERROR(IF(ISBLANK(Current_DTE!L44),INDEX(Minutes_by_use_case!$B$2:$B$9,MATCH($B44,Minutes_by_use_case!$A$2:$A$9,0)),Current_DTE!L44),"-")</f>
        <v>3000.2460561111111</v>
      </c>
      <c r="M44" s="128">
        <f>IFERROR(IF(ISBLANK(Current_DTE!M44),INDEX(Minutes_by_use_case!$B$2:$B$9,MATCH($B44,Minutes_by_use_case!$A$2:$A$9,0)),Current_DTE!M44),"-")</f>
        <v>3000.2460561111111</v>
      </c>
      <c r="N44" s="128">
        <f>IFERROR(IF(ISBLANK(Current_DTE!N44),INDEX(Minutes_by_use_case!$B$2:$B$9,MATCH($B44,Minutes_by_use_case!$A$2:$A$9,0)),Current_DTE!N44),"-")</f>
        <v>3000.2460561111111</v>
      </c>
      <c r="O44" s="128">
        <f>IFERROR(IF(ISBLANK(Current_DTE!O44),INDEX(Minutes_by_use_case!$B$2:$B$9,MATCH($B44,Minutes_by_use_case!$A$2:$A$9,0)),Current_DTE!O44),"-")</f>
        <v>3000.2460561111111</v>
      </c>
      <c r="P44" s="128">
        <f>IFERROR(IF(ISBLANK(Current_DTE!P44),INDEX(Minutes_by_use_case!$B$2:$B$9,MATCH($B44,Minutes_by_use_case!$A$2:$A$9,0)),Current_DTE!P44),"-")</f>
        <v>3000.2460561111111</v>
      </c>
      <c r="Q44" s="128">
        <f>IFERROR(IF(ISBLANK(Current_DTE!Q44),INDEX(Minutes_by_use_case!$B$2:$B$9,MATCH($B44,Minutes_by_use_case!$A$2:$A$9,0)),Current_DTE!Q44),"-")</f>
        <v>3000.2460561111111</v>
      </c>
      <c r="R44" s="128">
        <f>IFERROR(IF(ISBLANK(Current_DTE!R44),INDEX(Minutes_by_use_case!$B$2:$B$9,MATCH($B44,Minutes_by_use_case!$A$2:$A$9,0)),Current_DTE!R44),"-")</f>
        <v>3000.2460561111111</v>
      </c>
      <c r="S44" s="128">
        <f>IFERROR(IF(ISBLANK(Current_DTE!S44),INDEX(Minutes_by_use_case!$B$2:$B$9,MATCH($B44,Minutes_by_use_case!$A$2:$A$9,0)),Current_DTE!S44),"-")</f>
        <v>3000.2460561111111</v>
      </c>
      <c r="T44" s="128">
        <f>IFERROR(IF(ISBLANK(Current_DTE!T44),INDEX(Minutes_by_use_case!$B$2:$B$9,MATCH($B44,Minutes_by_use_case!$A$2:$A$9,0)),Current_DTE!T44),"-")</f>
        <v>3000.2460561111111</v>
      </c>
      <c r="U44" s="128">
        <f>IFERROR(IF(ISBLANK(Current_DTE!U44),INDEX(Minutes_by_use_case!$B$2:$B$9,MATCH($B44,Minutes_by_use_case!$A$2:$A$9,0)),Current_DTE!U44),"-")</f>
        <v>3000.2460561111111</v>
      </c>
      <c r="V44" s="128">
        <f>IFERROR(IF(ISBLANK(Current_DTE!V44),INDEX(Minutes_by_use_case!$B$2:$B$9,MATCH($B44,Minutes_by_use_case!$A$2:$A$9,0)),Current_DTE!V44),"-")</f>
        <v>3000.2460561111111</v>
      </c>
      <c r="W44" s="128">
        <f>IFERROR(IF(ISBLANK(Current_DTE!W44),INDEX(Minutes_by_use_case!$B$2:$B$9,MATCH($B44,Minutes_by_use_case!$A$2:$A$9,0)),Current_DTE!W44),"-")</f>
        <v>3000.2460561111111</v>
      </c>
    </row>
    <row r="45" spans="1:23" x14ac:dyDescent="0.3">
      <c r="A45" s="46" t="s">
        <v>51</v>
      </c>
      <c r="B45" s="47" t="s">
        <v>56</v>
      </c>
      <c r="C45" s="48"/>
      <c r="D45" s="128">
        <f>IFERROR(IF(ISBLANK(Current_DTE!D45),INDEX(Minutes_by_use_case!$B$2:$B$9,MATCH($B45,Minutes_by_use_case!$A$2:$A$9,0)),Current_DTE!D45),"-")</f>
        <v>2140.4341038095235</v>
      </c>
      <c r="E45" s="128">
        <f>IFERROR(IF(ISBLANK(Current_DTE!E45),INDEX(Minutes_by_use_case!$B$2:$B$9,MATCH($B45,Minutes_by_use_case!$A$2:$A$9,0)),Current_DTE!E45),"-")</f>
        <v>2140.4341038095235</v>
      </c>
      <c r="F45" s="128">
        <f>IFERROR(IF(ISBLANK(Current_DTE!F45),INDEX(Minutes_by_use_case!$B$2:$B$9,MATCH($B45,Minutes_by_use_case!$A$2:$A$9,0)),Current_DTE!F45),"-")</f>
        <v>2140.4341038095235</v>
      </c>
      <c r="G45" s="128">
        <f>IFERROR(IF(ISBLANK(Current_DTE!G45),INDEX(Minutes_by_use_case!$B$2:$B$9,MATCH($B45,Minutes_by_use_case!$A$2:$A$9,0)),Current_DTE!G45),"-")</f>
        <v>2140.4341038095235</v>
      </c>
      <c r="H45" s="128">
        <f>IFERROR(IF(ISBLANK(Current_DTE!H45),INDEX(Minutes_by_use_case!$B$2:$B$9,MATCH($B45,Minutes_by_use_case!$A$2:$A$9,0)),Current_DTE!H45),"-")</f>
        <v>2140.4341038095235</v>
      </c>
      <c r="I45" s="128">
        <f>IFERROR(IF(ISBLANK(Current_DTE!I45),INDEX(Minutes_by_use_case!$B$2:$B$9,MATCH($B45,Minutes_by_use_case!$A$2:$A$9,0)),Current_DTE!I45),"-")</f>
        <v>2140.4341038095235</v>
      </c>
      <c r="J45" s="128">
        <f>IFERROR(IF(ISBLANK(Current_DTE!J45),INDEX(Minutes_by_use_case!$B$2:$B$9,MATCH($B45,Minutes_by_use_case!$A$2:$A$9,0)),Current_DTE!J45),"-")</f>
        <v>2140.4341038095235</v>
      </c>
      <c r="K45" s="128">
        <f>IFERROR(IF(ISBLANK(Current_DTE!K45),INDEX(Minutes_by_use_case!$B$2:$B$9,MATCH($B45,Minutes_by_use_case!$A$2:$A$9,0)),Current_DTE!K45),"-")</f>
        <v>2140.4341038095235</v>
      </c>
      <c r="L45" s="128">
        <f>IFERROR(IF(ISBLANK(Current_DTE!L45),INDEX(Minutes_by_use_case!$B$2:$B$9,MATCH($B45,Minutes_by_use_case!$A$2:$A$9,0)),Current_DTE!L45),"-")</f>
        <v>2140.4341038095235</v>
      </c>
      <c r="M45" s="128">
        <f>IFERROR(IF(ISBLANK(Current_DTE!M45),INDEX(Minutes_by_use_case!$B$2:$B$9,MATCH($B45,Minutes_by_use_case!$A$2:$A$9,0)),Current_DTE!M45),"-")</f>
        <v>2140.4341038095235</v>
      </c>
      <c r="N45" s="128">
        <f>IFERROR(IF(ISBLANK(Current_DTE!N45),INDEX(Minutes_by_use_case!$B$2:$B$9,MATCH($B45,Minutes_by_use_case!$A$2:$A$9,0)),Current_DTE!N45),"-")</f>
        <v>2140.4341038095235</v>
      </c>
      <c r="O45" s="128">
        <f>IFERROR(IF(ISBLANK(Current_DTE!O45),INDEX(Minutes_by_use_case!$B$2:$B$9,MATCH($B45,Minutes_by_use_case!$A$2:$A$9,0)),Current_DTE!O45),"-")</f>
        <v>2140.4341038095235</v>
      </c>
      <c r="P45" s="128">
        <f>IFERROR(IF(ISBLANK(Current_DTE!P45),INDEX(Minutes_by_use_case!$B$2:$B$9,MATCH($B45,Minutes_by_use_case!$A$2:$A$9,0)),Current_DTE!P45),"-")</f>
        <v>2140.4341038095235</v>
      </c>
      <c r="Q45" s="128">
        <f>IFERROR(IF(ISBLANK(Current_DTE!Q45),INDEX(Minutes_by_use_case!$B$2:$B$9,MATCH($B45,Minutes_by_use_case!$A$2:$A$9,0)),Current_DTE!Q45),"-")</f>
        <v>2140.4341038095235</v>
      </c>
      <c r="R45" s="128">
        <f>IFERROR(IF(ISBLANK(Current_DTE!R45),INDEX(Minutes_by_use_case!$B$2:$B$9,MATCH($B45,Minutes_by_use_case!$A$2:$A$9,0)),Current_DTE!R45),"-")</f>
        <v>2140.4341038095235</v>
      </c>
      <c r="S45" s="128">
        <f>IFERROR(IF(ISBLANK(Current_DTE!S45),INDEX(Minutes_by_use_case!$B$2:$B$9,MATCH($B45,Minutes_by_use_case!$A$2:$A$9,0)),Current_DTE!S45),"-")</f>
        <v>2140.4341038095235</v>
      </c>
      <c r="T45" s="128">
        <f>IFERROR(IF(ISBLANK(Current_DTE!T45),INDEX(Minutes_by_use_case!$B$2:$B$9,MATCH($B45,Minutes_by_use_case!$A$2:$A$9,0)),Current_DTE!T45),"-")</f>
        <v>2140.4341038095235</v>
      </c>
      <c r="U45" s="128">
        <f>IFERROR(IF(ISBLANK(Current_DTE!U45),INDEX(Minutes_by_use_case!$B$2:$B$9,MATCH($B45,Minutes_by_use_case!$A$2:$A$9,0)),Current_DTE!U45),"-")</f>
        <v>2140.4341038095235</v>
      </c>
      <c r="V45" s="128">
        <f>IFERROR(IF(ISBLANK(Current_DTE!V45),INDEX(Minutes_by_use_case!$B$2:$B$9,MATCH($B45,Minutes_by_use_case!$A$2:$A$9,0)),Current_DTE!V45),"-")</f>
        <v>2140.4341038095235</v>
      </c>
      <c r="W45" s="128">
        <f>IFERROR(IF(ISBLANK(Current_DTE!W45),INDEX(Minutes_by_use_case!$B$2:$B$9,MATCH($B45,Minutes_by_use_case!$A$2:$A$9,0)),Current_DTE!W45),"-")</f>
        <v>2140.4341038095235</v>
      </c>
    </row>
    <row r="46" spans="1:23" x14ac:dyDescent="0.3">
      <c r="A46" s="46" t="s">
        <v>52</v>
      </c>
      <c r="B46" s="47" t="s">
        <v>56</v>
      </c>
      <c r="C46" s="48"/>
      <c r="D46" s="128">
        <f>IFERROR(IF(ISBLANK(Current_DTE!D46),INDEX(Minutes_by_use_case!$B$2:$B$9,MATCH($B46,Minutes_by_use_case!$A$2:$A$9,0)),Current_DTE!D46),"-")</f>
        <v>2140.4341038095235</v>
      </c>
      <c r="E46" s="128">
        <f>IFERROR(IF(ISBLANK(Current_DTE!E46),INDEX(Minutes_by_use_case!$B$2:$B$9,MATCH($B46,Minutes_by_use_case!$A$2:$A$9,0)),Current_DTE!E46),"-")</f>
        <v>2140.4341038095235</v>
      </c>
      <c r="F46" s="128">
        <f>IFERROR(IF(ISBLANK(Current_DTE!F46),INDEX(Minutes_by_use_case!$B$2:$B$9,MATCH($B46,Minutes_by_use_case!$A$2:$A$9,0)),Current_DTE!F46),"-")</f>
        <v>2140.4341038095235</v>
      </c>
      <c r="G46" s="128">
        <f>IFERROR(IF(ISBLANK(Current_DTE!G46),INDEX(Minutes_by_use_case!$B$2:$B$9,MATCH($B46,Minutes_by_use_case!$A$2:$A$9,0)),Current_DTE!G46),"-")</f>
        <v>2140.4341038095235</v>
      </c>
      <c r="H46" s="128">
        <f>IFERROR(IF(ISBLANK(Current_DTE!H46),INDEX(Minutes_by_use_case!$B$2:$B$9,MATCH($B46,Minutes_by_use_case!$A$2:$A$9,0)),Current_DTE!H46),"-")</f>
        <v>2140.4341038095235</v>
      </c>
      <c r="I46" s="128">
        <f>IFERROR(IF(ISBLANK(Current_DTE!I46),INDEX(Minutes_by_use_case!$B$2:$B$9,MATCH($B46,Minutes_by_use_case!$A$2:$A$9,0)),Current_DTE!I46),"-")</f>
        <v>2140.4341038095235</v>
      </c>
      <c r="J46" s="128">
        <f>IFERROR(IF(ISBLANK(Current_DTE!J46),INDEX(Minutes_by_use_case!$B$2:$B$9,MATCH($B46,Minutes_by_use_case!$A$2:$A$9,0)),Current_DTE!J46),"-")</f>
        <v>2140.4341038095235</v>
      </c>
      <c r="K46" s="128">
        <f>IFERROR(IF(ISBLANK(Current_DTE!K46),INDEX(Minutes_by_use_case!$B$2:$B$9,MATCH($B46,Minutes_by_use_case!$A$2:$A$9,0)),Current_DTE!K46),"-")</f>
        <v>2140.4341038095235</v>
      </c>
      <c r="L46" s="128">
        <f>IFERROR(IF(ISBLANK(Current_DTE!L46),INDEX(Minutes_by_use_case!$B$2:$B$9,MATCH($B46,Minutes_by_use_case!$A$2:$A$9,0)),Current_DTE!L46),"-")</f>
        <v>2140.4341038095235</v>
      </c>
      <c r="M46" s="128">
        <f>IFERROR(IF(ISBLANK(Current_DTE!M46),INDEX(Minutes_by_use_case!$B$2:$B$9,MATCH($B46,Minutes_by_use_case!$A$2:$A$9,0)),Current_DTE!M46),"-")</f>
        <v>2140.4341038095235</v>
      </c>
      <c r="N46" s="128">
        <f>IFERROR(IF(ISBLANK(Current_DTE!N46),INDEX(Minutes_by_use_case!$B$2:$B$9,MATCH($B46,Minutes_by_use_case!$A$2:$A$9,0)),Current_DTE!N46),"-")</f>
        <v>2140.4341038095235</v>
      </c>
      <c r="O46" s="128">
        <f>IFERROR(IF(ISBLANK(Current_DTE!O46),INDEX(Minutes_by_use_case!$B$2:$B$9,MATCH($B46,Minutes_by_use_case!$A$2:$A$9,0)),Current_DTE!O46),"-")</f>
        <v>2140.4341038095235</v>
      </c>
      <c r="P46" s="128">
        <f>IFERROR(IF(ISBLANK(Current_DTE!P46),INDEX(Minutes_by_use_case!$B$2:$B$9,MATCH($B46,Minutes_by_use_case!$A$2:$A$9,0)),Current_DTE!P46),"-")</f>
        <v>2140.4341038095235</v>
      </c>
      <c r="Q46" s="128">
        <f>IFERROR(IF(ISBLANK(Current_DTE!Q46),INDEX(Minutes_by_use_case!$B$2:$B$9,MATCH($B46,Minutes_by_use_case!$A$2:$A$9,0)),Current_DTE!Q46),"-")</f>
        <v>2140.4341038095235</v>
      </c>
      <c r="R46" s="128">
        <f>IFERROR(IF(ISBLANK(Current_DTE!R46),INDEX(Minutes_by_use_case!$B$2:$B$9,MATCH($B46,Minutes_by_use_case!$A$2:$A$9,0)),Current_DTE!R46),"-")</f>
        <v>2140.4341038095235</v>
      </c>
      <c r="S46" s="128">
        <f>IFERROR(IF(ISBLANK(Current_DTE!S46),INDEX(Minutes_by_use_case!$B$2:$B$9,MATCH($B46,Minutes_by_use_case!$A$2:$A$9,0)),Current_DTE!S46),"-")</f>
        <v>2140.4341038095235</v>
      </c>
      <c r="T46" s="128">
        <f>IFERROR(IF(ISBLANK(Current_DTE!T46),INDEX(Minutes_by_use_case!$B$2:$B$9,MATCH($B46,Minutes_by_use_case!$A$2:$A$9,0)),Current_DTE!T46),"-")</f>
        <v>2140.4341038095235</v>
      </c>
      <c r="U46" s="128">
        <f>IFERROR(IF(ISBLANK(Current_DTE!U46),INDEX(Minutes_by_use_case!$B$2:$B$9,MATCH($B46,Minutes_by_use_case!$A$2:$A$9,0)),Current_DTE!U46),"-")</f>
        <v>2140.4341038095235</v>
      </c>
      <c r="V46" s="128">
        <f>IFERROR(IF(ISBLANK(Current_DTE!V46),INDEX(Minutes_by_use_case!$B$2:$B$9,MATCH($B46,Minutes_by_use_case!$A$2:$A$9,0)),Current_DTE!V46),"-")</f>
        <v>2140.4341038095235</v>
      </c>
      <c r="W46" s="128">
        <f>IFERROR(IF(ISBLANK(Current_DTE!W46),INDEX(Minutes_by_use_case!$B$2:$B$9,MATCH($B46,Minutes_by_use_case!$A$2:$A$9,0)),Current_DTE!W46),"-")</f>
        <v>2140.4341038095235</v>
      </c>
    </row>
    <row r="47" spans="1:23" x14ac:dyDescent="0.3">
      <c r="A47" s="46" t="s">
        <v>53</v>
      </c>
      <c r="B47" s="47" t="s">
        <v>56</v>
      </c>
      <c r="C47" s="48"/>
      <c r="D47" s="128">
        <f>IFERROR(IF(ISBLANK(Current_DTE!D47),INDEX(Minutes_by_use_case!$B$2:$B$9,MATCH($B47,Minutes_by_use_case!$A$2:$A$9,0)),Current_DTE!D47),"-")</f>
        <v>2140.4341038095235</v>
      </c>
      <c r="E47" s="128">
        <f>IFERROR(IF(ISBLANK(Current_DTE!E47),INDEX(Minutes_by_use_case!$B$2:$B$9,MATCH($B47,Minutes_by_use_case!$A$2:$A$9,0)),Current_DTE!E47),"-")</f>
        <v>2140.4341038095235</v>
      </c>
      <c r="F47" s="128">
        <f>IFERROR(IF(ISBLANK(Current_DTE!F47),INDEX(Minutes_by_use_case!$B$2:$B$9,MATCH($B47,Minutes_by_use_case!$A$2:$A$9,0)),Current_DTE!F47),"-")</f>
        <v>2140.4341038095235</v>
      </c>
      <c r="G47" s="128">
        <f>IFERROR(IF(ISBLANK(Current_DTE!G47),INDEX(Minutes_by_use_case!$B$2:$B$9,MATCH($B47,Minutes_by_use_case!$A$2:$A$9,0)),Current_DTE!G47),"-")</f>
        <v>2140.4341038095235</v>
      </c>
      <c r="H47" s="128">
        <f>IFERROR(IF(ISBLANK(Current_DTE!H47),INDEX(Minutes_by_use_case!$B$2:$B$9,MATCH($B47,Minutes_by_use_case!$A$2:$A$9,0)),Current_DTE!H47),"-")</f>
        <v>2140.4341038095235</v>
      </c>
      <c r="I47" s="128">
        <f>IFERROR(IF(ISBLANK(Current_DTE!I47),INDEX(Minutes_by_use_case!$B$2:$B$9,MATCH($B47,Minutes_by_use_case!$A$2:$A$9,0)),Current_DTE!I47),"-")</f>
        <v>2140.4341038095235</v>
      </c>
      <c r="J47" s="128">
        <f>IFERROR(IF(ISBLANK(Current_DTE!J47),INDEX(Minutes_by_use_case!$B$2:$B$9,MATCH($B47,Minutes_by_use_case!$A$2:$A$9,0)),Current_DTE!J47),"-")</f>
        <v>2140.4341038095235</v>
      </c>
      <c r="K47" s="128">
        <f>IFERROR(IF(ISBLANK(Current_DTE!K47),INDEX(Minutes_by_use_case!$B$2:$B$9,MATCH($B47,Minutes_by_use_case!$A$2:$A$9,0)),Current_DTE!K47),"-")</f>
        <v>2140.4341038095235</v>
      </c>
      <c r="L47" s="128">
        <f>IFERROR(IF(ISBLANK(Current_DTE!L47),INDEX(Minutes_by_use_case!$B$2:$B$9,MATCH($B47,Minutes_by_use_case!$A$2:$A$9,0)),Current_DTE!L47),"-")</f>
        <v>2140.4341038095235</v>
      </c>
      <c r="M47" s="128">
        <f>IFERROR(IF(ISBLANK(Current_DTE!M47),INDEX(Minutes_by_use_case!$B$2:$B$9,MATCH($B47,Minutes_by_use_case!$A$2:$A$9,0)),Current_DTE!M47),"-")</f>
        <v>2140.4341038095235</v>
      </c>
      <c r="N47" s="128">
        <f>IFERROR(IF(ISBLANK(Current_DTE!N47),INDEX(Minutes_by_use_case!$B$2:$B$9,MATCH($B47,Minutes_by_use_case!$A$2:$A$9,0)),Current_DTE!N47),"-")</f>
        <v>2140.4341038095235</v>
      </c>
      <c r="O47" s="128">
        <f>IFERROR(IF(ISBLANK(Current_DTE!O47),INDEX(Minutes_by_use_case!$B$2:$B$9,MATCH($B47,Minutes_by_use_case!$A$2:$A$9,0)),Current_DTE!O47),"-")</f>
        <v>2140.4341038095235</v>
      </c>
      <c r="P47" s="128">
        <f>IFERROR(IF(ISBLANK(Current_DTE!P47),INDEX(Minutes_by_use_case!$B$2:$B$9,MATCH($B47,Minutes_by_use_case!$A$2:$A$9,0)),Current_DTE!P47),"-")</f>
        <v>2140.4341038095235</v>
      </c>
      <c r="Q47" s="128">
        <f>IFERROR(IF(ISBLANK(Current_DTE!Q47),INDEX(Minutes_by_use_case!$B$2:$B$9,MATCH($B47,Minutes_by_use_case!$A$2:$A$9,0)),Current_DTE!Q47),"-")</f>
        <v>2140.4341038095235</v>
      </c>
      <c r="R47" s="128">
        <f>IFERROR(IF(ISBLANK(Current_DTE!R47),INDEX(Minutes_by_use_case!$B$2:$B$9,MATCH($B47,Minutes_by_use_case!$A$2:$A$9,0)),Current_DTE!R47),"-")</f>
        <v>2140.4341038095235</v>
      </c>
      <c r="S47" s="128">
        <f>IFERROR(IF(ISBLANK(Current_DTE!S47),INDEX(Minutes_by_use_case!$B$2:$B$9,MATCH($B47,Minutes_by_use_case!$A$2:$A$9,0)),Current_DTE!S47),"-")</f>
        <v>2140.4341038095235</v>
      </c>
      <c r="T47" s="128">
        <f>IFERROR(IF(ISBLANK(Current_DTE!T47),INDEX(Minutes_by_use_case!$B$2:$B$9,MATCH($B47,Minutes_by_use_case!$A$2:$A$9,0)),Current_DTE!T47),"-")</f>
        <v>2140.4341038095235</v>
      </c>
      <c r="U47" s="128">
        <f>IFERROR(IF(ISBLANK(Current_DTE!U47),INDEX(Minutes_by_use_case!$B$2:$B$9,MATCH($B47,Minutes_by_use_case!$A$2:$A$9,0)),Current_DTE!U47),"-")</f>
        <v>2140.4341038095235</v>
      </c>
      <c r="V47" s="128">
        <f>IFERROR(IF(ISBLANK(Current_DTE!V47),INDEX(Minutes_by_use_case!$B$2:$B$9,MATCH($B47,Minutes_by_use_case!$A$2:$A$9,0)),Current_DTE!V47),"-")</f>
        <v>2140.4341038095235</v>
      </c>
      <c r="W47" s="128">
        <f>IFERROR(IF(ISBLANK(Current_DTE!W47),INDEX(Minutes_by_use_case!$B$2:$B$9,MATCH($B47,Minutes_by_use_case!$A$2:$A$9,0)),Current_DTE!W47),"-")</f>
        <v>2140.4341038095235</v>
      </c>
    </row>
    <row r="48" spans="1:23" x14ac:dyDescent="0.3">
      <c r="A48" s="46" t="s">
        <v>54</v>
      </c>
      <c r="B48" s="47" t="s">
        <v>57</v>
      </c>
      <c r="C48" s="48"/>
      <c r="D48" s="128">
        <f>IFERROR(IF(ISBLANK(Current_DTE!D48),INDEX(Minutes_by_use_case!$B$2:$B$9,MATCH($B48,Minutes_by_use_case!$A$2:$A$9,0)),Current_DTE!D48),"-")</f>
        <v>133409.35004928565</v>
      </c>
      <c r="E48" s="128">
        <f>IFERROR(IF(ISBLANK(Current_DTE!E48),INDEX(Minutes_by_use_case!$B$2:$B$9,MATCH($B48,Minutes_by_use_case!$A$2:$A$9,0)),Current_DTE!E48),"-")</f>
        <v>133409.35004928565</v>
      </c>
      <c r="F48" s="128">
        <f>IFERROR(IF(ISBLANK(Current_DTE!F48),INDEX(Minutes_by_use_case!$B$2:$B$9,MATCH($B48,Minutes_by_use_case!$A$2:$A$9,0)),Current_DTE!F48),"-")</f>
        <v>133409.35004928565</v>
      </c>
      <c r="G48" s="128">
        <f>IFERROR(IF(ISBLANK(Current_DTE!G48),INDEX(Minutes_by_use_case!$B$2:$B$9,MATCH($B48,Minutes_by_use_case!$A$2:$A$9,0)),Current_DTE!G48),"-")</f>
        <v>133409.35004928565</v>
      </c>
      <c r="H48" s="128">
        <f>IFERROR(IF(ISBLANK(Current_DTE!H48),INDEX(Minutes_by_use_case!$B$2:$B$9,MATCH($B48,Minutes_by_use_case!$A$2:$A$9,0)),Current_DTE!H48),"-")</f>
        <v>133409.35004928565</v>
      </c>
      <c r="I48" s="128">
        <f>IFERROR(IF(ISBLANK(Current_DTE!I48),INDEX(Minutes_by_use_case!$B$2:$B$9,MATCH($B48,Minutes_by_use_case!$A$2:$A$9,0)),Current_DTE!I48),"-")</f>
        <v>133409.35004928565</v>
      </c>
      <c r="J48" s="128">
        <f>IFERROR(IF(ISBLANK(Current_DTE!J48),INDEX(Minutes_by_use_case!$B$2:$B$9,MATCH($B48,Minutes_by_use_case!$A$2:$A$9,0)),Current_DTE!J48),"-")</f>
        <v>133409.35004928565</v>
      </c>
      <c r="K48" s="128">
        <f>IFERROR(IF(ISBLANK(Current_DTE!K48),INDEX(Minutes_by_use_case!$B$2:$B$9,MATCH($B48,Minutes_by_use_case!$A$2:$A$9,0)),Current_DTE!K48),"-")</f>
        <v>133409.35004928565</v>
      </c>
      <c r="L48" s="128">
        <f>IFERROR(IF(ISBLANK(Current_DTE!L48),INDEX(Minutes_by_use_case!$B$2:$B$9,MATCH($B48,Minutes_by_use_case!$A$2:$A$9,0)),Current_DTE!L48),"-")</f>
        <v>133409.35004928565</v>
      </c>
      <c r="M48" s="128">
        <f>IFERROR(IF(ISBLANK(Current_DTE!M48),INDEX(Minutes_by_use_case!$B$2:$B$9,MATCH($B48,Minutes_by_use_case!$A$2:$A$9,0)),Current_DTE!M48),"-")</f>
        <v>133409.35004928565</v>
      </c>
      <c r="N48" s="128">
        <f>IFERROR(IF(ISBLANK(Current_DTE!N48),INDEX(Minutes_by_use_case!$B$2:$B$9,MATCH($B48,Minutes_by_use_case!$A$2:$A$9,0)),Current_DTE!N48),"-")</f>
        <v>133409.35004928565</v>
      </c>
      <c r="O48" s="128">
        <f>IFERROR(IF(ISBLANK(Current_DTE!O48),INDEX(Minutes_by_use_case!$B$2:$B$9,MATCH($B48,Minutes_by_use_case!$A$2:$A$9,0)),Current_DTE!O48),"-")</f>
        <v>133409.35004928565</v>
      </c>
      <c r="P48" s="128">
        <f>IFERROR(IF(ISBLANK(Current_DTE!P48),INDEX(Minutes_by_use_case!$B$2:$B$9,MATCH($B48,Minutes_by_use_case!$A$2:$A$9,0)),Current_DTE!P48),"-")</f>
        <v>133409.35004928565</v>
      </c>
      <c r="Q48" s="128">
        <f>IFERROR(IF(ISBLANK(Current_DTE!Q48),INDEX(Minutes_by_use_case!$B$2:$B$9,MATCH($B48,Minutes_by_use_case!$A$2:$A$9,0)),Current_DTE!Q48),"-")</f>
        <v>133409.35004928565</v>
      </c>
      <c r="R48" s="128">
        <f>IFERROR(IF(ISBLANK(Current_DTE!R48),INDEX(Minutes_by_use_case!$B$2:$B$9,MATCH($B48,Minutes_by_use_case!$A$2:$A$9,0)),Current_DTE!R48),"-")</f>
        <v>133409.35004928565</v>
      </c>
      <c r="S48" s="128">
        <f>IFERROR(IF(ISBLANK(Current_DTE!S48),INDEX(Minutes_by_use_case!$B$2:$B$9,MATCH($B48,Minutes_by_use_case!$A$2:$A$9,0)),Current_DTE!S48),"-")</f>
        <v>133409.35004928565</v>
      </c>
      <c r="T48" s="128">
        <f>IFERROR(IF(ISBLANK(Current_DTE!T48),INDEX(Minutes_by_use_case!$B$2:$B$9,MATCH($B48,Minutes_by_use_case!$A$2:$A$9,0)),Current_DTE!T48),"-")</f>
        <v>133409.35004928565</v>
      </c>
      <c r="U48" s="128">
        <f>IFERROR(IF(ISBLANK(Current_DTE!U48),INDEX(Minutes_by_use_case!$B$2:$B$9,MATCH($B48,Minutes_by_use_case!$A$2:$A$9,0)),Current_DTE!U48),"-")</f>
        <v>133409.35004928565</v>
      </c>
      <c r="V48" s="128">
        <f>IFERROR(IF(ISBLANK(Current_DTE!V48),INDEX(Minutes_by_use_case!$B$2:$B$9,MATCH($B48,Minutes_by_use_case!$A$2:$A$9,0)),Current_DTE!V48),"-")</f>
        <v>133409.35004928565</v>
      </c>
      <c r="W48" s="128">
        <f>IFERROR(IF(ISBLANK(Current_DTE!W48),INDEX(Minutes_by_use_case!$B$2:$B$9,MATCH($B48,Minutes_by_use_case!$A$2:$A$9,0)),Current_DTE!W48),"-")</f>
        <v>133409.35004928565</v>
      </c>
    </row>
    <row r="49" spans="1:23" x14ac:dyDescent="0.3">
      <c r="A49" s="46" t="str">
        <f>lifespans_all!A49</f>
        <v>New</v>
      </c>
      <c r="B49" s="46" t="str">
        <f>lifespans_all!B49</f>
        <v>Human Space Flight</v>
      </c>
      <c r="C49" s="46" t="str">
        <f>lifespans_all!C49</f>
        <v>-</v>
      </c>
      <c r="D49" s="128">
        <f>IFERROR(IF(ISBLANK(Current_DTE!D49),INDEX(Minutes_by_use_case!$B$2:$B$9,MATCH($B49,Minutes_by_use_case!$A$2:$A$9,0)),Current_DTE!D49),"-")</f>
        <v>171572.29579277776</v>
      </c>
      <c r="E49" s="128">
        <f>IFERROR(IF(ISBLANK(Current_DTE!E49),INDEX(Minutes_by_use_case!$B$2:$B$9,MATCH($B49,Minutes_by_use_case!$A$2:$A$9,0)),Current_DTE!E49),"-")</f>
        <v>171572.29579277776</v>
      </c>
      <c r="F49" s="128">
        <f>IFERROR(IF(ISBLANK(Current_DTE!F49),INDEX(Minutes_by_use_case!$B$2:$B$9,MATCH($B49,Minutes_by_use_case!$A$2:$A$9,0)),Current_DTE!F49),"-")</f>
        <v>171572.29579277776</v>
      </c>
      <c r="G49" s="128">
        <f>IFERROR(IF(ISBLANK(Current_DTE!G49),INDEX(Minutes_by_use_case!$B$2:$B$9,MATCH($B49,Minutes_by_use_case!$A$2:$A$9,0)),Current_DTE!G49),"-")</f>
        <v>171572.29579277776</v>
      </c>
      <c r="H49" s="128">
        <f>IFERROR(IF(ISBLANK(Current_DTE!H49),INDEX(Minutes_by_use_case!$B$2:$B$9,MATCH($B49,Minutes_by_use_case!$A$2:$A$9,0)),Current_DTE!H49),"-")</f>
        <v>171572.29579277776</v>
      </c>
      <c r="I49" s="128">
        <f>IFERROR(IF(ISBLANK(Current_DTE!I49),INDEX(Minutes_by_use_case!$B$2:$B$9,MATCH($B49,Minutes_by_use_case!$A$2:$A$9,0)),Current_DTE!I49),"-")</f>
        <v>171572.29579277776</v>
      </c>
      <c r="J49" s="128">
        <f>IFERROR(IF(ISBLANK(Current_DTE!J49),INDEX(Minutes_by_use_case!$B$2:$B$9,MATCH($B49,Minutes_by_use_case!$A$2:$A$9,0)),Current_DTE!J49),"-")</f>
        <v>171572.29579277776</v>
      </c>
      <c r="K49" s="128">
        <f>IFERROR(IF(ISBLANK(Current_DTE!K49),INDEX(Minutes_by_use_case!$B$2:$B$9,MATCH($B49,Minutes_by_use_case!$A$2:$A$9,0)),Current_DTE!K49),"-")</f>
        <v>171572.29579277776</v>
      </c>
      <c r="L49" s="128">
        <f>IFERROR(IF(ISBLANK(Current_DTE!L49),INDEX(Minutes_by_use_case!$B$2:$B$9,MATCH($B49,Minutes_by_use_case!$A$2:$A$9,0)),Current_DTE!L49),"-")</f>
        <v>171572.29579277776</v>
      </c>
      <c r="M49" s="128">
        <f>IFERROR(IF(ISBLANK(Current_DTE!M49),INDEX(Minutes_by_use_case!$B$2:$B$9,MATCH($B49,Minutes_by_use_case!$A$2:$A$9,0)),Current_DTE!M49),"-")</f>
        <v>171572.29579277776</v>
      </c>
      <c r="N49" s="128">
        <f>IFERROR(IF(ISBLANK(Current_DTE!N49),INDEX(Minutes_by_use_case!$B$2:$B$9,MATCH($B49,Minutes_by_use_case!$A$2:$A$9,0)),Current_DTE!N49),"-")</f>
        <v>171572.29579277776</v>
      </c>
      <c r="O49" s="128">
        <f>IFERROR(IF(ISBLANK(Current_DTE!O49),INDEX(Minutes_by_use_case!$B$2:$B$9,MATCH($B49,Minutes_by_use_case!$A$2:$A$9,0)),Current_DTE!O49),"-")</f>
        <v>171572.29579277776</v>
      </c>
      <c r="P49" s="128">
        <f>IFERROR(IF(ISBLANK(Current_DTE!P49),INDEX(Minutes_by_use_case!$B$2:$B$9,MATCH($B49,Minutes_by_use_case!$A$2:$A$9,0)),Current_DTE!P49),"-")</f>
        <v>171572.29579277776</v>
      </c>
      <c r="Q49" s="128">
        <f>IFERROR(IF(ISBLANK(Current_DTE!Q49),INDEX(Minutes_by_use_case!$B$2:$B$9,MATCH($B49,Minutes_by_use_case!$A$2:$A$9,0)),Current_DTE!Q49),"-")</f>
        <v>171572.29579277776</v>
      </c>
      <c r="R49" s="128">
        <f>IFERROR(IF(ISBLANK(Current_DTE!R49),INDEX(Minutes_by_use_case!$B$2:$B$9,MATCH($B49,Minutes_by_use_case!$A$2:$A$9,0)),Current_DTE!R49),"-")</f>
        <v>171572.29579277776</v>
      </c>
      <c r="S49" s="128">
        <f>IFERROR(IF(ISBLANK(Current_DTE!S49),INDEX(Minutes_by_use_case!$B$2:$B$9,MATCH($B49,Minutes_by_use_case!$A$2:$A$9,0)),Current_DTE!S49),"-")</f>
        <v>171572.29579277776</v>
      </c>
      <c r="T49" s="128">
        <f>IFERROR(IF(ISBLANK(Current_DTE!T49),INDEX(Minutes_by_use_case!$B$2:$B$9,MATCH($B49,Minutes_by_use_case!$A$2:$A$9,0)),Current_DTE!T49),"-")</f>
        <v>171572.29579277776</v>
      </c>
      <c r="U49" s="128">
        <f>IFERROR(IF(ISBLANK(Current_DTE!U49),INDEX(Minutes_by_use_case!$B$2:$B$9,MATCH($B49,Minutes_by_use_case!$A$2:$A$9,0)),Current_DTE!U49),"-")</f>
        <v>171572.29579277776</v>
      </c>
      <c r="V49" s="128">
        <f>IFERROR(IF(ISBLANK(Current_DTE!V49),INDEX(Minutes_by_use_case!$B$2:$B$9,MATCH($B49,Minutes_by_use_case!$A$2:$A$9,0)),Current_DTE!V49),"-")</f>
        <v>171572.29579277776</v>
      </c>
      <c r="W49" s="128">
        <f>IFERROR(IF(ISBLANK(Current_DTE!W49),INDEX(Minutes_by_use_case!$B$2:$B$9,MATCH($B49,Minutes_by_use_case!$A$2:$A$9,0)),Current_DTE!W49),"-")</f>
        <v>171572.29579277776</v>
      </c>
    </row>
    <row r="50" spans="1:23" x14ac:dyDescent="0.3">
      <c r="A50" s="46" t="str">
        <f>lifespans_all!A50</f>
        <v>New</v>
      </c>
      <c r="B50" s="46" t="str">
        <f>lifespans_all!B50</f>
        <v>Near Earth Robotic - LEO Science</v>
      </c>
      <c r="C50" s="46" t="str">
        <f>lifespans_all!C50</f>
        <v>-</v>
      </c>
      <c r="D50" s="128">
        <f>IFERROR(IF(ISBLANK(Current_DTE!D50),INDEX(Minutes_by_use_case!$B$2:$B$9,MATCH($B50,Minutes_by_use_case!$A$2:$A$9,0)),Current_DTE!D50),"-")</f>
        <v>26456.977183333336</v>
      </c>
      <c r="E50" s="128">
        <f>IFERROR(IF(ISBLANK(Current_DTE!E50),INDEX(Minutes_by_use_case!$B$2:$B$9,MATCH($B50,Minutes_by_use_case!$A$2:$A$9,0)),Current_DTE!E50),"-")</f>
        <v>25130.862380555554</v>
      </c>
      <c r="F50" s="128">
        <f>IFERROR(IF(ISBLANK(Current_DTE!F50),INDEX(Minutes_by_use_case!$B$2:$B$9,MATCH($B50,Minutes_by_use_case!$A$2:$A$9,0)),Current_DTE!F50),"-")</f>
        <v>21768.07003333333</v>
      </c>
      <c r="G50" s="128">
        <f>IFERROR(IF(ISBLANK(Current_DTE!G50),INDEX(Minutes_by_use_case!$B$2:$B$9,MATCH($B50,Minutes_by_use_case!$A$2:$A$9,0)),Current_DTE!G50),"-")</f>
        <v>26641.100873333336</v>
      </c>
      <c r="H50" s="128">
        <f>IFERROR(IF(ISBLANK(Current_DTE!H50),INDEX(Minutes_by_use_case!$B$2:$B$9,MATCH($B50,Minutes_by_use_case!$A$2:$A$9,0)),Current_DTE!H50),"-")</f>
        <v>26641.100873333336</v>
      </c>
      <c r="I50" s="128">
        <f>IFERROR(IF(ISBLANK(Current_DTE!I50),INDEX(Minutes_by_use_case!$B$2:$B$9,MATCH($B50,Minutes_by_use_case!$A$2:$A$9,0)),Current_DTE!I50),"-")</f>
        <v>26641.100873333336</v>
      </c>
      <c r="J50" s="128">
        <f>IFERROR(IF(ISBLANK(Current_DTE!J50),INDEX(Minutes_by_use_case!$B$2:$B$9,MATCH($B50,Minutes_by_use_case!$A$2:$A$9,0)),Current_DTE!J50),"-")</f>
        <v>26641.100873333336</v>
      </c>
      <c r="K50" s="128">
        <f>IFERROR(IF(ISBLANK(Current_DTE!K50),INDEX(Minutes_by_use_case!$B$2:$B$9,MATCH($B50,Minutes_by_use_case!$A$2:$A$9,0)),Current_DTE!K50),"-")</f>
        <v>26641.100873333336</v>
      </c>
      <c r="L50" s="128">
        <f>IFERROR(IF(ISBLANK(Current_DTE!L50),INDEX(Minutes_by_use_case!$B$2:$B$9,MATCH($B50,Minutes_by_use_case!$A$2:$A$9,0)),Current_DTE!L50),"-")</f>
        <v>26641.100873333336</v>
      </c>
      <c r="M50" s="128">
        <f>IFERROR(IF(ISBLANK(Current_DTE!M50),INDEX(Minutes_by_use_case!$B$2:$B$9,MATCH($B50,Minutes_by_use_case!$A$2:$A$9,0)),Current_DTE!M50),"-")</f>
        <v>26641.100873333336</v>
      </c>
      <c r="N50" s="128">
        <f>IFERROR(IF(ISBLANK(Current_DTE!N50),INDEX(Minutes_by_use_case!$B$2:$B$9,MATCH($B50,Minutes_by_use_case!$A$2:$A$9,0)),Current_DTE!N50),"-")</f>
        <v>26641.100873333336</v>
      </c>
      <c r="O50" s="128">
        <f>IFERROR(IF(ISBLANK(Current_DTE!O50),INDEX(Minutes_by_use_case!$B$2:$B$9,MATCH($B50,Minutes_by_use_case!$A$2:$A$9,0)),Current_DTE!O50),"-")</f>
        <v>26641.100873333336</v>
      </c>
      <c r="P50" s="128">
        <f>IFERROR(IF(ISBLANK(Current_DTE!P50),INDEX(Minutes_by_use_case!$B$2:$B$9,MATCH($B50,Minutes_by_use_case!$A$2:$A$9,0)),Current_DTE!P50),"-")</f>
        <v>26641.100873333336</v>
      </c>
      <c r="Q50" s="128">
        <f>IFERROR(IF(ISBLANK(Current_DTE!Q50),INDEX(Minutes_by_use_case!$B$2:$B$9,MATCH($B50,Minutes_by_use_case!$A$2:$A$9,0)),Current_DTE!Q50),"-")</f>
        <v>26641.100873333336</v>
      </c>
      <c r="R50" s="128">
        <f>IFERROR(IF(ISBLANK(Current_DTE!R50),INDEX(Minutes_by_use_case!$B$2:$B$9,MATCH($B50,Minutes_by_use_case!$A$2:$A$9,0)),Current_DTE!R50),"-")</f>
        <v>26641.100873333336</v>
      </c>
      <c r="S50" s="128">
        <f>IFERROR(IF(ISBLANK(Current_DTE!S50),INDEX(Minutes_by_use_case!$B$2:$B$9,MATCH($B50,Minutes_by_use_case!$A$2:$A$9,0)),Current_DTE!S50),"-")</f>
        <v>26641.100873333336</v>
      </c>
      <c r="T50" s="128">
        <f>IFERROR(IF(ISBLANK(Current_DTE!T50),INDEX(Minutes_by_use_case!$B$2:$B$9,MATCH($B50,Minutes_by_use_case!$A$2:$A$9,0)),Current_DTE!T50),"-")</f>
        <v>26641.100873333336</v>
      </c>
      <c r="U50" s="128">
        <f>IFERROR(IF(ISBLANK(Current_DTE!U50),INDEX(Minutes_by_use_case!$B$2:$B$9,MATCH($B50,Minutes_by_use_case!$A$2:$A$9,0)),Current_DTE!U50),"-")</f>
        <v>26641.100873333336</v>
      </c>
      <c r="V50" s="128">
        <f>IFERROR(IF(ISBLANK(Current_DTE!V50),INDEX(Minutes_by_use_case!$B$2:$B$9,MATCH($B50,Minutes_by_use_case!$A$2:$A$9,0)),Current_DTE!V50),"-")</f>
        <v>26641.100873333336</v>
      </c>
      <c r="W50" s="128">
        <f>IFERROR(IF(ISBLANK(Current_DTE!W50),INDEX(Minutes_by_use_case!$B$2:$B$9,MATCH($B50,Minutes_by_use_case!$A$2:$A$9,0)),Current_DTE!W50),"-")</f>
        <v>26641.100873333336</v>
      </c>
    </row>
    <row r="51" spans="1:23" x14ac:dyDescent="0.3">
      <c r="A51" s="46" t="str">
        <f>lifespans_all!A51</f>
        <v>New</v>
      </c>
      <c r="B51" s="46" t="str">
        <f>lifespans_all!B51</f>
        <v>Near Earth Robotic - GEO and Near Earth</v>
      </c>
      <c r="C51" s="46" t="str">
        <f>lifespans_all!C51</f>
        <v>-</v>
      </c>
      <c r="D51" s="128">
        <f>IFERROR(IF(ISBLANK(Current_DTE!D51),INDEX(Minutes_by_use_case!$B$2:$B$9,MATCH($B51,Minutes_by_use_case!$A$2:$A$9,0)),Current_DTE!D51),"-")</f>
        <v>2140.4341038095235</v>
      </c>
      <c r="E51" s="128">
        <f>IFERROR(IF(ISBLANK(Current_DTE!E51),INDEX(Minutes_by_use_case!$B$2:$B$9,MATCH($B51,Minutes_by_use_case!$A$2:$A$9,0)),Current_DTE!E51),"-")</f>
        <v>2140.4341038095235</v>
      </c>
      <c r="F51" s="128">
        <f>IFERROR(IF(ISBLANK(Current_DTE!F51),INDEX(Minutes_by_use_case!$B$2:$B$9,MATCH($B51,Minutes_by_use_case!$A$2:$A$9,0)),Current_DTE!F51),"-")</f>
        <v>2140.4341038095235</v>
      </c>
      <c r="G51" s="128">
        <f>IFERROR(IF(ISBLANK(Current_DTE!G51),INDEX(Minutes_by_use_case!$B$2:$B$9,MATCH($B51,Minutes_by_use_case!$A$2:$A$9,0)),Current_DTE!G51),"-")</f>
        <v>2140.4341038095235</v>
      </c>
      <c r="H51" s="128">
        <f>IFERROR(IF(ISBLANK(Current_DTE!H51),INDEX(Minutes_by_use_case!$B$2:$B$9,MATCH($B51,Minutes_by_use_case!$A$2:$A$9,0)),Current_DTE!H51),"-")</f>
        <v>2140.4341038095235</v>
      </c>
      <c r="I51" s="128">
        <f>IFERROR(IF(ISBLANK(Current_DTE!I51),INDEX(Minutes_by_use_case!$B$2:$B$9,MATCH($B51,Minutes_by_use_case!$A$2:$A$9,0)),Current_DTE!I51),"-")</f>
        <v>2140.4341038095235</v>
      </c>
      <c r="J51" s="128">
        <f>IFERROR(IF(ISBLANK(Current_DTE!J51),INDEX(Minutes_by_use_case!$B$2:$B$9,MATCH($B51,Minutes_by_use_case!$A$2:$A$9,0)),Current_DTE!J51),"-")</f>
        <v>2140.4341038095235</v>
      </c>
      <c r="K51" s="128">
        <f>IFERROR(IF(ISBLANK(Current_DTE!K51),INDEX(Minutes_by_use_case!$B$2:$B$9,MATCH($B51,Minutes_by_use_case!$A$2:$A$9,0)),Current_DTE!K51),"-")</f>
        <v>2140.4341038095235</v>
      </c>
      <c r="L51" s="128">
        <f>IFERROR(IF(ISBLANK(Current_DTE!L51),INDEX(Minutes_by_use_case!$B$2:$B$9,MATCH($B51,Minutes_by_use_case!$A$2:$A$9,0)),Current_DTE!L51),"-")</f>
        <v>2140.4341038095235</v>
      </c>
      <c r="M51" s="128">
        <f>IFERROR(IF(ISBLANK(Current_DTE!M51),INDEX(Minutes_by_use_case!$B$2:$B$9,MATCH($B51,Minutes_by_use_case!$A$2:$A$9,0)),Current_DTE!M51),"-")</f>
        <v>2140.4341038095235</v>
      </c>
      <c r="N51" s="128">
        <f>IFERROR(IF(ISBLANK(Current_DTE!N51),INDEX(Minutes_by_use_case!$B$2:$B$9,MATCH($B51,Minutes_by_use_case!$A$2:$A$9,0)),Current_DTE!N51),"-")</f>
        <v>2140.4341038095235</v>
      </c>
      <c r="O51" s="128">
        <f>IFERROR(IF(ISBLANK(Current_DTE!O51),INDEX(Minutes_by_use_case!$B$2:$B$9,MATCH($B51,Minutes_by_use_case!$A$2:$A$9,0)),Current_DTE!O51),"-")</f>
        <v>2140.4341038095235</v>
      </c>
      <c r="P51" s="128">
        <f>IFERROR(IF(ISBLANK(Current_DTE!P51),INDEX(Minutes_by_use_case!$B$2:$B$9,MATCH($B51,Minutes_by_use_case!$A$2:$A$9,0)),Current_DTE!P51),"-")</f>
        <v>2140.4341038095235</v>
      </c>
      <c r="Q51" s="128">
        <f>IFERROR(IF(ISBLANK(Current_DTE!Q51),INDEX(Minutes_by_use_case!$B$2:$B$9,MATCH($B51,Minutes_by_use_case!$A$2:$A$9,0)),Current_DTE!Q51),"-")</f>
        <v>2140.4341038095235</v>
      </c>
      <c r="R51" s="128">
        <f>IFERROR(IF(ISBLANK(Current_DTE!R51),INDEX(Minutes_by_use_case!$B$2:$B$9,MATCH($B51,Minutes_by_use_case!$A$2:$A$9,0)),Current_DTE!R51),"-")</f>
        <v>2140.4341038095235</v>
      </c>
      <c r="S51" s="128">
        <f>IFERROR(IF(ISBLANK(Current_DTE!S51),INDEX(Minutes_by_use_case!$B$2:$B$9,MATCH($B51,Minutes_by_use_case!$A$2:$A$9,0)),Current_DTE!S51),"-")</f>
        <v>2140.4341038095235</v>
      </c>
      <c r="T51" s="128">
        <f>IFERROR(IF(ISBLANK(Current_DTE!T51),INDEX(Minutes_by_use_case!$B$2:$B$9,MATCH($B51,Minutes_by_use_case!$A$2:$A$9,0)),Current_DTE!T51),"-")</f>
        <v>2140.4341038095235</v>
      </c>
      <c r="U51" s="128">
        <f>IFERROR(IF(ISBLANK(Current_DTE!U51),INDEX(Minutes_by_use_case!$B$2:$B$9,MATCH($B51,Minutes_by_use_case!$A$2:$A$9,0)),Current_DTE!U51),"-")</f>
        <v>2140.4341038095235</v>
      </c>
      <c r="V51" s="128">
        <f>IFERROR(IF(ISBLANK(Current_DTE!V51),INDEX(Minutes_by_use_case!$B$2:$B$9,MATCH($B51,Minutes_by_use_case!$A$2:$A$9,0)),Current_DTE!V51),"-")</f>
        <v>2140.4341038095235</v>
      </c>
      <c r="W51" s="128">
        <f>IFERROR(IF(ISBLANK(Current_DTE!W51),INDEX(Minutes_by_use_case!$B$2:$B$9,MATCH($B51,Minutes_by_use_case!$A$2:$A$9,0)),Current_DTE!W51),"-")</f>
        <v>2140.4341038095235</v>
      </c>
    </row>
    <row r="52" spans="1:23" x14ac:dyDescent="0.3">
      <c r="A52" s="46" t="str">
        <f>lifespans_all!A52</f>
        <v>New</v>
      </c>
      <c r="B52" s="46" t="str">
        <f>lifespans_all!B52</f>
        <v>Deep Space Robotic</v>
      </c>
      <c r="C52" s="46" t="str">
        <f>lifespans_all!C52</f>
        <v>-</v>
      </c>
      <c r="D52" s="128" t="str">
        <f>IFERROR(IF(ISBLANK(Current_DTE!D52),INDEX(Minutes_by_use_case!$B$2:$B$9,MATCH($B52,Minutes_by_use_case!$A$2:$A$9,0)),Current_DTE!D52),"-")</f>
        <v>-</v>
      </c>
      <c r="E52" s="128" t="str">
        <f>IFERROR(IF(ISBLANK(Current_DTE!E52),INDEX(Minutes_by_use_case!$B$2:$B$9,MATCH($B52,Minutes_by_use_case!$A$2:$A$9,0)),Current_DTE!E52),"-")</f>
        <v>-</v>
      </c>
      <c r="F52" s="128" t="str">
        <f>IFERROR(IF(ISBLANK(Current_DTE!F52),INDEX(Minutes_by_use_case!$B$2:$B$9,MATCH($B52,Minutes_by_use_case!$A$2:$A$9,0)),Current_DTE!F52),"-")</f>
        <v>-</v>
      </c>
      <c r="G52" s="128" t="str">
        <f>IFERROR(IF(ISBLANK(Current_DTE!G52),INDEX(Minutes_by_use_case!$B$2:$B$9,MATCH($B52,Minutes_by_use_case!$A$2:$A$9,0)),Current_DTE!G52),"-")</f>
        <v>-</v>
      </c>
      <c r="H52" s="128" t="str">
        <f>IFERROR(IF(ISBLANK(Current_DTE!H52),INDEX(Minutes_by_use_case!$B$2:$B$9,MATCH($B52,Minutes_by_use_case!$A$2:$A$9,0)),Current_DTE!H52),"-")</f>
        <v>-</v>
      </c>
      <c r="I52" s="128" t="str">
        <f>IFERROR(IF(ISBLANK(Current_DTE!I52),INDEX(Minutes_by_use_case!$B$2:$B$9,MATCH($B52,Minutes_by_use_case!$A$2:$A$9,0)),Current_DTE!I52),"-")</f>
        <v>-</v>
      </c>
      <c r="J52" s="128" t="str">
        <f>IFERROR(IF(ISBLANK(Current_DTE!J52),INDEX(Minutes_by_use_case!$B$2:$B$9,MATCH($B52,Minutes_by_use_case!$A$2:$A$9,0)),Current_DTE!J52),"-")</f>
        <v>-</v>
      </c>
      <c r="K52" s="128" t="str">
        <f>IFERROR(IF(ISBLANK(Current_DTE!K52),INDEX(Minutes_by_use_case!$B$2:$B$9,MATCH($B52,Minutes_by_use_case!$A$2:$A$9,0)),Current_DTE!K52),"-")</f>
        <v>-</v>
      </c>
      <c r="L52" s="128" t="str">
        <f>IFERROR(IF(ISBLANK(Current_DTE!L52),INDEX(Minutes_by_use_case!$B$2:$B$9,MATCH($B52,Minutes_by_use_case!$A$2:$A$9,0)),Current_DTE!L52),"-")</f>
        <v>-</v>
      </c>
      <c r="M52" s="128" t="str">
        <f>IFERROR(IF(ISBLANK(Current_DTE!M52),INDEX(Minutes_by_use_case!$B$2:$B$9,MATCH($B52,Minutes_by_use_case!$A$2:$A$9,0)),Current_DTE!M52),"-")</f>
        <v>-</v>
      </c>
      <c r="N52" s="128" t="str">
        <f>IFERROR(IF(ISBLANK(Current_DTE!N52),INDEX(Minutes_by_use_case!$B$2:$B$9,MATCH($B52,Minutes_by_use_case!$A$2:$A$9,0)),Current_DTE!N52),"-")</f>
        <v>-</v>
      </c>
      <c r="O52" s="128" t="str">
        <f>IFERROR(IF(ISBLANK(Current_DTE!O52),INDEX(Minutes_by_use_case!$B$2:$B$9,MATCH($B52,Minutes_by_use_case!$A$2:$A$9,0)),Current_DTE!O52),"-")</f>
        <v>-</v>
      </c>
      <c r="P52" s="128" t="str">
        <f>IFERROR(IF(ISBLANK(Current_DTE!P52),INDEX(Minutes_by_use_case!$B$2:$B$9,MATCH($B52,Minutes_by_use_case!$A$2:$A$9,0)),Current_DTE!P52),"-")</f>
        <v>-</v>
      </c>
      <c r="Q52" s="128" t="str">
        <f>IFERROR(IF(ISBLANK(Current_DTE!Q52),INDEX(Minutes_by_use_case!$B$2:$B$9,MATCH($B52,Minutes_by_use_case!$A$2:$A$9,0)),Current_DTE!Q52),"-")</f>
        <v>-</v>
      </c>
      <c r="R52" s="128" t="str">
        <f>IFERROR(IF(ISBLANK(Current_DTE!R52),INDEX(Minutes_by_use_case!$B$2:$B$9,MATCH($B52,Minutes_by_use_case!$A$2:$A$9,0)),Current_DTE!R52),"-")</f>
        <v>-</v>
      </c>
      <c r="S52" s="128" t="str">
        <f>IFERROR(IF(ISBLANK(Current_DTE!S52),INDEX(Minutes_by_use_case!$B$2:$B$9,MATCH($B52,Minutes_by_use_case!$A$2:$A$9,0)),Current_DTE!S52),"-")</f>
        <v>-</v>
      </c>
      <c r="T52" s="128" t="str">
        <f>IFERROR(IF(ISBLANK(Current_DTE!T52),INDEX(Minutes_by_use_case!$B$2:$B$9,MATCH($B52,Minutes_by_use_case!$A$2:$A$9,0)),Current_DTE!T52),"-")</f>
        <v>-</v>
      </c>
      <c r="U52" s="128" t="str">
        <f>IFERROR(IF(ISBLANK(Current_DTE!U52),INDEX(Minutes_by_use_case!$B$2:$B$9,MATCH($B52,Minutes_by_use_case!$A$2:$A$9,0)),Current_DTE!U52),"-")</f>
        <v>-</v>
      </c>
      <c r="V52" s="128" t="str">
        <f>IFERROR(IF(ISBLANK(Current_DTE!V52),INDEX(Minutes_by_use_case!$B$2:$B$9,MATCH($B52,Minutes_by_use_case!$A$2:$A$9,0)),Current_DTE!V52),"-")</f>
        <v>-</v>
      </c>
      <c r="W52" s="128" t="str">
        <f>IFERROR(IF(ISBLANK(Current_DTE!W52),INDEX(Minutes_by_use_case!$B$2:$B$9,MATCH($B52,Minutes_by_use_case!$A$2:$A$9,0)),Current_DTE!W52),"-")</f>
        <v>-</v>
      </c>
    </row>
    <row r="53" spans="1:23" x14ac:dyDescent="0.3">
      <c r="A53" s="46" t="str">
        <f>lifespans_all!A53</f>
        <v>New</v>
      </c>
      <c r="B53" s="46" t="str">
        <f>lifespans_all!B53</f>
        <v>Near Earth Robotic - Low Latency &amp; Complex Needs</v>
      </c>
      <c r="C53" s="46" t="str">
        <f>lifespans_all!C53</f>
        <v>-</v>
      </c>
      <c r="D53" s="128">
        <f>IFERROR(IF(ISBLANK(Current_DTE!D53),INDEX(Minutes_by_use_case!$B$2:$B$9,MATCH($B53,Minutes_by_use_case!$A$2:$A$9,0)),Current_DTE!D53),"-")</f>
        <v>0</v>
      </c>
      <c r="E53" s="128">
        <f>IFERROR(IF(ISBLANK(Current_DTE!E53),INDEX(Minutes_by_use_case!$B$2:$B$9,MATCH($B53,Minutes_by_use_case!$A$2:$A$9,0)),Current_DTE!E53),"-")</f>
        <v>0</v>
      </c>
      <c r="F53" s="128">
        <f>IFERROR(IF(ISBLANK(Current_DTE!F53),INDEX(Minutes_by_use_case!$B$2:$B$9,MATCH($B53,Minutes_by_use_case!$A$2:$A$9,0)),Current_DTE!F53),"-")</f>
        <v>0</v>
      </c>
      <c r="G53" s="128">
        <f>IFERROR(IF(ISBLANK(Current_DTE!G53),INDEX(Minutes_by_use_case!$B$2:$B$9,MATCH($B53,Minutes_by_use_case!$A$2:$A$9,0)),Current_DTE!G53),"-")</f>
        <v>0</v>
      </c>
      <c r="H53" s="128">
        <f>IFERROR(IF(ISBLANK(Current_DTE!H53),INDEX(Minutes_by_use_case!$B$2:$B$9,MATCH($B53,Minutes_by_use_case!$A$2:$A$9,0)),Current_DTE!H53),"-")</f>
        <v>0</v>
      </c>
      <c r="I53" s="128">
        <f>IFERROR(IF(ISBLANK(Current_DTE!I53),INDEX(Minutes_by_use_case!$B$2:$B$9,MATCH($B53,Minutes_by_use_case!$A$2:$A$9,0)),Current_DTE!I53),"-")</f>
        <v>0</v>
      </c>
      <c r="J53" s="128">
        <f>IFERROR(IF(ISBLANK(Current_DTE!J53),INDEX(Minutes_by_use_case!$B$2:$B$9,MATCH($B53,Minutes_by_use_case!$A$2:$A$9,0)),Current_DTE!J53),"-")</f>
        <v>0</v>
      </c>
      <c r="K53" s="128">
        <f>IFERROR(IF(ISBLANK(Current_DTE!K53),INDEX(Minutes_by_use_case!$B$2:$B$9,MATCH($B53,Minutes_by_use_case!$A$2:$A$9,0)),Current_DTE!K53),"-")</f>
        <v>0</v>
      </c>
      <c r="L53" s="128">
        <f>IFERROR(IF(ISBLANK(Current_DTE!L53),INDEX(Minutes_by_use_case!$B$2:$B$9,MATCH($B53,Minutes_by_use_case!$A$2:$A$9,0)),Current_DTE!L53),"-")</f>
        <v>0</v>
      </c>
      <c r="M53" s="128">
        <f>IFERROR(IF(ISBLANK(Current_DTE!M53),INDEX(Minutes_by_use_case!$B$2:$B$9,MATCH($B53,Minutes_by_use_case!$A$2:$A$9,0)),Current_DTE!M53),"-")</f>
        <v>0</v>
      </c>
      <c r="N53" s="128">
        <f>IFERROR(IF(ISBLANK(Current_DTE!N53),INDEX(Minutes_by_use_case!$B$2:$B$9,MATCH($B53,Minutes_by_use_case!$A$2:$A$9,0)),Current_DTE!N53),"-")</f>
        <v>0</v>
      </c>
      <c r="O53" s="128">
        <f>IFERROR(IF(ISBLANK(Current_DTE!O53),INDEX(Minutes_by_use_case!$B$2:$B$9,MATCH($B53,Minutes_by_use_case!$A$2:$A$9,0)),Current_DTE!O53),"-")</f>
        <v>0</v>
      </c>
      <c r="P53" s="128">
        <f>IFERROR(IF(ISBLANK(Current_DTE!P53),INDEX(Minutes_by_use_case!$B$2:$B$9,MATCH($B53,Minutes_by_use_case!$A$2:$A$9,0)),Current_DTE!P53),"-")</f>
        <v>0</v>
      </c>
      <c r="Q53" s="128">
        <f>IFERROR(IF(ISBLANK(Current_DTE!Q53),INDEX(Minutes_by_use_case!$B$2:$B$9,MATCH($B53,Minutes_by_use_case!$A$2:$A$9,0)),Current_DTE!Q53),"-")</f>
        <v>0</v>
      </c>
      <c r="R53" s="128">
        <f>IFERROR(IF(ISBLANK(Current_DTE!R53),INDEX(Minutes_by_use_case!$B$2:$B$9,MATCH($B53,Minutes_by_use_case!$A$2:$A$9,0)),Current_DTE!R53),"-")</f>
        <v>0</v>
      </c>
      <c r="S53" s="128">
        <f>IFERROR(IF(ISBLANK(Current_DTE!S53),INDEX(Minutes_by_use_case!$B$2:$B$9,MATCH($B53,Minutes_by_use_case!$A$2:$A$9,0)),Current_DTE!S53),"-")</f>
        <v>0</v>
      </c>
      <c r="T53" s="128">
        <f>IFERROR(IF(ISBLANK(Current_DTE!T53),INDEX(Minutes_by_use_case!$B$2:$B$9,MATCH($B53,Minutes_by_use_case!$A$2:$A$9,0)),Current_DTE!T53),"-")</f>
        <v>0</v>
      </c>
      <c r="U53" s="128">
        <f>IFERROR(IF(ISBLANK(Current_DTE!U53),INDEX(Minutes_by_use_case!$B$2:$B$9,MATCH($B53,Minutes_by_use_case!$A$2:$A$9,0)),Current_DTE!U53),"-")</f>
        <v>0</v>
      </c>
      <c r="V53" s="128">
        <f>IFERROR(IF(ISBLANK(Current_DTE!V53),INDEX(Minutes_by_use_case!$B$2:$B$9,MATCH($B53,Minutes_by_use_case!$A$2:$A$9,0)),Current_DTE!V53),"-")</f>
        <v>0</v>
      </c>
      <c r="W53" s="128">
        <f>IFERROR(IF(ISBLANK(Current_DTE!W53),INDEX(Minutes_by_use_case!$B$2:$B$9,MATCH($B53,Minutes_by_use_case!$A$2:$A$9,0)),Current_DTE!W53),"-")</f>
        <v>0</v>
      </c>
    </row>
    <row r="54" spans="1:23" x14ac:dyDescent="0.3">
      <c r="A54" s="46" t="str">
        <f>lifespans_all!A54</f>
        <v>New</v>
      </c>
      <c r="B54" s="46" t="str">
        <f>lifespans_all!B54</f>
        <v>Mission Operations</v>
      </c>
      <c r="C54" s="46" t="str">
        <f>lifespans_all!C54</f>
        <v>-</v>
      </c>
      <c r="D54" s="128" t="str">
        <f>IFERROR(IF(ISBLANK(Current_DTE!#REF!),INDEX(Minutes_by_use_case!$B$2:$B$9,MATCH($B54,Minutes_by_use_case!$A$2:$A$9,0)),Current_DTE!#REF!),"-")</f>
        <v>-</v>
      </c>
      <c r="E54" s="128" t="str">
        <f>IFERROR(IF(ISBLANK(Current_DTE!E54),INDEX(Minutes_by_use_case!$B$2:$B$9,MATCH($B54,Minutes_by_use_case!$A$2:$A$9,0)),Current_DTE!E54),"-")</f>
        <v>-</v>
      </c>
      <c r="F54" s="128" t="str">
        <f>IFERROR(IF(ISBLANK(Current_DTE!F54),INDEX(Minutes_by_use_case!$B$2:$B$9,MATCH($B54,Minutes_by_use_case!$A$2:$A$9,0)),Current_DTE!F54),"-")</f>
        <v>-</v>
      </c>
      <c r="G54" s="128" t="str">
        <f>IFERROR(IF(ISBLANK(Current_DTE!G54),INDEX(Minutes_by_use_case!$B$2:$B$9,MATCH($B54,Minutes_by_use_case!$A$2:$A$9,0)),Current_DTE!G54),"-")</f>
        <v>-</v>
      </c>
      <c r="H54" s="128" t="str">
        <f>IFERROR(IF(ISBLANK(Current_DTE!H54),INDEX(Minutes_by_use_case!$B$2:$B$9,MATCH($B54,Minutes_by_use_case!$A$2:$A$9,0)),Current_DTE!H54),"-")</f>
        <v>-</v>
      </c>
      <c r="I54" s="128" t="str">
        <f>IFERROR(IF(ISBLANK(Current_DTE!I54),INDEX(Minutes_by_use_case!$B$2:$B$9,MATCH($B54,Minutes_by_use_case!$A$2:$A$9,0)),Current_DTE!I54),"-")</f>
        <v>-</v>
      </c>
      <c r="J54" s="128" t="str">
        <f>IFERROR(IF(ISBLANK(Current_DTE!J54),INDEX(Minutes_by_use_case!$B$2:$B$9,MATCH($B54,Minutes_by_use_case!$A$2:$A$9,0)),Current_DTE!J54),"-")</f>
        <v>-</v>
      </c>
      <c r="K54" s="128" t="str">
        <f>IFERROR(IF(ISBLANK(Current_DTE!K54),INDEX(Minutes_by_use_case!$B$2:$B$9,MATCH($B54,Minutes_by_use_case!$A$2:$A$9,0)),Current_DTE!K54),"-")</f>
        <v>-</v>
      </c>
      <c r="L54" s="128" t="str">
        <f>IFERROR(IF(ISBLANK(Current_DTE!L54),INDEX(Minutes_by_use_case!$B$2:$B$9,MATCH($B54,Minutes_by_use_case!$A$2:$A$9,0)),Current_DTE!L54),"-")</f>
        <v>-</v>
      </c>
      <c r="M54" s="128" t="str">
        <f>IFERROR(IF(ISBLANK(Current_DTE!M54),INDEX(Minutes_by_use_case!$B$2:$B$9,MATCH($B54,Minutes_by_use_case!$A$2:$A$9,0)),Current_DTE!M54),"-")</f>
        <v>-</v>
      </c>
      <c r="N54" s="128" t="str">
        <f>IFERROR(IF(ISBLANK(Current_DTE!N54),INDEX(Minutes_by_use_case!$B$2:$B$9,MATCH($B54,Minutes_by_use_case!$A$2:$A$9,0)),Current_DTE!N54),"-")</f>
        <v>-</v>
      </c>
      <c r="O54" s="128" t="str">
        <f>IFERROR(IF(ISBLANK(Current_DTE!O54),INDEX(Minutes_by_use_case!$B$2:$B$9,MATCH($B54,Minutes_by_use_case!$A$2:$A$9,0)),Current_DTE!O54),"-")</f>
        <v>-</v>
      </c>
      <c r="P54" s="128" t="str">
        <f>IFERROR(IF(ISBLANK(Current_DTE!P54),INDEX(Minutes_by_use_case!$B$2:$B$9,MATCH($B54,Minutes_by_use_case!$A$2:$A$9,0)),Current_DTE!P54),"-")</f>
        <v>-</v>
      </c>
      <c r="Q54" s="128" t="str">
        <f>IFERROR(IF(ISBLANK(Current_DTE!Q54),INDEX(Minutes_by_use_case!$B$2:$B$9,MATCH($B54,Minutes_by_use_case!$A$2:$A$9,0)),Current_DTE!Q54),"-")</f>
        <v>-</v>
      </c>
      <c r="R54" s="128" t="str">
        <f>IFERROR(IF(ISBLANK(Current_DTE!R54),INDEX(Minutes_by_use_case!$B$2:$B$9,MATCH($B54,Minutes_by_use_case!$A$2:$A$9,0)),Current_DTE!R54),"-")</f>
        <v>-</v>
      </c>
      <c r="S54" s="128" t="str">
        <f>IFERROR(IF(ISBLANK(Current_DTE!S54),INDEX(Minutes_by_use_case!$B$2:$B$9,MATCH($B54,Minutes_by_use_case!$A$2:$A$9,0)),Current_DTE!S54),"-")</f>
        <v>-</v>
      </c>
      <c r="T54" s="128" t="str">
        <f>IFERROR(IF(ISBLANK(Current_DTE!T54),INDEX(Minutes_by_use_case!$B$2:$B$9,MATCH($B54,Minutes_by_use_case!$A$2:$A$9,0)),Current_DTE!T54),"-")</f>
        <v>-</v>
      </c>
      <c r="U54" s="128" t="str">
        <f>IFERROR(IF(ISBLANK(Current_DTE!U54),INDEX(Minutes_by_use_case!$B$2:$B$9,MATCH($B54,Minutes_by_use_case!$A$2:$A$9,0)),Current_DTE!U54),"-")</f>
        <v>-</v>
      </c>
      <c r="V54" s="128" t="str">
        <f>IFERROR(IF(ISBLANK(Current_DTE!V54),INDEX(Minutes_by_use_case!$B$2:$B$9,MATCH($B54,Minutes_by_use_case!$A$2:$A$9,0)),Current_DTE!V54),"-")</f>
        <v>-</v>
      </c>
      <c r="W54" s="128" t="str">
        <f>IFERROR(IF(ISBLANK(Current_DTE!W54),INDEX(Minutes_by_use_case!$B$2:$B$9,MATCH($B54,Minutes_by_use_case!$A$2:$A$9,0)),Current_DTE!W54),"-")</f>
        <v>-</v>
      </c>
    </row>
    <row r="55" spans="1:23" x14ac:dyDescent="0.3">
      <c r="A55" s="46" t="str">
        <f>lifespans_all!A55</f>
        <v>New</v>
      </c>
      <c r="B55" s="46" t="str">
        <f>lifespans_all!B55</f>
        <v>Launch Events</v>
      </c>
      <c r="C55" s="46" t="str">
        <f>lifespans_all!C55</f>
        <v>-</v>
      </c>
      <c r="D55" s="128">
        <f>IFERROR(IF(ISBLANK(Current_DTE!D55),INDEX(Minutes_by_use_case!$B$2:$B$9,MATCH($B55,Minutes_by_use_case!$A$2:$A$9,0)),Current_DTE!D55),"-")</f>
        <v>721.11352444444435</v>
      </c>
      <c r="E55" s="128">
        <f>IFERROR(IF(ISBLANK(Current_DTE!E55),INDEX(Minutes_by_use_case!$B$2:$B$9,MATCH($B55,Minutes_by_use_case!$A$2:$A$9,0)),Current_DTE!E55),"-")</f>
        <v>721.11352444444435</v>
      </c>
      <c r="F55" s="128">
        <f>IFERROR(IF(ISBLANK(Current_DTE!F55),INDEX(Minutes_by_use_case!$B$2:$B$9,MATCH($B55,Minutes_by_use_case!$A$2:$A$9,0)),Current_DTE!F55),"-")</f>
        <v>721.11352444444435</v>
      </c>
      <c r="G55" s="128">
        <f>IFERROR(IF(ISBLANK(Current_DTE!G55),INDEX(Minutes_by_use_case!$B$2:$B$9,MATCH($B55,Minutes_by_use_case!$A$2:$A$9,0)),Current_DTE!G55),"-")</f>
        <v>721.11352444444435</v>
      </c>
      <c r="H55" s="128">
        <f>IFERROR(IF(ISBLANK(Current_DTE!H55),INDEX(Minutes_by_use_case!$B$2:$B$9,MATCH($B55,Minutes_by_use_case!$A$2:$A$9,0)),Current_DTE!H55),"-")</f>
        <v>721.11352444444435</v>
      </c>
      <c r="I55" s="128">
        <f>IFERROR(IF(ISBLANK(Current_DTE!I55),INDEX(Minutes_by_use_case!$B$2:$B$9,MATCH($B55,Minutes_by_use_case!$A$2:$A$9,0)),Current_DTE!I55),"-")</f>
        <v>721.11352444444435</v>
      </c>
      <c r="J55" s="128">
        <f>IFERROR(IF(ISBLANK(Current_DTE!J55),INDEX(Minutes_by_use_case!$B$2:$B$9,MATCH($B55,Minutes_by_use_case!$A$2:$A$9,0)),Current_DTE!J55),"-")</f>
        <v>721.11352444444435</v>
      </c>
      <c r="K55" s="128">
        <f>IFERROR(IF(ISBLANK(Current_DTE!K55),INDEX(Minutes_by_use_case!$B$2:$B$9,MATCH($B55,Minutes_by_use_case!$A$2:$A$9,0)),Current_DTE!K55),"-")</f>
        <v>721.11352444444435</v>
      </c>
      <c r="L55" s="128">
        <f>IFERROR(IF(ISBLANK(Current_DTE!L55),INDEX(Minutes_by_use_case!$B$2:$B$9,MATCH($B55,Minutes_by_use_case!$A$2:$A$9,0)),Current_DTE!L55),"-")</f>
        <v>721.11352444444435</v>
      </c>
      <c r="M55" s="128">
        <f>IFERROR(IF(ISBLANK(Current_DTE!M55),INDEX(Minutes_by_use_case!$B$2:$B$9,MATCH($B55,Minutes_by_use_case!$A$2:$A$9,0)),Current_DTE!M55),"-")</f>
        <v>721.11352444444435</v>
      </c>
      <c r="N55" s="128">
        <f>IFERROR(IF(ISBLANK(Current_DTE!N55),INDEX(Minutes_by_use_case!$B$2:$B$9,MATCH($B55,Minutes_by_use_case!$A$2:$A$9,0)),Current_DTE!N55),"-")</f>
        <v>721.11352444444435</v>
      </c>
      <c r="O55" s="128">
        <f>IFERROR(IF(ISBLANK(Current_DTE!O55),INDEX(Minutes_by_use_case!$B$2:$B$9,MATCH($B55,Minutes_by_use_case!$A$2:$A$9,0)),Current_DTE!O55),"-")</f>
        <v>721.11352444444435</v>
      </c>
      <c r="P55" s="128">
        <f>IFERROR(IF(ISBLANK(Current_DTE!P55),INDEX(Minutes_by_use_case!$B$2:$B$9,MATCH($B55,Minutes_by_use_case!$A$2:$A$9,0)),Current_DTE!P55),"-")</f>
        <v>721.11352444444435</v>
      </c>
      <c r="Q55" s="128">
        <f>IFERROR(IF(ISBLANK(Current_DTE!Q55),INDEX(Minutes_by_use_case!$B$2:$B$9,MATCH($B55,Minutes_by_use_case!$A$2:$A$9,0)),Current_DTE!Q55),"-")</f>
        <v>721.11352444444435</v>
      </c>
      <c r="R55" s="128">
        <f>IFERROR(IF(ISBLANK(Current_DTE!R55),INDEX(Minutes_by_use_case!$B$2:$B$9,MATCH($B55,Minutes_by_use_case!$A$2:$A$9,0)),Current_DTE!R55),"-")</f>
        <v>721.11352444444435</v>
      </c>
      <c r="S55" s="128">
        <f>IFERROR(IF(ISBLANK(Current_DTE!S55),INDEX(Minutes_by_use_case!$B$2:$B$9,MATCH($B55,Minutes_by_use_case!$A$2:$A$9,0)),Current_DTE!S55),"-")</f>
        <v>721.11352444444435</v>
      </c>
      <c r="T55" s="128">
        <f>IFERROR(IF(ISBLANK(Current_DTE!T55),INDEX(Minutes_by_use_case!$B$2:$B$9,MATCH($B55,Minutes_by_use_case!$A$2:$A$9,0)),Current_DTE!T55),"-")</f>
        <v>721.11352444444435</v>
      </c>
      <c r="U55" s="128">
        <f>IFERROR(IF(ISBLANK(Current_DTE!U55),INDEX(Minutes_by_use_case!$B$2:$B$9,MATCH($B55,Minutes_by_use_case!$A$2:$A$9,0)),Current_DTE!U55),"-")</f>
        <v>721.11352444444435</v>
      </c>
      <c r="V55" s="128">
        <f>IFERROR(IF(ISBLANK(Current_DTE!V55),INDEX(Minutes_by_use_case!$B$2:$B$9,MATCH($B55,Minutes_by_use_case!$A$2:$A$9,0)),Current_DTE!V55),"-")</f>
        <v>721.11352444444435</v>
      </c>
      <c r="W55" s="128">
        <f>IFERROR(IF(ISBLANK(Current_DTE!W55),INDEX(Minutes_by_use_case!$B$2:$B$9,MATCH($B55,Minutes_by_use_case!$A$2:$A$9,0)),Current_DTE!W55),"-")</f>
        <v>721.11352444444435</v>
      </c>
    </row>
    <row r="56" spans="1:23" x14ac:dyDescent="0.3">
      <c r="A56" s="46" t="str">
        <f>lifespans_all!A56</f>
        <v>New</v>
      </c>
      <c r="B56" s="46" t="str">
        <f>lifespans_all!B56</f>
        <v>Terrestrial &amp; Aerial</v>
      </c>
      <c r="C56" s="46" t="str">
        <f>lifespans_all!C56</f>
        <v>-</v>
      </c>
      <c r="D56" s="128">
        <f>IFERROR(IF(ISBLANK(Current_DTE!D56),INDEX(Minutes_by_use_case!$B$2:$B$9,MATCH($B56,Minutes_by_use_case!$A$2:$A$9,0)),Current_DTE!D56),"-")</f>
        <v>89453.837836666688</v>
      </c>
      <c r="E56" s="128">
        <f>IFERROR(IF(ISBLANK(Current_DTE!E56),INDEX(Minutes_by_use_case!$B$2:$B$9,MATCH($B56,Minutes_by_use_case!$A$2:$A$9,0)),Current_DTE!E56),"-")</f>
        <v>89453.837836666688</v>
      </c>
      <c r="F56" s="128">
        <f>IFERROR(IF(ISBLANK(Current_DTE!F56),INDEX(Minutes_by_use_case!$B$2:$B$9,MATCH($B56,Minutes_by_use_case!$A$2:$A$9,0)),Current_DTE!F56),"-")</f>
        <v>89453.837836666688</v>
      </c>
      <c r="G56" s="128">
        <f>IFERROR(IF(ISBLANK(Current_DTE!G56),INDEX(Minutes_by_use_case!$B$2:$B$9,MATCH($B56,Minutes_by_use_case!$A$2:$A$9,0)),Current_DTE!G56),"-")</f>
        <v>89453.837836666688</v>
      </c>
      <c r="H56" s="128">
        <f>IFERROR(IF(ISBLANK(Current_DTE!H56),INDEX(Minutes_by_use_case!$B$2:$B$9,MATCH($B56,Minutes_by_use_case!$A$2:$A$9,0)),Current_DTE!H56),"-")</f>
        <v>89453.837836666688</v>
      </c>
      <c r="I56" s="128">
        <f>IFERROR(IF(ISBLANK(Current_DTE!I56),INDEX(Minutes_by_use_case!$B$2:$B$9,MATCH($B56,Minutes_by_use_case!$A$2:$A$9,0)),Current_DTE!I56),"-")</f>
        <v>89453.837836666688</v>
      </c>
      <c r="J56" s="128">
        <f>IFERROR(IF(ISBLANK(Current_DTE!J56),INDEX(Minutes_by_use_case!$B$2:$B$9,MATCH($B56,Minutes_by_use_case!$A$2:$A$9,0)),Current_DTE!J56),"-")</f>
        <v>89453.837836666688</v>
      </c>
      <c r="K56" s="128">
        <f>IFERROR(IF(ISBLANK(Current_DTE!K56),INDEX(Minutes_by_use_case!$B$2:$B$9,MATCH($B56,Minutes_by_use_case!$A$2:$A$9,0)),Current_DTE!K56),"-")</f>
        <v>89453.837836666688</v>
      </c>
      <c r="L56" s="128">
        <f>IFERROR(IF(ISBLANK(Current_DTE!L56),INDEX(Minutes_by_use_case!$B$2:$B$9,MATCH($B56,Minutes_by_use_case!$A$2:$A$9,0)),Current_DTE!L56),"-")</f>
        <v>89453.837836666688</v>
      </c>
      <c r="M56" s="128">
        <f>IFERROR(IF(ISBLANK(Current_DTE!M56),INDEX(Minutes_by_use_case!$B$2:$B$9,MATCH($B56,Minutes_by_use_case!$A$2:$A$9,0)),Current_DTE!M56),"-")</f>
        <v>89453.837836666688</v>
      </c>
      <c r="N56" s="128">
        <f>IFERROR(IF(ISBLANK(Current_DTE!N56),INDEX(Minutes_by_use_case!$B$2:$B$9,MATCH($B56,Minutes_by_use_case!$A$2:$A$9,0)),Current_DTE!N56),"-")</f>
        <v>89453.837836666688</v>
      </c>
      <c r="O56" s="128">
        <f>IFERROR(IF(ISBLANK(Current_DTE!O56),INDEX(Minutes_by_use_case!$B$2:$B$9,MATCH($B56,Minutes_by_use_case!$A$2:$A$9,0)),Current_DTE!O56),"-")</f>
        <v>89453.837836666688</v>
      </c>
      <c r="P56" s="128">
        <f>IFERROR(IF(ISBLANK(Current_DTE!P56),INDEX(Minutes_by_use_case!$B$2:$B$9,MATCH($B56,Minutes_by_use_case!$A$2:$A$9,0)),Current_DTE!P56),"-")</f>
        <v>89453.837836666688</v>
      </c>
      <c r="Q56" s="128">
        <f>IFERROR(IF(ISBLANK(Current_DTE!Q56),INDEX(Minutes_by_use_case!$B$2:$B$9,MATCH($B56,Minutes_by_use_case!$A$2:$A$9,0)),Current_DTE!Q56),"-")</f>
        <v>89453.837836666688</v>
      </c>
      <c r="R56" s="128">
        <f>IFERROR(IF(ISBLANK(Current_DTE!R56),INDEX(Minutes_by_use_case!$B$2:$B$9,MATCH($B56,Minutes_by_use_case!$A$2:$A$9,0)),Current_DTE!R56),"-")</f>
        <v>89453.837836666688</v>
      </c>
      <c r="S56" s="128">
        <f>IFERROR(IF(ISBLANK(Current_DTE!S56),INDEX(Minutes_by_use_case!$B$2:$B$9,MATCH($B56,Minutes_by_use_case!$A$2:$A$9,0)),Current_DTE!S56),"-")</f>
        <v>89453.837836666688</v>
      </c>
      <c r="T56" s="128">
        <f>IFERROR(IF(ISBLANK(Current_DTE!T56),INDEX(Minutes_by_use_case!$B$2:$B$9,MATCH($B56,Minutes_by_use_case!$A$2:$A$9,0)),Current_DTE!T56),"-")</f>
        <v>89453.837836666688</v>
      </c>
      <c r="U56" s="128">
        <f>IFERROR(IF(ISBLANK(Current_DTE!U56),INDEX(Minutes_by_use_case!$B$2:$B$9,MATCH($B56,Minutes_by_use_case!$A$2:$A$9,0)),Current_DTE!U56),"-")</f>
        <v>89453.837836666688</v>
      </c>
      <c r="V56" s="128">
        <f>IFERROR(IF(ISBLANK(Current_DTE!V56),INDEX(Minutes_by_use_case!$B$2:$B$9,MATCH($B56,Minutes_by_use_case!$A$2:$A$9,0)),Current_DTE!V56),"-")</f>
        <v>89453.837836666688</v>
      </c>
      <c r="W56" s="128">
        <f>IFERROR(IF(ISBLANK(Current_DTE!W56),INDEX(Minutes_by_use_case!$B$2:$B$9,MATCH($B56,Minutes_by_use_case!$A$2:$A$9,0)),Current_DTE!W56),"-")</f>
        <v>89453.837836666688</v>
      </c>
    </row>
    <row r="57" spans="1:23" x14ac:dyDescent="0.3">
      <c r="D57" s="33"/>
      <c r="E57" s="33"/>
      <c r="F57" s="33"/>
      <c r="G57" s="33"/>
      <c r="H57" s="33"/>
      <c r="I57" s="33"/>
      <c r="J57" s="33"/>
      <c r="K57" s="33"/>
      <c r="L57" s="33"/>
      <c r="M57" s="33"/>
      <c r="N57" s="33"/>
      <c r="O57" s="33"/>
      <c r="P57" s="33"/>
      <c r="Q57" s="33"/>
      <c r="R57" s="33"/>
      <c r="S57" s="33"/>
      <c r="T57" s="33"/>
      <c r="U57" s="33"/>
      <c r="V57" s="33"/>
      <c r="W57" s="33"/>
    </row>
    <row r="58" spans="1:23" x14ac:dyDescent="0.3">
      <c r="A58" s="118" t="s">
        <v>159</v>
      </c>
      <c r="D58" s="33"/>
      <c r="E58" s="33"/>
      <c r="F58" s="33"/>
      <c r="G58" s="33"/>
      <c r="H58" s="33"/>
      <c r="I58" s="33"/>
      <c r="J58" s="33"/>
      <c r="K58" s="33"/>
      <c r="L58" s="33"/>
      <c r="M58" s="33"/>
      <c r="N58" s="33"/>
      <c r="O58" s="33"/>
      <c r="P58" s="33"/>
      <c r="Q58" s="33"/>
      <c r="R58" s="33"/>
      <c r="S58" s="33"/>
      <c r="T58" s="33"/>
      <c r="U58" s="33"/>
      <c r="V58" s="33"/>
      <c r="W58" s="33"/>
    </row>
    <row r="59" spans="1:23" x14ac:dyDescent="0.3">
      <c r="D59" s="33"/>
      <c r="E59" s="33"/>
      <c r="F59" s="33"/>
      <c r="G59" s="33"/>
      <c r="H59" s="33"/>
      <c r="I59" s="33"/>
      <c r="J59" s="33"/>
      <c r="K59" s="33"/>
      <c r="L59" s="33"/>
      <c r="M59" s="33"/>
      <c r="N59" s="33"/>
      <c r="O59" s="33"/>
      <c r="P59" s="33"/>
      <c r="Q59" s="33"/>
      <c r="R59" s="33"/>
      <c r="S59" s="33"/>
      <c r="T59" s="33"/>
      <c r="U59" s="33"/>
      <c r="V59" s="33"/>
      <c r="W59" s="33"/>
    </row>
    <row r="60" spans="1:23" x14ac:dyDescent="0.3">
      <c r="D60" s="33"/>
      <c r="E60" s="33"/>
      <c r="F60" s="33"/>
      <c r="G60" s="33"/>
      <c r="H60" s="33"/>
      <c r="I60" s="33"/>
      <c r="J60" s="33"/>
      <c r="K60" s="33"/>
      <c r="L60" s="33"/>
      <c r="M60" s="33"/>
      <c r="N60" s="33"/>
      <c r="O60" s="33"/>
      <c r="P60" s="33"/>
      <c r="Q60" s="33"/>
      <c r="R60" s="33"/>
      <c r="S60" s="33"/>
      <c r="T60" s="33"/>
      <c r="U60" s="33"/>
      <c r="V60" s="33"/>
      <c r="W60" s="33"/>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603A-5154-43C7-B277-1B55F054D077}">
  <sheetPr codeName="Sheet10">
    <tabColor rgb="FFFFFF00"/>
  </sheetPr>
  <dimension ref="A1:V240"/>
  <sheetViews>
    <sheetView zoomScaleNormal="100" workbookViewId="0">
      <selection activeCell="E202" sqref="E202"/>
    </sheetView>
  </sheetViews>
  <sheetFormatPr defaultRowHeight="13.8" x14ac:dyDescent="0.25"/>
  <cols>
    <col min="1" max="1" width="17.109375" style="3" customWidth="1"/>
    <col min="2" max="2" width="57.6640625" style="3" customWidth="1"/>
    <col min="3" max="7" width="12.21875" style="104" bestFit="1" customWidth="1"/>
    <col min="8" max="22" width="9.44140625" style="104" customWidth="1"/>
    <col min="23" max="16384" width="8.88671875" style="3"/>
  </cols>
  <sheetData>
    <row r="1" spans="1:22" s="12" customFormat="1" x14ac:dyDescent="0.25">
      <c r="A1" s="44" t="s">
        <v>32</v>
      </c>
      <c r="B1" s="44"/>
      <c r="C1" s="44">
        <v>2021</v>
      </c>
      <c r="D1" s="45">
        <v>2022</v>
      </c>
      <c r="E1" s="44">
        <v>2023</v>
      </c>
      <c r="F1" s="45">
        <v>2024</v>
      </c>
      <c r="G1" s="44">
        <v>2025</v>
      </c>
      <c r="H1" s="45">
        <v>2026</v>
      </c>
      <c r="I1" s="44">
        <v>2027</v>
      </c>
      <c r="J1" s="45">
        <v>2028</v>
      </c>
      <c r="K1" s="44">
        <v>2029</v>
      </c>
      <c r="L1" s="45">
        <v>2030</v>
      </c>
      <c r="M1" s="44">
        <v>2031</v>
      </c>
      <c r="N1" s="45">
        <v>2032</v>
      </c>
      <c r="O1" s="44">
        <v>2033</v>
      </c>
      <c r="P1" s="45">
        <v>2034</v>
      </c>
      <c r="Q1" s="44">
        <v>2035</v>
      </c>
      <c r="R1" s="45">
        <v>2036</v>
      </c>
      <c r="S1" s="44">
        <v>2037</v>
      </c>
      <c r="T1" s="45">
        <v>2038</v>
      </c>
      <c r="U1" s="44">
        <v>2039</v>
      </c>
      <c r="V1" s="45">
        <v>2040</v>
      </c>
    </row>
    <row r="2" spans="1:22" x14ac:dyDescent="0.25">
      <c r="A2" s="46" t="s">
        <v>63</v>
      </c>
      <c r="B2" s="47" t="s">
        <v>57</v>
      </c>
      <c r="C2" s="128">
        <f>IFERROR(lifespans_all!D2*DTE_mission_minutes!D2,"-")</f>
        <v>133409.35004928565</v>
      </c>
      <c r="D2" s="128">
        <f>IFERROR(lifespans_all!E2*DTE_mission_minutes!E2,"-")</f>
        <v>133409.35004928565</v>
      </c>
      <c r="E2" s="128">
        <f>IFERROR(lifespans_all!F2*DTE_mission_minutes!F2,"-")</f>
        <v>0</v>
      </c>
      <c r="F2" s="128">
        <f>IFERROR(lifespans_all!G2*DTE_mission_minutes!G2,"-")</f>
        <v>0</v>
      </c>
      <c r="G2" s="128">
        <f>IFERROR(lifespans_all!H2*DTE_mission_minutes!H2,"-")</f>
        <v>0</v>
      </c>
      <c r="H2" s="128">
        <f>IFERROR(lifespans_all!I2*DTE_mission_minutes!I2,"-")</f>
        <v>0</v>
      </c>
      <c r="I2" s="128">
        <f>IFERROR(lifespans_all!J2*DTE_mission_minutes!J2,"-")</f>
        <v>0</v>
      </c>
      <c r="J2" s="128">
        <f>IFERROR(lifespans_all!K2*DTE_mission_minutes!K2,"-")</f>
        <v>0</v>
      </c>
      <c r="K2" s="128">
        <f>IFERROR(lifespans_all!L2*DTE_mission_minutes!L2,"-")</f>
        <v>0</v>
      </c>
      <c r="L2" s="128">
        <f>IFERROR(lifespans_all!M2*DTE_mission_minutes!M2,"-")</f>
        <v>0</v>
      </c>
      <c r="M2" s="128">
        <f>IFERROR(lifespans_all!N2*DTE_mission_minutes!N2,"-")</f>
        <v>0</v>
      </c>
      <c r="N2" s="128">
        <f>IFERROR(lifespans_all!O2*DTE_mission_minutes!O2,"-")</f>
        <v>0</v>
      </c>
      <c r="O2" s="128">
        <f>IFERROR(lifespans_all!P2*DTE_mission_minutes!P2,"-")</f>
        <v>0</v>
      </c>
      <c r="P2" s="128">
        <f>IFERROR(lifespans_all!Q2*DTE_mission_minutes!Q2,"-")</f>
        <v>0</v>
      </c>
      <c r="Q2" s="128">
        <f>IFERROR(lifespans_all!R2*DTE_mission_minutes!R2,"-")</f>
        <v>0</v>
      </c>
      <c r="R2" s="128">
        <f>IFERROR(lifespans_all!S2*DTE_mission_minutes!S2,"-")</f>
        <v>0</v>
      </c>
      <c r="S2" s="128">
        <f>IFERROR(lifespans_all!T2*DTE_mission_minutes!T2,"-")</f>
        <v>0</v>
      </c>
      <c r="T2" s="128">
        <f>IFERROR(lifespans_all!U2*DTE_mission_minutes!U2,"-")</f>
        <v>0</v>
      </c>
      <c r="U2" s="128">
        <f>IFERROR(lifespans_all!V2*DTE_mission_minutes!V2,"-")</f>
        <v>0</v>
      </c>
      <c r="V2" s="128">
        <f>IFERROR(lifespans_all!W2*DTE_mission_minutes!W2,"-")</f>
        <v>0</v>
      </c>
    </row>
    <row r="3" spans="1:22" x14ac:dyDescent="0.25">
      <c r="A3" s="46" t="s">
        <v>33</v>
      </c>
      <c r="B3" s="47" t="s">
        <v>57</v>
      </c>
      <c r="C3" s="128">
        <f>IFERROR(lifespans_all!D3*DTE_mission_minutes!D3,"-")</f>
        <v>2249.4702694444441</v>
      </c>
      <c r="D3" s="128">
        <f>IFERROR(lifespans_all!E3*DTE_mission_minutes!E3,"-")</f>
        <v>1189.7750000000001</v>
      </c>
      <c r="E3" s="128">
        <f>IFERROR(lifespans_all!F3*DTE_mission_minutes!F3,"-")</f>
        <v>649.57638888888891</v>
      </c>
      <c r="F3" s="128">
        <f>IFERROR(lifespans_all!G3*DTE_mission_minutes!G3,"-")</f>
        <v>1663.1641649999997</v>
      </c>
      <c r="G3" s="128">
        <f>IFERROR(lifespans_all!H3*DTE_mission_minutes!H3,"-")</f>
        <v>0</v>
      </c>
      <c r="H3" s="128">
        <f>IFERROR(lifespans_all!I3*DTE_mission_minutes!I3,"-")</f>
        <v>0</v>
      </c>
      <c r="I3" s="128">
        <f>IFERROR(lifespans_all!J3*DTE_mission_minutes!J3,"-")</f>
        <v>0</v>
      </c>
      <c r="J3" s="128">
        <f>IFERROR(lifespans_all!K3*DTE_mission_minutes!K3,"-")</f>
        <v>0</v>
      </c>
      <c r="K3" s="128">
        <f>IFERROR(lifespans_all!L3*DTE_mission_minutes!L3,"-")</f>
        <v>0</v>
      </c>
      <c r="L3" s="128">
        <f>IFERROR(lifespans_all!M3*DTE_mission_minutes!M3,"-")</f>
        <v>0</v>
      </c>
      <c r="M3" s="128">
        <f>IFERROR(lifespans_all!N3*DTE_mission_minutes!N3,"-")</f>
        <v>0</v>
      </c>
      <c r="N3" s="128">
        <f>IFERROR(lifespans_all!O3*DTE_mission_minutes!O3,"-")</f>
        <v>0</v>
      </c>
      <c r="O3" s="128">
        <f>IFERROR(lifespans_all!P3*DTE_mission_minutes!P3,"-")</f>
        <v>0</v>
      </c>
      <c r="P3" s="128">
        <f>IFERROR(lifespans_all!Q3*DTE_mission_minutes!Q3,"-")</f>
        <v>0</v>
      </c>
      <c r="Q3" s="128">
        <f>IFERROR(lifespans_all!R3*DTE_mission_minutes!R3,"-")</f>
        <v>0</v>
      </c>
      <c r="R3" s="128">
        <f>IFERROR(lifespans_all!S3*DTE_mission_minutes!S3,"-")</f>
        <v>0</v>
      </c>
      <c r="S3" s="128">
        <f>IFERROR(lifespans_all!T3*DTE_mission_minutes!T3,"-")</f>
        <v>0</v>
      </c>
      <c r="T3" s="128">
        <f>IFERROR(lifespans_all!U3*DTE_mission_minutes!U3,"-")</f>
        <v>0</v>
      </c>
      <c r="U3" s="128">
        <f>IFERROR(lifespans_all!V3*DTE_mission_minutes!V3,"-")</f>
        <v>0</v>
      </c>
      <c r="V3" s="128">
        <f>IFERROR(lifespans_all!W3*DTE_mission_minutes!W3,"-")</f>
        <v>0</v>
      </c>
    </row>
    <row r="4" spans="1:22" x14ac:dyDescent="0.25">
      <c r="A4" s="46" t="s">
        <v>65</v>
      </c>
      <c r="B4" s="47" t="s">
        <v>57</v>
      </c>
      <c r="C4" s="128">
        <f>IFERROR(lifespans_all!D4*DTE_mission_minutes!D4,"-")</f>
        <v>1151.5091666666667</v>
      </c>
      <c r="D4" s="128">
        <f>IFERROR(lifespans_all!E4*DTE_mission_minutes!E4,"-")</f>
        <v>1164.4527777777778</v>
      </c>
      <c r="E4" s="128">
        <f>IFERROR(lifespans_all!F4*DTE_mission_minutes!F4,"-")</f>
        <v>862.00805555555553</v>
      </c>
      <c r="F4" s="128">
        <f>IFERROR(lifespans_all!G4*DTE_mission_minutes!G4,"-")</f>
        <v>1093.0107777777775</v>
      </c>
      <c r="G4" s="128">
        <f>IFERROR(lifespans_all!H4*DTE_mission_minutes!H4,"-")</f>
        <v>1093.0107777777775</v>
      </c>
      <c r="H4" s="128">
        <f>IFERROR(lifespans_all!I4*DTE_mission_minutes!I4,"-")</f>
        <v>1093.0107777777775</v>
      </c>
      <c r="I4" s="128">
        <f>IFERROR(lifespans_all!J4*DTE_mission_minutes!J4,"-")</f>
        <v>0</v>
      </c>
      <c r="J4" s="128">
        <f>IFERROR(lifespans_all!K4*DTE_mission_minutes!K4,"-")</f>
        <v>0</v>
      </c>
      <c r="K4" s="128">
        <f>IFERROR(lifespans_all!L4*DTE_mission_minutes!L4,"-")</f>
        <v>0</v>
      </c>
      <c r="L4" s="128">
        <f>IFERROR(lifespans_all!M4*DTE_mission_minutes!M4,"-")</f>
        <v>0</v>
      </c>
      <c r="M4" s="128">
        <f>IFERROR(lifespans_all!N4*DTE_mission_minutes!N4,"-")</f>
        <v>0</v>
      </c>
      <c r="N4" s="128">
        <f>IFERROR(lifespans_all!O4*DTE_mission_minutes!O4,"-")</f>
        <v>0</v>
      </c>
      <c r="O4" s="128">
        <f>IFERROR(lifespans_all!P4*DTE_mission_minutes!P4,"-")</f>
        <v>0</v>
      </c>
      <c r="P4" s="128">
        <f>IFERROR(lifespans_all!Q4*DTE_mission_minutes!Q4,"-")</f>
        <v>0</v>
      </c>
      <c r="Q4" s="128">
        <f>IFERROR(lifespans_all!R4*DTE_mission_minutes!R4,"-")</f>
        <v>0</v>
      </c>
      <c r="R4" s="128">
        <f>IFERROR(lifespans_all!S4*DTE_mission_minutes!S4,"-")</f>
        <v>0</v>
      </c>
      <c r="S4" s="128">
        <f>IFERROR(lifespans_all!T4*DTE_mission_minutes!T4,"-")</f>
        <v>0</v>
      </c>
      <c r="T4" s="128">
        <f>IFERROR(lifespans_all!U4*DTE_mission_minutes!U4,"-")</f>
        <v>0</v>
      </c>
      <c r="U4" s="128">
        <f>IFERROR(lifespans_all!V4*DTE_mission_minutes!V4,"-")</f>
        <v>0</v>
      </c>
      <c r="V4" s="128">
        <f>IFERROR(lifespans_all!W4*DTE_mission_minutes!W4,"-")</f>
        <v>0</v>
      </c>
    </row>
    <row r="5" spans="1:22" x14ac:dyDescent="0.25">
      <c r="A5" s="46" t="s">
        <v>66</v>
      </c>
      <c r="B5" s="53" t="s">
        <v>59</v>
      </c>
      <c r="C5" s="128">
        <f>IFERROR(lifespans_all!D5*DTE_mission_minutes!D5,"-")</f>
        <v>171572.29579277776</v>
      </c>
      <c r="D5" s="128">
        <f>IFERROR(lifespans_all!E5*DTE_mission_minutes!E5,"-")</f>
        <v>171572.29579277776</v>
      </c>
      <c r="E5" s="128">
        <f>IFERROR(lifespans_all!F5*DTE_mission_minutes!F5,"-")</f>
        <v>171572.29579277776</v>
      </c>
      <c r="F5" s="128">
        <f>IFERROR(lifespans_all!G5*DTE_mission_minutes!G5,"-")</f>
        <v>171572.29579277776</v>
      </c>
      <c r="G5" s="128">
        <f>IFERROR(lifespans_all!H5*DTE_mission_minutes!H5,"-")</f>
        <v>171572.29579277776</v>
      </c>
      <c r="H5" s="128">
        <f>IFERROR(lifespans_all!I5*DTE_mission_minutes!I5,"-")</f>
        <v>171572.29579277776</v>
      </c>
      <c r="I5" s="128">
        <f>IFERROR(lifespans_all!J5*DTE_mission_minutes!J5,"-")</f>
        <v>171572.29579277776</v>
      </c>
      <c r="J5" s="128">
        <f>IFERROR(lifespans_all!K5*DTE_mission_minutes!K5,"-")</f>
        <v>171572.29579277776</v>
      </c>
      <c r="K5" s="128">
        <f>IFERROR(lifespans_all!L5*DTE_mission_minutes!L5,"-")</f>
        <v>171572.29579277776</v>
      </c>
      <c r="L5" s="128">
        <f>IFERROR(lifespans_all!M5*DTE_mission_minutes!M5,"-")</f>
        <v>171572.29579277776</v>
      </c>
      <c r="M5" s="128">
        <f>IFERROR(lifespans_all!N5*DTE_mission_minutes!N5,"-")</f>
        <v>171572.29579277776</v>
      </c>
      <c r="N5" s="128">
        <f>IFERROR(lifespans_all!O5*DTE_mission_minutes!O5,"-")</f>
        <v>171572.29579277776</v>
      </c>
      <c r="O5" s="128">
        <f>IFERROR(lifespans_all!P5*DTE_mission_minutes!P5,"-")</f>
        <v>171572.29579277776</v>
      </c>
      <c r="P5" s="128">
        <f>IFERROR(lifespans_all!Q5*DTE_mission_minutes!Q5,"-")</f>
        <v>171572.29579277776</v>
      </c>
      <c r="Q5" s="128">
        <f>IFERROR(lifespans_all!R5*DTE_mission_minutes!R5,"-")</f>
        <v>171572.29579277776</v>
      </c>
      <c r="R5" s="128">
        <f>IFERROR(lifespans_all!S5*DTE_mission_minutes!S5,"-")</f>
        <v>171572.29579277776</v>
      </c>
      <c r="S5" s="128">
        <f>IFERROR(lifespans_all!T5*DTE_mission_minutes!T5,"-")</f>
        <v>171572.29579277776</v>
      </c>
      <c r="T5" s="128">
        <f>IFERROR(lifespans_all!U5*DTE_mission_minutes!U5,"-")</f>
        <v>171572.29579277776</v>
      </c>
      <c r="U5" s="128">
        <f>IFERROR(lifespans_all!V5*DTE_mission_minutes!V5,"-")</f>
        <v>171572.29579277776</v>
      </c>
      <c r="V5" s="128">
        <f>IFERROR(lifespans_all!W5*DTE_mission_minutes!W5,"-")</f>
        <v>171572.29579277776</v>
      </c>
    </row>
    <row r="6" spans="1:22" x14ac:dyDescent="0.25">
      <c r="A6" s="46" t="s">
        <v>67</v>
      </c>
      <c r="B6" s="54" t="s">
        <v>58</v>
      </c>
      <c r="C6" s="128">
        <f>IFERROR(lifespans_all!D6*DTE_mission_minutes!D6,"-")</f>
        <v>30.559216666666664</v>
      </c>
      <c r="D6" s="128">
        <f>IFERROR(lifespans_all!E6*DTE_mission_minutes!E6,"-")</f>
        <v>69.774163888888879</v>
      </c>
      <c r="E6" s="128">
        <f>IFERROR(lifespans_all!F6*DTE_mission_minutes!F6,"-")</f>
        <v>18.289311111111111</v>
      </c>
      <c r="F6" s="128">
        <f>IFERROR(lifespans_all!G6*DTE_mission_minutes!G6,"-")</f>
        <v>35.440637222222215</v>
      </c>
      <c r="G6" s="128">
        <f>IFERROR(lifespans_all!H6*DTE_mission_minutes!H6,"-")</f>
        <v>0</v>
      </c>
      <c r="H6" s="128">
        <f>IFERROR(lifespans_all!I6*DTE_mission_minutes!I6,"-")</f>
        <v>0</v>
      </c>
      <c r="I6" s="128">
        <f>IFERROR(lifespans_all!J6*DTE_mission_minutes!J6,"-")</f>
        <v>0</v>
      </c>
      <c r="J6" s="128">
        <f>IFERROR(lifespans_all!K6*DTE_mission_minutes!K6,"-")</f>
        <v>0</v>
      </c>
      <c r="K6" s="128">
        <f>IFERROR(lifespans_all!L6*DTE_mission_minutes!L6,"-")</f>
        <v>0</v>
      </c>
      <c r="L6" s="128">
        <f>IFERROR(lifespans_all!M6*DTE_mission_minutes!M6,"-")</f>
        <v>0</v>
      </c>
      <c r="M6" s="128">
        <f>IFERROR(lifespans_all!N6*DTE_mission_minutes!N6,"-")</f>
        <v>0</v>
      </c>
      <c r="N6" s="128">
        <f>IFERROR(lifespans_all!O6*DTE_mission_minutes!O6,"-")</f>
        <v>0</v>
      </c>
      <c r="O6" s="128">
        <f>IFERROR(lifespans_all!P6*DTE_mission_minutes!P6,"-")</f>
        <v>0</v>
      </c>
      <c r="P6" s="128">
        <f>IFERROR(lifespans_all!Q6*DTE_mission_minutes!Q6,"-")</f>
        <v>0</v>
      </c>
      <c r="Q6" s="128">
        <f>IFERROR(lifespans_all!R6*DTE_mission_minutes!R6,"-")</f>
        <v>0</v>
      </c>
      <c r="R6" s="128">
        <f>IFERROR(lifespans_all!S6*DTE_mission_minutes!S6,"-")</f>
        <v>0</v>
      </c>
      <c r="S6" s="128">
        <f>IFERROR(lifespans_all!T6*DTE_mission_minutes!T6,"-")</f>
        <v>0</v>
      </c>
      <c r="T6" s="128">
        <f>IFERROR(lifespans_all!U6*DTE_mission_minutes!U6,"-")</f>
        <v>0</v>
      </c>
      <c r="U6" s="128">
        <f>IFERROR(lifespans_all!V6*DTE_mission_minutes!V6,"-")</f>
        <v>0</v>
      </c>
      <c r="V6" s="128">
        <f>IFERROR(lifespans_all!W6*DTE_mission_minutes!W6,"-")</f>
        <v>0</v>
      </c>
    </row>
    <row r="7" spans="1:22" x14ac:dyDescent="0.25">
      <c r="A7" s="46" t="s">
        <v>68</v>
      </c>
      <c r="B7" s="47" t="s">
        <v>57</v>
      </c>
      <c r="C7" s="128">
        <f>IFERROR(lifespans_all!D7*DTE_mission_minutes!D7,"-")</f>
        <v>667.42555555555555</v>
      </c>
      <c r="D7" s="128">
        <f>IFERROR(lifespans_all!E7*DTE_mission_minutes!E7,"-")</f>
        <v>707.53916666666669</v>
      </c>
      <c r="E7" s="128">
        <f>IFERROR(lifespans_all!F7*DTE_mission_minutes!F7,"-")</f>
        <v>608.43833333333339</v>
      </c>
      <c r="F7" s="128">
        <f>IFERROR(lifespans_all!G7*DTE_mission_minutes!G7,"-")</f>
        <v>671.11811111111115</v>
      </c>
      <c r="G7" s="128">
        <f>IFERROR(lifespans_all!H7*DTE_mission_minutes!H7,"-")</f>
        <v>671.11811111111115</v>
      </c>
      <c r="H7" s="128">
        <f>IFERROR(lifespans_all!I7*DTE_mission_minutes!I7,"-")</f>
        <v>671.11811111111115</v>
      </c>
      <c r="I7" s="128">
        <f>IFERROR(lifespans_all!J7*DTE_mission_minutes!J7,"-")</f>
        <v>0</v>
      </c>
      <c r="J7" s="128">
        <f>IFERROR(lifespans_all!K7*DTE_mission_minutes!K7,"-")</f>
        <v>0</v>
      </c>
      <c r="K7" s="128">
        <f>IFERROR(lifespans_all!L7*DTE_mission_minutes!L7,"-")</f>
        <v>0</v>
      </c>
      <c r="L7" s="128">
        <f>IFERROR(lifespans_all!M7*DTE_mission_minutes!M7,"-")</f>
        <v>0</v>
      </c>
      <c r="M7" s="128">
        <f>IFERROR(lifespans_all!N7*DTE_mission_minutes!N7,"-")</f>
        <v>0</v>
      </c>
      <c r="N7" s="128">
        <f>IFERROR(lifespans_all!O7*DTE_mission_minutes!O7,"-")</f>
        <v>0</v>
      </c>
      <c r="O7" s="128">
        <f>IFERROR(lifespans_all!P7*DTE_mission_minutes!P7,"-")</f>
        <v>0</v>
      </c>
      <c r="P7" s="128">
        <f>IFERROR(lifespans_all!Q7*DTE_mission_minutes!Q7,"-")</f>
        <v>0</v>
      </c>
      <c r="Q7" s="128">
        <f>IFERROR(lifespans_all!R7*DTE_mission_minutes!R7,"-")</f>
        <v>0</v>
      </c>
      <c r="R7" s="128">
        <f>IFERROR(lifespans_all!S7*DTE_mission_minutes!S7,"-")</f>
        <v>0</v>
      </c>
      <c r="S7" s="128">
        <f>IFERROR(lifespans_all!T7*DTE_mission_minutes!T7,"-")</f>
        <v>0</v>
      </c>
      <c r="T7" s="128">
        <f>IFERROR(lifespans_all!U7*DTE_mission_minutes!U7,"-")</f>
        <v>0</v>
      </c>
      <c r="U7" s="128">
        <f>IFERROR(lifespans_all!V7*DTE_mission_minutes!V7,"-")</f>
        <v>0</v>
      </c>
      <c r="V7" s="128">
        <f>IFERROR(lifespans_all!W7*DTE_mission_minutes!W7,"-")</f>
        <v>0</v>
      </c>
    </row>
    <row r="8" spans="1:22" x14ac:dyDescent="0.25">
      <c r="A8" s="46" t="s">
        <v>34</v>
      </c>
      <c r="B8" s="55" t="s">
        <v>64</v>
      </c>
      <c r="C8" s="128">
        <f>IFERROR(lifespans_all!D8*DTE_mission_minutes!D8,"-")</f>
        <v>508.14004722222222</v>
      </c>
      <c r="D8" s="128">
        <f>IFERROR(lifespans_all!E8*DTE_mission_minutes!E8,"-")</f>
        <v>377.5913888888889</v>
      </c>
      <c r="E8" s="128">
        <f>IFERROR(lifespans_all!F8*DTE_mission_minutes!F8,"-")</f>
        <v>307.24861111111113</v>
      </c>
      <c r="F8" s="128">
        <f>IFERROR(lifespans_all!G8*DTE_mission_minutes!G8,"-")</f>
        <v>392.20349666666669</v>
      </c>
      <c r="G8" s="128">
        <f>IFERROR(lifespans_all!H8*DTE_mission_minutes!H8,"-")</f>
        <v>392.20349666666669</v>
      </c>
      <c r="H8" s="128">
        <f>IFERROR(lifespans_all!I8*DTE_mission_minutes!I8,"-")</f>
        <v>392.20349666666669</v>
      </c>
      <c r="I8" s="128">
        <f>IFERROR(lifespans_all!J8*DTE_mission_minutes!J8,"-")</f>
        <v>392.20349666666669</v>
      </c>
      <c r="J8" s="128">
        <f>IFERROR(lifespans_all!K8*DTE_mission_minutes!K8,"-")</f>
        <v>392.20349666666669</v>
      </c>
      <c r="K8" s="128">
        <f>IFERROR(lifespans_all!L8*DTE_mission_minutes!L8,"-")</f>
        <v>392.20349666666669</v>
      </c>
      <c r="L8" s="128">
        <f>IFERROR(lifespans_all!M8*DTE_mission_minutes!M8,"-")</f>
        <v>392.20349666666669</v>
      </c>
      <c r="M8" s="128">
        <f>IFERROR(lifespans_all!N8*DTE_mission_minutes!N8,"-")</f>
        <v>392.20349666666669</v>
      </c>
      <c r="N8" s="128">
        <f>IFERROR(lifespans_all!O8*DTE_mission_minutes!O8,"-")</f>
        <v>392.20349666666669</v>
      </c>
      <c r="O8" s="128">
        <f>IFERROR(lifespans_all!P8*DTE_mission_minutes!P8,"-")</f>
        <v>392.20349666666669</v>
      </c>
      <c r="P8" s="128">
        <f>IFERROR(lifespans_all!Q8*DTE_mission_minutes!Q8,"-")</f>
        <v>392.20349666666669</v>
      </c>
      <c r="Q8" s="128">
        <f>IFERROR(lifespans_all!R8*DTE_mission_minutes!R8,"-")</f>
        <v>392.20349666666669</v>
      </c>
      <c r="R8" s="128">
        <f>IFERROR(lifespans_all!S8*DTE_mission_minutes!S8,"-")</f>
        <v>392.20349666666669</v>
      </c>
      <c r="S8" s="128">
        <f>IFERROR(lifespans_all!T8*DTE_mission_minutes!T8,"-")</f>
        <v>392.20349666666669</v>
      </c>
      <c r="T8" s="128">
        <f>IFERROR(lifespans_all!U8*DTE_mission_minutes!U8,"-")</f>
        <v>392.20349666666669</v>
      </c>
      <c r="U8" s="128">
        <f>IFERROR(lifespans_all!V8*DTE_mission_minutes!V8,"-")</f>
        <v>392.20349666666669</v>
      </c>
      <c r="V8" s="128">
        <f>IFERROR(lifespans_all!W8*DTE_mission_minutes!W8,"-")</f>
        <v>392.20349666666669</v>
      </c>
    </row>
    <row r="9" spans="1:22" x14ac:dyDescent="0.25">
      <c r="A9" s="46" t="s">
        <v>69</v>
      </c>
      <c r="B9" s="47" t="s">
        <v>57</v>
      </c>
      <c r="C9" s="128">
        <f>IFERROR(lifespans_all!D9*DTE_mission_minutes!D9,"-")</f>
        <v>0</v>
      </c>
      <c r="D9" s="128">
        <f>IFERROR(lifespans_all!E9*DTE_mission_minutes!E9,"-")</f>
        <v>0</v>
      </c>
      <c r="E9" s="128">
        <f>IFERROR(lifespans_all!F9*DTE_mission_minutes!F9,"-")</f>
        <v>0</v>
      </c>
      <c r="F9" s="128">
        <f>IFERROR(lifespans_all!G9*DTE_mission_minutes!G9,"-")</f>
        <v>0</v>
      </c>
      <c r="G9" s="128">
        <f>IFERROR(lifespans_all!H9*DTE_mission_minutes!H9,"-")</f>
        <v>0</v>
      </c>
      <c r="H9" s="128">
        <f>IFERROR(lifespans_all!I9*DTE_mission_minutes!I9,"-")</f>
        <v>0</v>
      </c>
      <c r="I9" s="128">
        <f>IFERROR(lifespans_all!J9*DTE_mission_minutes!J9,"-")</f>
        <v>0</v>
      </c>
      <c r="J9" s="128">
        <f>IFERROR(lifespans_all!K9*DTE_mission_minutes!K9,"-")</f>
        <v>0</v>
      </c>
      <c r="K9" s="128">
        <f>IFERROR(lifespans_all!L9*DTE_mission_minutes!L9,"-")</f>
        <v>0</v>
      </c>
      <c r="L9" s="128">
        <f>IFERROR(lifespans_all!M9*DTE_mission_minutes!M9,"-")</f>
        <v>0</v>
      </c>
      <c r="M9" s="128">
        <f>IFERROR(lifespans_all!N9*DTE_mission_minutes!N9,"-")</f>
        <v>0</v>
      </c>
      <c r="N9" s="128">
        <f>IFERROR(lifespans_all!O9*DTE_mission_minutes!O9,"-")</f>
        <v>0</v>
      </c>
      <c r="O9" s="128">
        <f>IFERROR(lifespans_all!P9*DTE_mission_minutes!P9,"-")</f>
        <v>0</v>
      </c>
      <c r="P9" s="128">
        <f>IFERROR(lifespans_all!Q9*DTE_mission_minutes!Q9,"-")</f>
        <v>0</v>
      </c>
      <c r="Q9" s="128">
        <f>IFERROR(lifespans_all!R9*DTE_mission_minutes!R9,"-")</f>
        <v>0</v>
      </c>
      <c r="R9" s="128">
        <f>IFERROR(lifespans_all!S9*DTE_mission_minutes!S9,"-")</f>
        <v>0</v>
      </c>
      <c r="S9" s="128">
        <f>IFERROR(lifespans_all!T9*DTE_mission_minutes!T9,"-")</f>
        <v>0</v>
      </c>
      <c r="T9" s="128">
        <f>IFERROR(lifespans_all!U9*DTE_mission_minutes!U9,"-")</f>
        <v>0</v>
      </c>
      <c r="U9" s="128">
        <f>IFERROR(lifespans_all!V9*DTE_mission_minutes!V9,"-")</f>
        <v>0</v>
      </c>
      <c r="V9" s="128">
        <f>IFERROR(lifespans_all!W9*DTE_mission_minutes!W9,"-")</f>
        <v>0</v>
      </c>
    </row>
    <row r="10" spans="1:22" x14ac:dyDescent="0.25">
      <c r="A10" s="46" t="s">
        <v>70</v>
      </c>
      <c r="B10" s="54" t="s">
        <v>59</v>
      </c>
      <c r="C10" s="128">
        <f>IFERROR(lifespans_all!D10*DTE_mission_minutes!D10,"-")</f>
        <v>1178.5658305555555</v>
      </c>
      <c r="D10" s="128">
        <f>IFERROR(lifespans_all!E10*DTE_mission_minutes!E10,"-")</f>
        <v>779.39891388888896</v>
      </c>
      <c r="E10" s="128">
        <f>IFERROR(lifespans_all!F10*DTE_mission_minutes!F10,"-")</f>
        <v>4.2386111111111111</v>
      </c>
      <c r="F10" s="128">
        <f>IFERROR(lifespans_all!G10*DTE_mission_minutes!G10,"-")</f>
        <v>871.54136999999992</v>
      </c>
      <c r="G10" s="128">
        <f>IFERROR(lifespans_all!H10*DTE_mission_minutes!H10,"-")</f>
        <v>871.54136999999992</v>
      </c>
      <c r="H10" s="128">
        <f>IFERROR(lifespans_all!I10*DTE_mission_minutes!I10,"-")</f>
        <v>871.54136999999992</v>
      </c>
      <c r="I10" s="128">
        <f>IFERROR(lifespans_all!J10*DTE_mission_minutes!J10,"-")</f>
        <v>871.54136999999992</v>
      </c>
      <c r="J10" s="128">
        <f>IFERROR(lifespans_all!K10*DTE_mission_minutes!K10,"-")</f>
        <v>871.54136999999992</v>
      </c>
      <c r="K10" s="128">
        <f>IFERROR(lifespans_all!L10*DTE_mission_minutes!L10,"-")</f>
        <v>871.54136999999992</v>
      </c>
      <c r="L10" s="128">
        <f>IFERROR(lifespans_all!M10*DTE_mission_minutes!M10,"-")</f>
        <v>871.54136999999992</v>
      </c>
      <c r="M10" s="128">
        <f>IFERROR(lifespans_all!N10*DTE_mission_minutes!N10,"-")</f>
        <v>0</v>
      </c>
      <c r="N10" s="128">
        <f>IFERROR(lifespans_all!O10*DTE_mission_minutes!O10,"-")</f>
        <v>0</v>
      </c>
      <c r="O10" s="128">
        <f>IFERROR(lifespans_all!P10*DTE_mission_minutes!P10,"-")</f>
        <v>0</v>
      </c>
      <c r="P10" s="128">
        <f>IFERROR(lifespans_all!Q10*DTE_mission_minutes!Q10,"-")</f>
        <v>0</v>
      </c>
      <c r="Q10" s="128">
        <f>IFERROR(lifespans_all!R10*DTE_mission_minutes!R10,"-")</f>
        <v>0</v>
      </c>
      <c r="R10" s="128">
        <f>IFERROR(lifespans_all!S10*DTE_mission_minutes!S10,"-")</f>
        <v>0</v>
      </c>
      <c r="S10" s="128">
        <f>IFERROR(lifespans_all!T10*DTE_mission_minutes!T10,"-")</f>
        <v>0</v>
      </c>
      <c r="T10" s="128">
        <f>IFERROR(lifespans_all!U10*DTE_mission_minutes!U10,"-")</f>
        <v>0</v>
      </c>
      <c r="U10" s="128">
        <f>IFERROR(lifespans_all!V10*DTE_mission_minutes!V10,"-")</f>
        <v>0</v>
      </c>
      <c r="V10" s="128">
        <f>IFERROR(lifespans_all!W10*DTE_mission_minutes!W10,"-")</f>
        <v>0</v>
      </c>
    </row>
    <row r="11" spans="1:22" x14ac:dyDescent="0.25">
      <c r="A11" s="46" t="s">
        <v>71</v>
      </c>
      <c r="B11" s="54" t="s">
        <v>58</v>
      </c>
      <c r="C11" s="128">
        <f>IFERROR(lifespans_all!D11*DTE_mission_minutes!D11,"-")</f>
        <v>721.11352444444435</v>
      </c>
      <c r="D11" s="128">
        <f>IFERROR(lifespans_all!E11*DTE_mission_minutes!E11,"-")</f>
        <v>721.11352444444435</v>
      </c>
      <c r="E11" s="128">
        <f>IFERROR(lifespans_all!F11*DTE_mission_minutes!F11,"-")</f>
        <v>721.11352444444435</v>
      </c>
      <c r="F11" s="128">
        <f>IFERROR(lifespans_all!G11*DTE_mission_minutes!G11,"-")</f>
        <v>721.11352444444435</v>
      </c>
      <c r="G11" s="128">
        <f>IFERROR(lifespans_all!H11*DTE_mission_minutes!H11,"-")</f>
        <v>721.11352444444435</v>
      </c>
      <c r="H11" s="128">
        <f>IFERROR(lifespans_all!I11*DTE_mission_minutes!I11,"-")</f>
        <v>721.11352444444435</v>
      </c>
      <c r="I11" s="128">
        <f>IFERROR(lifespans_all!J11*DTE_mission_minutes!J11,"-")</f>
        <v>721.11352444444435</v>
      </c>
      <c r="J11" s="128">
        <f>IFERROR(lifespans_all!K11*DTE_mission_minutes!K11,"-")</f>
        <v>721.11352444444435</v>
      </c>
      <c r="K11" s="128">
        <f>IFERROR(lifespans_all!L11*DTE_mission_minutes!L11,"-")</f>
        <v>721.11352444444435</v>
      </c>
      <c r="L11" s="128">
        <f>IFERROR(lifespans_all!M11*DTE_mission_minutes!M11,"-")</f>
        <v>721.11352444444435</v>
      </c>
      <c r="M11" s="128">
        <f>IFERROR(lifespans_all!N11*DTE_mission_minutes!N11,"-")</f>
        <v>721.11352444444435</v>
      </c>
      <c r="N11" s="128">
        <f>IFERROR(lifespans_all!O11*DTE_mission_minutes!O11,"-")</f>
        <v>721.11352444444435</v>
      </c>
      <c r="O11" s="128">
        <f>IFERROR(lifespans_all!P11*DTE_mission_minutes!P11,"-")</f>
        <v>721.11352444444435</v>
      </c>
      <c r="P11" s="128">
        <f>IFERROR(lifespans_all!Q11*DTE_mission_minutes!Q11,"-")</f>
        <v>721.11352444444435</v>
      </c>
      <c r="Q11" s="128">
        <f>IFERROR(lifespans_all!R11*DTE_mission_minutes!R11,"-")</f>
        <v>721.11352444444435</v>
      </c>
      <c r="R11" s="128">
        <f>IFERROR(lifespans_all!S11*DTE_mission_minutes!S11,"-")</f>
        <v>721.11352444444435</v>
      </c>
      <c r="S11" s="128">
        <f>IFERROR(lifespans_all!T11*DTE_mission_minutes!T11,"-")</f>
        <v>721.11352444444435</v>
      </c>
      <c r="T11" s="128">
        <f>IFERROR(lifespans_all!U11*DTE_mission_minutes!U11,"-")</f>
        <v>721.11352444444435</v>
      </c>
      <c r="U11" s="128">
        <f>IFERROR(lifespans_all!V11*DTE_mission_minutes!V11,"-")</f>
        <v>721.11352444444435</v>
      </c>
      <c r="V11" s="128">
        <f>IFERROR(lifespans_all!W11*DTE_mission_minutes!W11,"-")</f>
        <v>721.11352444444435</v>
      </c>
    </row>
    <row r="12" spans="1:22" x14ac:dyDescent="0.25">
      <c r="A12" s="46" t="s">
        <v>72</v>
      </c>
      <c r="B12" s="53" t="s">
        <v>59</v>
      </c>
      <c r="C12" s="128">
        <f>IFERROR(lifespans_all!D12*DTE_mission_minutes!D12,"-")</f>
        <v>171572.29579277776</v>
      </c>
      <c r="D12" s="128">
        <f>IFERROR(lifespans_all!E12*DTE_mission_minutes!E12,"-")</f>
        <v>171572.29579277776</v>
      </c>
      <c r="E12" s="128">
        <f>IFERROR(lifespans_all!F12*DTE_mission_minutes!F12,"-")</f>
        <v>171572.29579277776</v>
      </c>
      <c r="F12" s="128">
        <f>IFERROR(lifespans_all!G12*DTE_mission_minutes!G12,"-")</f>
        <v>171572.29579277776</v>
      </c>
      <c r="G12" s="128">
        <f>IFERROR(lifespans_all!H12*DTE_mission_minutes!H12,"-")</f>
        <v>171572.29579277776</v>
      </c>
      <c r="H12" s="128">
        <f>IFERROR(lifespans_all!I12*DTE_mission_minutes!I12,"-")</f>
        <v>171572.29579277776</v>
      </c>
      <c r="I12" s="128">
        <f>IFERROR(lifespans_all!J12*DTE_mission_minutes!J12,"-")</f>
        <v>171572.29579277776</v>
      </c>
      <c r="J12" s="128">
        <f>IFERROR(lifespans_all!K12*DTE_mission_minutes!K12,"-")</f>
        <v>171572.29579277776</v>
      </c>
      <c r="K12" s="128">
        <f>IFERROR(lifespans_all!L12*DTE_mission_minutes!L12,"-")</f>
        <v>171572.29579277776</v>
      </c>
      <c r="L12" s="128">
        <f>IFERROR(lifespans_all!M12*DTE_mission_minutes!M12,"-")</f>
        <v>171572.29579277776</v>
      </c>
      <c r="M12" s="128">
        <f>IFERROR(lifespans_all!N12*DTE_mission_minutes!N12,"-")</f>
        <v>171572.29579277776</v>
      </c>
      <c r="N12" s="128">
        <f>IFERROR(lifespans_all!O12*DTE_mission_minutes!O12,"-")</f>
        <v>171572.29579277776</v>
      </c>
      <c r="O12" s="128">
        <f>IFERROR(lifespans_all!P12*DTE_mission_minutes!P12,"-")</f>
        <v>171572.29579277776</v>
      </c>
      <c r="P12" s="128">
        <f>IFERROR(lifespans_all!Q12*DTE_mission_minutes!Q12,"-")</f>
        <v>171572.29579277776</v>
      </c>
      <c r="Q12" s="128">
        <f>IFERROR(lifespans_all!R12*DTE_mission_minutes!R12,"-")</f>
        <v>171572.29579277776</v>
      </c>
      <c r="R12" s="128">
        <f>IFERROR(lifespans_all!S12*DTE_mission_minutes!S12,"-")</f>
        <v>171572.29579277776</v>
      </c>
      <c r="S12" s="128">
        <f>IFERROR(lifespans_all!T12*DTE_mission_minutes!T12,"-")</f>
        <v>171572.29579277776</v>
      </c>
      <c r="T12" s="128">
        <f>IFERROR(lifespans_all!U12*DTE_mission_minutes!U12,"-")</f>
        <v>171572.29579277776</v>
      </c>
      <c r="U12" s="128">
        <f>IFERROR(lifespans_all!V12*DTE_mission_minutes!V12,"-")</f>
        <v>171572.29579277776</v>
      </c>
      <c r="V12" s="128">
        <f>IFERROR(lifespans_all!W12*DTE_mission_minutes!W12,"-")</f>
        <v>171572.29579277776</v>
      </c>
    </row>
    <row r="13" spans="1:22" x14ac:dyDescent="0.25">
      <c r="A13" s="46" t="s">
        <v>82</v>
      </c>
      <c r="B13" s="55" t="s">
        <v>64</v>
      </c>
      <c r="C13" s="128" t="str">
        <f>IFERROR(lifespans_all!D13*DTE_mission_minutes!D13,"-")</f>
        <v>-</v>
      </c>
      <c r="D13" s="128" t="str">
        <f>IFERROR(lifespans_all!E13*DTE_mission_minutes!E13,"-")</f>
        <v>-</v>
      </c>
      <c r="E13" s="128" t="str">
        <f>IFERROR(lifespans_all!F13*DTE_mission_minutes!F13,"-")</f>
        <v>-</v>
      </c>
      <c r="F13" s="128" t="str">
        <f>IFERROR(lifespans_all!G13*DTE_mission_minutes!G13,"-")</f>
        <v>-</v>
      </c>
      <c r="G13" s="128" t="str">
        <f>IFERROR(lifespans_all!H13*DTE_mission_minutes!H13,"-")</f>
        <v>-</v>
      </c>
      <c r="H13" s="128" t="str">
        <f>IFERROR(lifespans_all!I13*DTE_mission_minutes!I13,"-")</f>
        <v>-</v>
      </c>
      <c r="I13" s="128" t="str">
        <f>IFERROR(lifespans_all!J13*DTE_mission_minutes!J13,"-")</f>
        <v>-</v>
      </c>
      <c r="J13" s="128" t="str">
        <f>IFERROR(lifespans_all!K13*DTE_mission_minutes!K13,"-")</f>
        <v>-</v>
      </c>
      <c r="K13" s="128" t="str">
        <f>IFERROR(lifespans_all!L13*DTE_mission_minutes!L13,"-")</f>
        <v>-</v>
      </c>
      <c r="L13" s="128" t="str">
        <f>IFERROR(lifespans_all!M13*DTE_mission_minutes!M13,"-")</f>
        <v>-</v>
      </c>
      <c r="M13" s="128" t="str">
        <f>IFERROR(lifespans_all!N13*DTE_mission_minutes!N13,"-")</f>
        <v>-</v>
      </c>
      <c r="N13" s="128" t="str">
        <f>IFERROR(lifespans_all!O13*DTE_mission_minutes!O13,"-")</f>
        <v>-</v>
      </c>
      <c r="O13" s="128" t="str">
        <f>IFERROR(lifespans_all!P13*DTE_mission_minutes!P13,"-")</f>
        <v>-</v>
      </c>
      <c r="P13" s="128" t="str">
        <f>IFERROR(lifespans_all!Q13*DTE_mission_minutes!Q13,"-")</f>
        <v>-</v>
      </c>
      <c r="Q13" s="128" t="str">
        <f>IFERROR(lifespans_all!R13*DTE_mission_minutes!R13,"-")</f>
        <v>-</v>
      </c>
      <c r="R13" s="128" t="str">
        <f>IFERROR(lifespans_all!S13*DTE_mission_minutes!S13,"-")</f>
        <v>-</v>
      </c>
      <c r="S13" s="128" t="str">
        <f>IFERROR(lifespans_all!T13*DTE_mission_minutes!T13,"-")</f>
        <v>-</v>
      </c>
      <c r="T13" s="128" t="str">
        <f>IFERROR(lifespans_all!U13*DTE_mission_minutes!U13,"-")</f>
        <v>-</v>
      </c>
      <c r="U13" s="128" t="str">
        <f>IFERROR(lifespans_all!V13*DTE_mission_minutes!V13,"-")</f>
        <v>-</v>
      </c>
      <c r="V13" s="128" t="str">
        <f>IFERROR(lifespans_all!W13*DTE_mission_minutes!W13,"-")</f>
        <v>-</v>
      </c>
    </row>
    <row r="14" spans="1:22" x14ac:dyDescent="0.25">
      <c r="A14" s="46" t="s">
        <v>35</v>
      </c>
      <c r="B14" s="47" t="s">
        <v>57</v>
      </c>
      <c r="C14" s="128">
        <f>IFERROR(lifespans_all!D14*DTE_mission_minutes!D14,"-")</f>
        <v>851.36055555555549</v>
      </c>
      <c r="D14" s="128">
        <f>IFERROR(lifespans_all!E14*DTE_mission_minutes!E14,"-")</f>
        <v>921.41561944444436</v>
      </c>
      <c r="E14" s="128">
        <f>IFERROR(lifespans_all!F14*DTE_mission_minutes!F14,"-")</f>
        <v>793.34499999999991</v>
      </c>
      <c r="F14" s="128">
        <f>IFERROR(lifespans_all!G14*DTE_mission_minutes!G14,"-")</f>
        <v>796.60534611111109</v>
      </c>
      <c r="G14" s="128">
        <f>IFERROR(lifespans_all!H14*DTE_mission_minutes!H14,"-")</f>
        <v>796.60534611111109</v>
      </c>
      <c r="H14" s="128">
        <f>IFERROR(lifespans_all!I14*DTE_mission_minutes!I14,"-")</f>
        <v>796.60534611111109</v>
      </c>
      <c r="I14" s="128">
        <f>IFERROR(lifespans_all!J14*DTE_mission_minutes!J14,"-")</f>
        <v>796.60534611111109</v>
      </c>
      <c r="J14" s="128">
        <f>IFERROR(lifespans_all!K14*DTE_mission_minutes!K14,"-")</f>
        <v>0</v>
      </c>
      <c r="K14" s="128">
        <f>IFERROR(lifespans_all!L14*DTE_mission_minutes!L14,"-")</f>
        <v>0</v>
      </c>
      <c r="L14" s="128">
        <f>IFERROR(lifespans_all!M14*DTE_mission_minutes!M14,"-")</f>
        <v>0</v>
      </c>
      <c r="M14" s="128">
        <f>IFERROR(lifespans_all!N14*DTE_mission_minutes!N14,"-")</f>
        <v>0</v>
      </c>
      <c r="N14" s="128">
        <f>IFERROR(lifespans_all!O14*DTE_mission_minutes!O14,"-")</f>
        <v>0</v>
      </c>
      <c r="O14" s="128">
        <f>IFERROR(lifespans_all!P14*DTE_mission_minutes!P14,"-")</f>
        <v>0</v>
      </c>
      <c r="P14" s="128">
        <f>IFERROR(lifespans_all!Q14*DTE_mission_minutes!Q14,"-")</f>
        <v>0</v>
      </c>
      <c r="Q14" s="128">
        <f>IFERROR(lifespans_all!R14*DTE_mission_minutes!R14,"-")</f>
        <v>0</v>
      </c>
      <c r="R14" s="128">
        <f>IFERROR(lifespans_all!S14*DTE_mission_minutes!S14,"-")</f>
        <v>0</v>
      </c>
      <c r="S14" s="128">
        <f>IFERROR(lifespans_all!T14*DTE_mission_minutes!T14,"-")</f>
        <v>0</v>
      </c>
      <c r="T14" s="128">
        <f>IFERROR(lifespans_all!U14*DTE_mission_minutes!U14,"-")</f>
        <v>0</v>
      </c>
      <c r="U14" s="128">
        <f>IFERROR(lifespans_all!V14*DTE_mission_minutes!V14,"-")</f>
        <v>0</v>
      </c>
      <c r="V14" s="128">
        <f>IFERROR(lifespans_all!W14*DTE_mission_minutes!W14,"-")</f>
        <v>0</v>
      </c>
    </row>
    <row r="15" spans="1:22" x14ac:dyDescent="0.25">
      <c r="A15" s="59" t="s">
        <v>83</v>
      </c>
      <c r="B15" s="47" t="s">
        <v>56</v>
      </c>
      <c r="C15" s="128">
        <f>IFERROR(lifespans_all!D15*DTE_mission_minutes!D15,"-")</f>
        <v>2140.4341038095235</v>
      </c>
      <c r="D15" s="128">
        <f>IFERROR(lifespans_all!E15*DTE_mission_minutes!E15,"-")</f>
        <v>2140.4341038095235</v>
      </c>
      <c r="E15" s="128">
        <f>IFERROR(lifespans_all!F15*DTE_mission_minutes!F15,"-")</f>
        <v>2140.4341038095235</v>
      </c>
      <c r="F15" s="128">
        <f>IFERROR(lifespans_all!G15*DTE_mission_minutes!G15,"-")</f>
        <v>2140.4341038095235</v>
      </c>
      <c r="G15" s="128">
        <f>IFERROR(lifespans_all!H15*DTE_mission_minutes!H15,"-")</f>
        <v>2140.4341038095235</v>
      </c>
      <c r="H15" s="128">
        <f>IFERROR(lifespans_all!I15*DTE_mission_minutes!I15,"-")</f>
        <v>2140.4341038095235</v>
      </c>
      <c r="I15" s="128">
        <f>IFERROR(lifespans_all!J15*DTE_mission_minutes!J15,"-")</f>
        <v>2140.4341038095235</v>
      </c>
      <c r="J15" s="128">
        <f>IFERROR(lifespans_all!K15*DTE_mission_minutes!K15,"-")</f>
        <v>2140.4341038095235</v>
      </c>
      <c r="K15" s="128">
        <f>IFERROR(lifespans_all!L15*DTE_mission_minutes!L15,"-")</f>
        <v>2140.4341038095235</v>
      </c>
      <c r="L15" s="128">
        <f>IFERROR(lifespans_all!M15*DTE_mission_minutes!M15,"-")</f>
        <v>2140.4341038095235</v>
      </c>
      <c r="M15" s="128">
        <f>IFERROR(lifespans_all!N15*DTE_mission_minutes!N15,"-")</f>
        <v>2140.4341038095235</v>
      </c>
      <c r="N15" s="128">
        <f>IFERROR(lifespans_all!O15*DTE_mission_minutes!O15,"-")</f>
        <v>2140.4341038095235</v>
      </c>
      <c r="O15" s="128">
        <f>IFERROR(lifespans_all!P15*DTE_mission_minutes!P15,"-")</f>
        <v>2140.4341038095235</v>
      </c>
      <c r="P15" s="128">
        <f>IFERROR(lifespans_all!Q15*DTE_mission_minutes!Q15,"-")</f>
        <v>2140.4341038095235</v>
      </c>
      <c r="Q15" s="128">
        <f>IFERROR(lifespans_all!R15*DTE_mission_minutes!R15,"-")</f>
        <v>2140.4341038095235</v>
      </c>
      <c r="R15" s="128">
        <f>IFERROR(lifespans_all!S15*DTE_mission_minutes!S15,"-")</f>
        <v>2140.4341038095235</v>
      </c>
      <c r="S15" s="128">
        <f>IFERROR(lifespans_all!T15*DTE_mission_minutes!T15,"-")</f>
        <v>2140.4341038095235</v>
      </c>
      <c r="T15" s="128">
        <f>IFERROR(lifespans_all!U15*DTE_mission_minutes!U15,"-")</f>
        <v>2140.4341038095235</v>
      </c>
      <c r="U15" s="128">
        <f>IFERROR(lifespans_all!V15*DTE_mission_minutes!V15,"-")</f>
        <v>2140.4341038095235</v>
      </c>
      <c r="V15" s="128">
        <f>IFERROR(lifespans_all!W15*DTE_mission_minutes!W15,"-")</f>
        <v>2140.4341038095235</v>
      </c>
    </row>
    <row r="16" spans="1:22" x14ac:dyDescent="0.25">
      <c r="A16" s="59" t="s">
        <v>84</v>
      </c>
      <c r="B16" s="47" t="s">
        <v>56</v>
      </c>
      <c r="C16" s="128">
        <f>IFERROR(lifespans_all!D16*DTE_mission_minutes!D16,"-")</f>
        <v>2140.4341038095235</v>
      </c>
      <c r="D16" s="128">
        <f>IFERROR(lifespans_all!E16*DTE_mission_minutes!E16,"-")</f>
        <v>2140.4341038095235</v>
      </c>
      <c r="E16" s="128">
        <f>IFERROR(lifespans_all!F16*DTE_mission_minutes!F16,"-")</f>
        <v>2140.4341038095235</v>
      </c>
      <c r="F16" s="128">
        <f>IFERROR(lifespans_all!G16*DTE_mission_minutes!G16,"-")</f>
        <v>2140.4341038095235</v>
      </c>
      <c r="G16" s="128">
        <f>IFERROR(lifespans_all!H16*DTE_mission_minutes!H16,"-")</f>
        <v>2140.4341038095235</v>
      </c>
      <c r="H16" s="128">
        <f>IFERROR(lifespans_all!I16*DTE_mission_minutes!I16,"-")</f>
        <v>2140.4341038095235</v>
      </c>
      <c r="I16" s="128">
        <f>IFERROR(lifespans_all!J16*DTE_mission_minutes!J16,"-")</f>
        <v>2140.4341038095235</v>
      </c>
      <c r="J16" s="128">
        <f>IFERROR(lifespans_all!K16*DTE_mission_minutes!K16,"-")</f>
        <v>2140.4341038095235</v>
      </c>
      <c r="K16" s="128">
        <f>IFERROR(lifespans_all!L16*DTE_mission_minutes!L16,"-")</f>
        <v>2140.4341038095235</v>
      </c>
      <c r="L16" s="128">
        <f>IFERROR(lifespans_all!M16*DTE_mission_minutes!M16,"-")</f>
        <v>2140.4341038095235</v>
      </c>
      <c r="M16" s="128">
        <f>IFERROR(lifespans_all!N16*DTE_mission_minutes!N16,"-")</f>
        <v>2140.4341038095235</v>
      </c>
      <c r="N16" s="128">
        <f>IFERROR(lifespans_all!O16*DTE_mission_minutes!O16,"-")</f>
        <v>2140.4341038095235</v>
      </c>
      <c r="O16" s="128">
        <f>IFERROR(lifespans_all!P16*DTE_mission_minutes!P16,"-")</f>
        <v>2140.4341038095235</v>
      </c>
      <c r="P16" s="128">
        <f>IFERROR(lifespans_all!Q16*DTE_mission_minutes!Q16,"-")</f>
        <v>2140.4341038095235</v>
      </c>
      <c r="Q16" s="128">
        <f>IFERROR(lifespans_all!R16*DTE_mission_minutes!R16,"-")</f>
        <v>2140.4341038095235</v>
      </c>
      <c r="R16" s="128">
        <f>IFERROR(lifespans_all!S16*DTE_mission_minutes!S16,"-")</f>
        <v>2140.4341038095235</v>
      </c>
      <c r="S16" s="128">
        <f>IFERROR(lifespans_all!T16*DTE_mission_minutes!T16,"-")</f>
        <v>2140.4341038095235</v>
      </c>
      <c r="T16" s="128">
        <f>IFERROR(lifespans_all!U16*DTE_mission_minutes!U16,"-")</f>
        <v>2140.4341038095235</v>
      </c>
      <c r="U16" s="128">
        <f>IFERROR(lifespans_all!V16*DTE_mission_minutes!V16,"-")</f>
        <v>2140.4341038095235</v>
      </c>
      <c r="V16" s="128">
        <f>IFERROR(lifespans_all!W16*DTE_mission_minutes!W16,"-")</f>
        <v>2140.4341038095235</v>
      </c>
    </row>
    <row r="17" spans="1:22" x14ac:dyDescent="0.25">
      <c r="A17" s="59" t="s">
        <v>85</v>
      </c>
      <c r="B17" s="47" t="s">
        <v>56</v>
      </c>
      <c r="C17" s="128">
        <f>IFERROR(lifespans_all!D17*DTE_mission_minutes!D17,"-")</f>
        <v>2140.4341038095235</v>
      </c>
      <c r="D17" s="128">
        <f>IFERROR(lifespans_all!E17*DTE_mission_minutes!E17,"-")</f>
        <v>2140.4341038095235</v>
      </c>
      <c r="E17" s="128">
        <f>IFERROR(lifespans_all!F17*DTE_mission_minutes!F17,"-")</f>
        <v>2140.4341038095235</v>
      </c>
      <c r="F17" s="128">
        <f>IFERROR(lifespans_all!G17*DTE_mission_minutes!G17,"-")</f>
        <v>2140.4341038095235</v>
      </c>
      <c r="G17" s="128">
        <f>IFERROR(lifespans_all!H17*DTE_mission_minutes!H17,"-")</f>
        <v>2140.4341038095235</v>
      </c>
      <c r="H17" s="128">
        <f>IFERROR(lifespans_all!I17*DTE_mission_minutes!I17,"-")</f>
        <v>2140.4341038095235</v>
      </c>
      <c r="I17" s="128">
        <f>IFERROR(lifespans_all!J17*DTE_mission_minutes!J17,"-")</f>
        <v>2140.4341038095235</v>
      </c>
      <c r="J17" s="128">
        <f>IFERROR(lifespans_all!K17*DTE_mission_minutes!K17,"-")</f>
        <v>2140.4341038095235</v>
      </c>
      <c r="K17" s="128">
        <f>IFERROR(lifespans_all!L17*DTE_mission_minutes!L17,"-")</f>
        <v>2140.4341038095235</v>
      </c>
      <c r="L17" s="128">
        <f>IFERROR(lifespans_all!M17*DTE_mission_minutes!M17,"-")</f>
        <v>2140.4341038095235</v>
      </c>
      <c r="M17" s="128">
        <f>IFERROR(lifespans_all!N17*DTE_mission_minutes!N17,"-")</f>
        <v>2140.4341038095235</v>
      </c>
      <c r="N17" s="128">
        <f>IFERROR(lifespans_all!O17*DTE_mission_minutes!O17,"-")</f>
        <v>2140.4341038095235</v>
      </c>
      <c r="O17" s="128">
        <f>IFERROR(lifespans_all!P17*DTE_mission_minutes!P17,"-")</f>
        <v>2140.4341038095235</v>
      </c>
      <c r="P17" s="128">
        <f>IFERROR(lifespans_all!Q17*DTE_mission_minutes!Q17,"-")</f>
        <v>2140.4341038095235</v>
      </c>
      <c r="Q17" s="128">
        <f>IFERROR(lifespans_all!R17*DTE_mission_minutes!R17,"-")</f>
        <v>2140.4341038095235</v>
      </c>
      <c r="R17" s="128">
        <f>IFERROR(lifespans_all!S17*DTE_mission_minutes!S17,"-")</f>
        <v>2140.4341038095235</v>
      </c>
      <c r="S17" s="128">
        <f>IFERROR(lifespans_all!T17*DTE_mission_minutes!T17,"-")</f>
        <v>2140.4341038095235</v>
      </c>
      <c r="T17" s="128">
        <f>IFERROR(lifespans_all!U17*DTE_mission_minutes!U17,"-")</f>
        <v>2140.4341038095235</v>
      </c>
      <c r="U17" s="128">
        <f>IFERROR(lifespans_all!V17*DTE_mission_minutes!V17,"-")</f>
        <v>2140.4341038095235</v>
      </c>
      <c r="V17" s="128">
        <f>IFERROR(lifespans_all!W17*DTE_mission_minutes!W17,"-")</f>
        <v>2140.4341038095235</v>
      </c>
    </row>
    <row r="18" spans="1:22" x14ac:dyDescent="0.25">
      <c r="A18" s="59" t="s">
        <v>86</v>
      </c>
      <c r="B18" s="47" t="s">
        <v>56</v>
      </c>
      <c r="C18" s="128">
        <f>IFERROR(lifespans_all!D18*DTE_mission_minutes!D18,"-")</f>
        <v>2140.4341038095235</v>
      </c>
      <c r="D18" s="128">
        <f>IFERROR(lifespans_all!E18*DTE_mission_minutes!E18,"-")</f>
        <v>2140.4341038095235</v>
      </c>
      <c r="E18" s="128">
        <f>IFERROR(lifespans_all!F18*DTE_mission_minutes!F18,"-")</f>
        <v>2140.4341038095235</v>
      </c>
      <c r="F18" s="128">
        <f>IFERROR(lifespans_all!G18*DTE_mission_minutes!G18,"-")</f>
        <v>2140.4341038095235</v>
      </c>
      <c r="G18" s="128">
        <f>IFERROR(lifespans_all!H18*DTE_mission_minutes!H18,"-")</f>
        <v>2140.4341038095235</v>
      </c>
      <c r="H18" s="128">
        <f>IFERROR(lifespans_all!I18*DTE_mission_minutes!I18,"-")</f>
        <v>2140.4341038095235</v>
      </c>
      <c r="I18" s="128">
        <f>IFERROR(lifespans_all!J18*DTE_mission_minutes!J18,"-")</f>
        <v>2140.4341038095235</v>
      </c>
      <c r="J18" s="128">
        <f>IFERROR(lifespans_all!K18*DTE_mission_minutes!K18,"-")</f>
        <v>2140.4341038095235</v>
      </c>
      <c r="K18" s="128">
        <f>IFERROR(lifespans_all!L18*DTE_mission_minutes!L18,"-")</f>
        <v>2140.4341038095235</v>
      </c>
      <c r="L18" s="128">
        <f>IFERROR(lifespans_all!M18*DTE_mission_minutes!M18,"-")</f>
        <v>2140.4341038095235</v>
      </c>
      <c r="M18" s="128">
        <f>IFERROR(lifespans_all!N18*DTE_mission_minutes!N18,"-")</f>
        <v>2140.4341038095235</v>
      </c>
      <c r="N18" s="128">
        <f>IFERROR(lifespans_all!O18*DTE_mission_minutes!O18,"-")</f>
        <v>2140.4341038095235</v>
      </c>
      <c r="O18" s="128">
        <f>IFERROR(lifespans_all!P18*DTE_mission_minutes!P18,"-")</f>
        <v>2140.4341038095235</v>
      </c>
      <c r="P18" s="128">
        <f>IFERROR(lifespans_all!Q18*DTE_mission_minutes!Q18,"-")</f>
        <v>2140.4341038095235</v>
      </c>
      <c r="Q18" s="128">
        <f>IFERROR(lifespans_all!R18*DTE_mission_minutes!R18,"-")</f>
        <v>2140.4341038095235</v>
      </c>
      <c r="R18" s="128">
        <f>IFERROR(lifespans_all!S18*DTE_mission_minutes!S18,"-")</f>
        <v>2140.4341038095235</v>
      </c>
      <c r="S18" s="128">
        <f>IFERROR(lifespans_all!T18*DTE_mission_minutes!T18,"-")</f>
        <v>2140.4341038095235</v>
      </c>
      <c r="T18" s="128">
        <f>IFERROR(lifespans_all!U18*DTE_mission_minutes!U18,"-")</f>
        <v>2140.4341038095235</v>
      </c>
      <c r="U18" s="128">
        <f>IFERROR(lifespans_all!V18*DTE_mission_minutes!V18,"-")</f>
        <v>2140.4341038095235</v>
      </c>
      <c r="V18" s="128">
        <f>IFERROR(lifespans_all!W18*DTE_mission_minutes!W18,"-")</f>
        <v>2140.4341038095235</v>
      </c>
    </row>
    <row r="19" spans="1:22" x14ac:dyDescent="0.25">
      <c r="A19" s="46" t="s">
        <v>36</v>
      </c>
      <c r="B19" s="47" t="s">
        <v>57</v>
      </c>
      <c r="C19" s="128">
        <f>IFERROR(lifespans_all!D19*DTE_mission_minutes!D19,"-")</f>
        <v>3121.1464916666664</v>
      </c>
      <c r="D19" s="128">
        <f>IFERROR(lifespans_all!E19*DTE_mission_minutes!E19,"-")</f>
        <v>3157.8943527777778</v>
      </c>
      <c r="E19" s="128">
        <f>IFERROR(lifespans_all!F19*DTE_mission_minutes!F19,"-")</f>
        <v>2937.5030555555554</v>
      </c>
      <c r="F19" s="128">
        <f>IFERROR(lifespans_all!G19*DTE_mission_minutes!G19,"-")</f>
        <v>3137.9728877777775</v>
      </c>
      <c r="G19" s="128">
        <f>IFERROR(lifespans_all!H19*DTE_mission_minutes!H19,"-")</f>
        <v>3137.9728877777775</v>
      </c>
      <c r="H19" s="128">
        <f>IFERROR(lifespans_all!I19*DTE_mission_minutes!I19,"-")</f>
        <v>3137.9728877777775</v>
      </c>
      <c r="I19" s="128">
        <f>IFERROR(lifespans_all!J19*DTE_mission_minutes!J19,"-")</f>
        <v>3137.9728877777775</v>
      </c>
      <c r="J19" s="128">
        <f>IFERROR(lifespans_all!K19*DTE_mission_minutes!K19,"-")</f>
        <v>3137.9728877777775</v>
      </c>
      <c r="K19" s="128">
        <f>IFERROR(lifespans_all!L19*DTE_mission_minutes!L19,"-")</f>
        <v>3137.9728877777775</v>
      </c>
      <c r="L19" s="128">
        <f>IFERROR(lifespans_all!M19*DTE_mission_minutes!M19,"-")</f>
        <v>3137.9728877777775</v>
      </c>
      <c r="M19" s="128">
        <f>IFERROR(lifespans_all!N19*DTE_mission_minutes!N19,"-")</f>
        <v>3137.9728877777775</v>
      </c>
      <c r="N19" s="128">
        <f>IFERROR(lifespans_all!O19*DTE_mission_minutes!O19,"-")</f>
        <v>3137.9728877777775</v>
      </c>
      <c r="O19" s="128">
        <f>IFERROR(lifespans_all!P19*DTE_mission_minutes!P19,"-")</f>
        <v>3137.9728877777775</v>
      </c>
      <c r="P19" s="128">
        <f>IFERROR(lifespans_all!Q19*DTE_mission_minutes!Q19,"-")</f>
        <v>3137.9728877777775</v>
      </c>
      <c r="Q19" s="128">
        <f>IFERROR(lifespans_all!R19*DTE_mission_minutes!R19,"-")</f>
        <v>3137.9728877777775</v>
      </c>
      <c r="R19" s="128">
        <f>IFERROR(lifespans_all!S19*DTE_mission_minutes!S19,"-")</f>
        <v>3137.9728877777775</v>
      </c>
      <c r="S19" s="128">
        <f>IFERROR(lifespans_all!T19*DTE_mission_minutes!T19,"-")</f>
        <v>3137.9728877777775</v>
      </c>
      <c r="T19" s="128">
        <f>IFERROR(lifespans_all!U19*DTE_mission_minutes!U19,"-")</f>
        <v>3137.9728877777775</v>
      </c>
      <c r="U19" s="128">
        <f>IFERROR(lifespans_all!V19*DTE_mission_minutes!V19,"-")</f>
        <v>3137.9728877777775</v>
      </c>
      <c r="V19" s="128">
        <f>IFERROR(lifespans_all!W19*DTE_mission_minutes!W19,"-")</f>
        <v>3137.9728877777775</v>
      </c>
    </row>
    <row r="20" spans="1:22" x14ac:dyDescent="0.25">
      <c r="A20" s="46" t="s">
        <v>37</v>
      </c>
      <c r="B20" s="47" t="s">
        <v>57</v>
      </c>
      <c r="C20" s="128">
        <f>IFERROR(lifespans_all!D20*DTE_mission_minutes!D20,"-")</f>
        <v>3653.0924999999997</v>
      </c>
      <c r="D20" s="128">
        <f>IFERROR(lifespans_all!E20*DTE_mission_minutes!E20,"-")</f>
        <v>3468.0533333333337</v>
      </c>
      <c r="E20" s="128">
        <f>IFERROR(lifespans_all!F20*DTE_mission_minutes!F20,"-")</f>
        <v>3224.0014777777778</v>
      </c>
      <c r="F20" s="128">
        <f>IFERROR(lifespans_all!G20*DTE_mission_minutes!G20,"-")</f>
        <v>3454.7784394444448</v>
      </c>
      <c r="G20" s="128">
        <f>IFERROR(lifespans_all!H20*DTE_mission_minutes!H20,"-")</f>
        <v>3454.7784394444448</v>
      </c>
      <c r="H20" s="128">
        <f>IFERROR(lifespans_all!I20*DTE_mission_minutes!I20,"-")</f>
        <v>0</v>
      </c>
      <c r="I20" s="128">
        <f>IFERROR(lifespans_all!J20*DTE_mission_minutes!J20,"-")</f>
        <v>0</v>
      </c>
      <c r="J20" s="128">
        <f>IFERROR(lifespans_all!K20*DTE_mission_minutes!K20,"-")</f>
        <v>0</v>
      </c>
      <c r="K20" s="128">
        <f>IFERROR(lifespans_all!L20*DTE_mission_minutes!L20,"-")</f>
        <v>0</v>
      </c>
      <c r="L20" s="128">
        <f>IFERROR(lifespans_all!M20*DTE_mission_minutes!M20,"-")</f>
        <v>0</v>
      </c>
      <c r="M20" s="128">
        <f>IFERROR(lifespans_all!N20*DTE_mission_minutes!N20,"-")</f>
        <v>0</v>
      </c>
      <c r="N20" s="128">
        <f>IFERROR(lifespans_all!O20*DTE_mission_minutes!O20,"-")</f>
        <v>0</v>
      </c>
      <c r="O20" s="128">
        <f>IFERROR(lifespans_all!P20*DTE_mission_minutes!P20,"-")</f>
        <v>0</v>
      </c>
      <c r="P20" s="128">
        <f>IFERROR(lifespans_all!Q20*DTE_mission_minutes!Q20,"-")</f>
        <v>0</v>
      </c>
      <c r="Q20" s="128">
        <f>IFERROR(lifespans_all!R20*DTE_mission_minutes!R20,"-")</f>
        <v>0</v>
      </c>
      <c r="R20" s="128">
        <f>IFERROR(lifespans_all!S20*DTE_mission_minutes!S20,"-")</f>
        <v>0</v>
      </c>
      <c r="S20" s="128">
        <f>IFERROR(lifespans_all!T20*DTE_mission_minutes!T20,"-")</f>
        <v>0</v>
      </c>
      <c r="T20" s="128">
        <f>IFERROR(lifespans_all!U20*DTE_mission_minutes!U20,"-")</f>
        <v>0</v>
      </c>
      <c r="U20" s="128">
        <f>IFERROR(lifespans_all!V20*DTE_mission_minutes!V20,"-")</f>
        <v>0</v>
      </c>
      <c r="V20" s="128">
        <f>IFERROR(lifespans_all!W20*DTE_mission_minutes!W20,"-")</f>
        <v>0</v>
      </c>
    </row>
    <row r="21" spans="1:22" x14ac:dyDescent="0.25">
      <c r="A21" s="46" t="s">
        <v>40</v>
      </c>
      <c r="B21" s="60" t="s">
        <v>58</v>
      </c>
      <c r="C21" s="128">
        <f>IFERROR(lifespans_all!D21*DTE_mission_minutes!D21,"-")</f>
        <v>0</v>
      </c>
      <c r="D21" s="128">
        <f>IFERROR(lifespans_all!E21*DTE_mission_minutes!E21,"-")</f>
        <v>0</v>
      </c>
      <c r="E21" s="128">
        <f>IFERROR(lifespans_all!F21*DTE_mission_minutes!F21,"-")</f>
        <v>0</v>
      </c>
      <c r="F21" s="128">
        <f>IFERROR(lifespans_all!G21*DTE_mission_minutes!G21,"-")</f>
        <v>0</v>
      </c>
      <c r="G21" s="128">
        <f>IFERROR(lifespans_all!H21*DTE_mission_minutes!H21,"-")</f>
        <v>0</v>
      </c>
      <c r="H21" s="128">
        <f>IFERROR(lifespans_all!I21*DTE_mission_minutes!I21,"-")</f>
        <v>0</v>
      </c>
      <c r="I21" s="128">
        <f>IFERROR(lifespans_all!J21*DTE_mission_minutes!J21,"-")</f>
        <v>0</v>
      </c>
      <c r="J21" s="128">
        <f>IFERROR(lifespans_all!K21*DTE_mission_minutes!K21,"-")</f>
        <v>0</v>
      </c>
      <c r="K21" s="128">
        <f>IFERROR(lifespans_all!L21*DTE_mission_minutes!L21,"-")</f>
        <v>0</v>
      </c>
      <c r="L21" s="128">
        <f>IFERROR(lifespans_all!M21*DTE_mission_minutes!M21,"-")</f>
        <v>0</v>
      </c>
      <c r="M21" s="128">
        <f>IFERROR(lifespans_all!N21*DTE_mission_minutes!N21,"-")</f>
        <v>0</v>
      </c>
      <c r="N21" s="128">
        <f>IFERROR(lifespans_all!O21*DTE_mission_minutes!O21,"-")</f>
        <v>0</v>
      </c>
      <c r="O21" s="128">
        <f>IFERROR(lifespans_all!P21*DTE_mission_minutes!P21,"-")</f>
        <v>0</v>
      </c>
      <c r="P21" s="128">
        <f>IFERROR(lifespans_all!Q21*DTE_mission_minutes!Q21,"-")</f>
        <v>0</v>
      </c>
      <c r="Q21" s="128">
        <f>IFERROR(lifespans_all!R21*DTE_mission_minutes!R21,"-")</f>
        <v>0</v>
      </c>
      <c r="R21" s="128">
        <f>IFERROR(lifespans_all!S21*DTE_mission_minutes!S21,"-")</f>
        <v>0</v>
      </c>
      <c r="S21" s="128">
        <f>IFERROR(lifespans_all!T21*DTE_mission_minutes!T21,"-")</f>
        <v>0</v>
      </c>
      <c r="T21" s="128">
        <f>IFERROR(lifespans_all!U21*DTE_mission_minutes!U21,"-")</f>
        <v>0</v>
      </c>
      <c r="U21" s="128">
        <f>IFERROR(lifespans_all!V21*DTE_mission_minutes!V21,"-")</f>
        <v>0</v>
      </c>
      <c r="V21" s="128">
        <f>IFERROR(lifespans_all!W21*DTE_mission_minutes!W21,"-")</f>
        <v>0</v>
      </c>
    </row>
    <row r="22" spans="1:22" x14ac:dyDescent="0.25">
      <c r="A22" s="46" t="s">
        <v>73</v>
      </c>
      <c r="B22" s="47" t="s">
        <v>57</v>
      </c>
      <c r="C22" s="128">
        <f>IFERROR(lifespans_all!D22*DTE_mission_minutes!D22,"-")</f>
        <v>133409.35004928565</v>
      </c>
      <c r="D22" s="128">
        <f>IFERROR(lifespans_all!E22*DTE_mission_minutes!E22,"-")</f>
        <v>133409.35004928565</v>
      </c>
      <c r="E22" s="128">
        <f>IFERROR(lifespans_all!F22*DTE_mission_minutes!F22,"-")</f>
        <v>133409.35004928565</v>
      </c>
      <c r="F22" s="128">
        <f>IFERROR(lifespans_all!G22*DTE_mission_minutes!G22,"-")</f>
        <v>133409.35004928565</v>
      </c>
      <c r="G22" s="128">
        <f>IFERROR(lifespans_all!H22*DTE_mission_minutes!H22,"-")</f>
        <v>133409.35004928565</v>
      </c>
      <c r="H22" s="128">
        <f>IFERROR(lifespans_all!I22*DTE_mission_minutes!I22,"-")</f>
        <v>0</v>
      </c>
      <c r="I22" s="128">
        <f>IFERROR(lifespans_all!J22*DTE_mission_minutes!J22,"-")</f>
        <v>0</v>
      </c>
      <c r="J22" s="128">
        <f>IFERROR(lifespans_all!K22*DTE_mission_minutes!K22,"-")</f>
        <v>0</v>
      </c>
      <c r="K22" s="128">
        <f>IFERROR(lifespans_all!L22*DTE_mission_minutes!L22,"-")</f>
        <v>0</v>
      </c>
      <c r="L22" s="128">
        <f>IFERROR(lifespans_all!M22*DTE_mission_minutes!M22,"-")</f>
        <v>0</v>
      </c>
      <c r="M22" s="128">
        <f>IFERROR(lifespans_all!N22*DTE_mission_minutes!N22,"-")</f>
        <v>0</v>
      </c>
      <c r="N22" s="128">
        <f>IFERROR(lifespans_all!O22*DTE_mission_minutes!O22,"-")</f>
        <v>0</v>
      </c>
      <c r="O22" s="128">
        <f>IFERROR(lifespans_all!P22*DTE_mission_minutes!P22,"-")</f>
        <v>0</v>
      </c>
      <c r="P22" s="128">
        <f>IFERROR(lifespans_all!Q22*DTE_mission_minutes!Q22,"-")</f>
        <v>0</v>
      </c>
      <c r="Q22" s="128">
        <f>IFERROR(lifespans_all!R22*DTE_mission_minutes!R22,"-")</f>
        <v>0</v>
      </c>
      <c r="R22" s="128">
        <f>IFERROR(lifespans_all!S22*DTE_mission_minutes!S22,"-")</f>
        <v>0</v>
      </c>
      <c r="S22" s="128">
        <f>IFERROR(lifespans_all!T22*DTE_mission_minutes!T22,"-")</f>
        <v>0</v>
      </c>
      <c r="T22" s="128">
        <f>IFERROR(lifespans_all!U22*DTE_mission_minutes!U22,"-")</f>
        <v>0</v>
      </c>
      <c r="U22" s="128">
        <f>IFERROR(lifespans_all!V22*DTE_mission_minutes!V22,"-")</f>
        <v>0</v>
      </c>
      <c r="V22" s="128">
        <f>IFERROR(lifespans_all!W22*DTE_mission_minutes!W22,"-")</f>
        <v>0</v>
      </c>
    </row>
    <row r="23" spans="1:22" x14ac:dyDescent="0.25">
      <c r="A23" s="46" t="s">
        <v>38</v>
      </c>
      <c r="B23" s="47" t="s">
        <v>57</v>
      </c>
      <c r="C23" s="128">
        <f>IFERROR(lifespans_all!D23*DTE_mission_minutes!D23,"-")</f>
        <v>21.986611111111113</v>
      </c>
      <c r="D23" s="128">
        <f>IFERROR(lifespans_all!E23*DTE_mission_minutes!E23,"-")</f>
        <v>1.1333333333333333</v>
      </c>
      <c r="E23" s="128">
        <f>IFERROR(lifespans_all!F23*DTE_mission_minutes!F23,"-")</f>
        <v>3.7333333333333334</v>
      </c>
      <c r="F23" s="128">
        <f>IFERROR(lifespans_all!G23*DTE_mission_minutes!G23,"-")</f>
        <v>23.303841111111115</v>
      </c>
      <c r="G23" s="128">
        <f>IFERROR(lifespans_all!H23*DTE_mission_minutes!H23,"-")</f>
        <v>0</v>
      </c>
      <c r="H23" s="128">
        <f>IFERROR(lifespans_all!I23*DTE_mission_minutes!I23,"-")</f>
        <v>0</v>
      </c>
      <c r="I23" s="128">
        <f>IFERROR(lifespans_all!J23*DTE_mission_minutes!J23,"-")</f>
        <v>0</v>
      </c>
      <c r="J23" s="128">
        <f>IFERROR(lifespans_all!K23*DTE_mission_minutes!K23,"-")</f>
        <v>0</v>
      </c>
      <c r="K23" s="128">
        <f>IFERROR(lifespans_all!L23*DTE_mission_minutes!L23,"-")</f>
        <v>0</v>
      </c>
      <c r="L23" s="128">
        <f>IFERROR(lifespans_all!M23*DTE_mission_minutes!M23,"-")</f>
        <v>0</v>
      </c>
      <c r="M23" s="128">
        <f>IFERROR(lifespans_all!N23*DTE_mission_minutes!N23,"-")</f>
        <v>0</v>
      </c>
      <c r="N23" s="128">
        <f>IFERROR(lifespans_all!O23*DTE_mission_minutes!O23,"-")</f>
        <v>0</v>
      </c>
      <c r="O23" s="128">
        <f>IFERROR(lifespans_all!P23*DTE_mission_minutes!P23,"-")</f>
        <v>0</v>
      </c>
      <c r="P23" s="128">
        <f>IFERROR(lifespans_all!Q23*DTE_mission_minutes!Q23,"-")</f>
        <v>0</v>
      </c>
      <c r="Q23" s="128">
        <f>IFERROR(lifespans_all!R23*DTE_mission_minutes!R23,"-")</f>
        <v>0</v>
      </c>
      <c r="R23" s="128">
        <f>IFERROR(lifespans_all!S23*DTE_mission_minutes!S23,"-")</f>
        <v>0</v>
      </c>
      <c r="S23" s="128">
        <f>IFERROR(lifespans_all!T23*DTE_mission_minutes!T23,"-")</f>
        <v>0</v>
      </c>
      <c r="T23" s="128">
        <f>IFERROR(lifespans_all!U23*DTE_mission_minutes!U23,"-")</f>
        <v>0</v>
      </c>
      <c r="U23" s="128">
        <f>IFERROR(lifespans_all!V23*DTE_mission_minutes!V23,"-")</f>
        <v>0</v>
      </c>
      <c r="V23" s="128">
        <f>IFERROR(lifespans_all!W23*DTE_mission_minutes!W23,"-")</f>
        <v>0</v>
      </c>
    </row>
    <row r="24" spans="1:22" s="81" customFormat="1" x14ac:dyDescent="0.25">
      <c r="A24" s="122" t="s">
        <v>39</v>
      </c>
      <c r="B24" s="123" t="s">
        <v>59</v>
      </c>
      <c r="C24" s="128">
        <f>IFERROR(lifespans_all!D24*DTE_mission_minutes!D24,"-")</f>
        <v>7757.52</v>
      </c>
      <c r="D24" s="128">
        <f>IFERROR(lifespans_all!E24*DTE_mission_minutes!E24,"-")</f>
        <v>7884.0724999999993</v>
      </c>
      <c r="E24" s="128">
        <f>IFERROR(lifespans_all!F24*DTE_mission_minutes!F24,"-")</f>
        <v>7411.0455555555554</v>
      </c>
      <c r="F24" s="128">
        <f>IFERROR(lifespans_all!G24*DTE_mission_minutes!G24,"-")</f>
        <v>7749.4853583333334</v>
      </c>
      <c r="G24" s="128">
        <f>IFERROR(lifespans_all!H24*DTE_mission_minutes!H24,"-")</f>
        <v>7749.4853583333334</v>
      </c>
      <c r="H24" s="128">
        <f>IFERROR(lifespans_all!I24*DTE_mission_minutes!I24,"-")</f>
        <v>7749.4853583333334</v>
      </c>
      <c r="I24" s="128">
        <f>IFERROR(lifespans_all!J24*DTE_mission_minutes!J24,"-")</f>
        <v>7749.4853583333334</v>
      </c>
      <c r="J24" s="128">
        <f>IFERROR(lifespans_all!K24*DTE_mission_minutes!K24,"-")</f>
        <v>7749.4853583333334</v>
      </c>
      <c r="K24" s="128">
        <f>IFERROR(lifespans_all!L24*DTE_mission_minutes!L24,"-")</f>
        <v>7749.4853583333334</v>
      </c>
      <c r="L24" s="128">
        <f>IFERROR(lifespans_all!M24*DTE_mission_minutes!M24,"-")</f>
        <v>7749.4853583333334</v>
      </c>
      <c r="M24" s="128">
        <f>IFERROR(lifespans_all!N24*DTE_mission_minutes!N24,"-")</f>
        <v>0</v>
      </c>
      <c r="N24" s="128">
        <f>IFERROR(lifespans_all!O24*DTE_mission_minutes!O24,"-")</f>
        <v>0</v>
      </c>
      <c r="O24" s="128">
        <f>IFERROR(lifespans_all!P24*DTE_mission_minutes!P24,"-")</f>
        <v>0</v>
      </c>
      <c r="P24" s="128">
        <f>IFERROR(lifespans_all!Q24*DTE_mission_minutes!Q24,"-")</f>
        <v>0</v>
      </c>
      <c r="Q24" s="128">
        <f>IFERROR(lifespans_all!R24*DTE_mission_minutes!R24,"-")</f>
        <v>0</v>
      </c>
      <c r="R24" s="128">
        <f>IFERROR(lifespans_all!S24*DTE_mission_minutes!S24,"-")</f>
        <v>0</v>
      </c>
      <c r="S24" s="128">
        <f>IFERROR(lifespans_all!T24*DTE_mission_minutes!T24,"-")</f>
        <v>0</v>
      </c>
      <c r="T24" s="128">
        <f>IFERROR(lifespans_all!U24*DTE_mission_minutes!U24,"-")</f>
        <v>0</v>
      </c>
      <c r="U24" s="128">
        <f>IFERROR(lifespans_all!V24*DTE_mission_minutes!V24,"-")</f>
        <v>0</v>
      </c>
      <c r="V24" s="128">
        <f>IFERROR(lifespans_all!W24*DTE_mission_minutes!W24,"-")</f>
        <v>0</v>
      </c>
    </row>
    <row r="25" spans="1:22" x14ac:dyDescent="0.25">
      <c r="A25" s="46" t="s">
        <v>41</v>
      </c>
      <c r="B25" s="47" t="s">
        <v>60</v>
      </c>
      <c r="C25" s="128">
        <f>IFERROR(lifespans_all!D25*DTE_mission_minutes!D25,"-")</f>
        <v>0</v>
      </c>
      <c r="D25" s="128">
        <f>IFERROR(lifespans_all!E25*DTE_mission_minutes!E25,"-")</f>
        <v>0</v>
      </c>
      <c r="E25" s="128">
        <f>IFERROR(lifespans_all!F25*DTE_mission_minutes!F25,"-")</f>
        <v>0</v>
      </c>
      <c r="F25" s="128">
        <f>IFERROR(lifespans_all!G25*DTE_mission_minutes!G25,"-")</f>
        <v>0</v>
      </c>
      <c r="G25" s="128">
        <f>IFERROR(lifespans_all!H25*DTE_mission_minutes!H25,"-")</f>
        <v>0</v>
      </c>
      <c r="H25" s="128">
        <f>IFERROR(lifespans_all!I25*DTE_mission_minutes!I25,"-")</f>
        <v>0</v>
      </c>
      <c r="I25" s="128">
        <f>IFERROR(lifespans_all!J25*DTE_mission_minutes!J25,"-")</f>
        <v>0</v>
      </c>
      <c r="J25" s="128">
        <f>IFERROR(lifespans_all!K25*DTE_mission_minutes!K25,"-")</f>
        <v>0</v>
      </c>
      <c r="K25" s="128">
        <f>IFERROR(lifespans_all!L25*DTE_mission_minutes!L25,"-")</f>
        <v>0</v>
      </c>
      <c r="L25" s="128">
        <f>IFERROR(lifespans_all!M25*DTE_mission_minutes!M25,"-")</f>
        <v>0</v>
      </c>
      <c r="M25" s="128">
        <f>IFERROR(lifespans_all!N25*DTE_mission_minutes!N25,"-")</f>
        <v>0</v>
      </c>
      <c r="N25" s="128">
        <f>IFERROR(lifespans_all!O25*DTE_mission_minutes!O25,"-")</f>
        <v>0</v>
      </c>
      <c r="O25" s="128">
        <f>IFERROR(lifespans_all!P25*DTE_mission_minutes!P25,"-")</f>
        <v>0</v>
      </c>
      <c r="P25" s="128">
        <f>IFERROR(lifespans_all!Q25*DTE_mission_minutes!Q25,"-")</f>
        <v>0</v>
      </c>
      <c r="Q25" s="128">
        <f>IFERROR(lifespans_all!R25*DTE_mission_minutes!R25,"-")</f>
        <v>0</v>
      </c>
      <c r="R25" s="128">
        <f>IFERROR(lifespans_all!S25*DTE_mission_minutes!S25,"-")</f>
        <v>0</v>
      </c>
      <c r="S25" s="128">
        <f>IFERROR(lifespans_all!T25*DTE_mission_minutes!T25,"-")</f>
        <v>0</v>
      </c>
      <c r="T25" s="128">
        <f>IFERROR(lifespans_all!U25*DTE_mission_minutes!U25,"-")</f>
        <v>0</v>
      </c>
      <c r="U25" s="128">
        <f>IFERROR(lifespans_all!V25*DTE_mission_minutes!V25,"-")</f>
        <v>0</v>
      </c>
      <c r="V25" s="128">
        <f>IFERROR(lifespans_all!W25*DTE_mission_minutes!W25,"-")</f>
        <v>0</v>
      </c>
    </row>
    <row r="26" spans="1:22" x14ac:dyDescent="0.25">
      <c r="A26" s="46" t="s">
        <v>74</v>
      </c>
      <c r="B26" s="47" t="s">
        <v>57</v>
      </c>
      <c r="C26" s="128">
        <f>IFERROR(lifespans_all!D26*DTE_mission_minutes!D26,"-")</f>
        <v>133409.35004928565</v>
      </c>
      <c r="D26" s="128">
        <f>IFERROR(lifespans_all!E26*DTE_mission_minutes!E26,"-")</f>
        <v>0</v>
      </c>
      <c r="E26" s="128">
        <f>IFERROR(lifespans_all!F26*DTE_mission_minutes!F26,"-")</f>
        <v>0</v>
      </c>
      <c r="F26" s="128">
        <f>IFERROR(lifespans_all!G26*DTE_mission_minutes!G26,"-")</f>
        <v>0</v>
      </c>
      <c r="G26" s="128">
        <f>IFERROR(lifespans_all!H26*DTE_mission_minutes!H26,"-")</f>
        <v>0</v>
      </c>
      <c r="H26" s="128">
        <f>IFERROR(lifespans_all!I26*DTE_mission_minutes!I26,"-")</f>
        <v>0</v>
      </c>
      <c r="I26" s="128">
        <f>IFERROR(lifespans_all!J26*DTE_mission_minutes!J26,"-")</f>
        <v>0</v>
      </c>
      <c r="J26" s="128">
        <f>IFERROR(lifespans_all!K26*DTE_mission_minutes!K26,"-")</f>
        <v>0</v>
      </c>
      <c r="K26" s="128">
        <f>IFERROR(lifespans_all!L26*DTE_mission_minutes!L26,"-")</f>
        <v>0</v>
      </c>
      <c r="L26" s="128">
        <f>IFERROR(lifespans_all!M26*DTE_mission_minutes!M26,"-")</f>
        <v>0</v>
      </c>
      <c r="M26" s="128">
        <f>IFERROR(lifespans_all!N26*DTE_mission_minutes!N26,"-")</f>
        <v>0</v>
      </c>
      <c r="N26" s="128">
        <f>IFERROR(lifespans_all!O26*DTE_mission_minutes!O26,"-")</f>
        <v>0</v>
      </c>
      <c r="O26" s="128">
        <f>IFERROR(lifespans_all!P26*DTE_mission_minutes!P26,"-")</f>
        <v>0</v>
      </c>
      <c r="P26" s="128">
        <f>IFERROR(lifespans_all!Q26*DTE_mission_minutes!Q26,"-")</f>
        <v>0</v>
      </c>
      <c r="Q26" s="128">
        <f>IFERROR(lifespans_all!R26*DTE_mission_minutes!R26,"-")</f>
        <v>0</v>
      </c>
      <c r="R26" s="128">
        <f>IFERROR(lifespans_all!S26*DTE_mission_minutes!S26,"-")</f>
        <v>0</v>
      </c>
      <c r="S26" s="128">
        <f>IFERROR(lifespans_all!T26*DTE_mission_minutes!T26,"-")</f>
        <v>0</v>
      </c>
      <c r="T26" s="128">
        <f>IFERROR(lifespans_all!U26*DTE_mission_minutes!U26,"-")</f>
        <v>0</v>
      </c>
      <c r="U26" s="128">
        <f>IFERROR(lifespans_all!V26*DTE_mission_minutes!V26,"-")</f>
        <v>0</v>
      </c>
      <c r="V26" s="128">
        <f>IFERROR(lifespans_all!W26*DTE_mission_minutes!W26,"-")</f>
        <v>0</v>
      </c>
    </row>
    <row r="27" spans="1:22" x14ac:dyDescent="0.25">
      <c r="A27" s="46" t="s">
        <v>75</v>
      </c>
      <c r="B27" s="47" t="s">
        <v>57</v>
      </c>
      <c r="C27" s="128">
        <f>IFERROR(lifespans_all!D27*DTE_mission_minutes!D27,"-")</f>
        <v>133409.35004928565</v>
      </c>
      <c r="D27" s="128">
        <f>IFERROR(lifespans_all!E27*DTE_mission_minutes!E27,"-")</f>
        <v>133409.35004928565</v>
      </c>
      <c r="E27" s="128">
        <f>IFERROR(lifespans_all!F27*DTE_mission_minutes!F27,"-")</f>
        <v>133409.35004928565</v>
      </c>
      <c r="F27" s="128">
        <f>IFERROR(lifespans_all!G27*DTE_mission_minutes!G27,"-")</f>
        <v>0</v>
      </c>
      <c r="G27" s="128">
        <f>IFERROR(lifespans_all!H27*DTE_mission_minutes!H27,"-")</f>
        <v>0</v>
      </c>
      <c r="H27" s="128">
        <f>IFERROR(lifespans_all!I27*DTE_mission_minutes!I27,"-")</f>
        <v>0</v>
      </c>
      <c r="I27" s="128">
        <f>IFERROR(lifespans_all!J27*DTE_mission_minutes!J27,"-")</f>
        <v>0</v>
      </c>
      <c r="J27" s="128">
        <f>IFERROR(lifespans_all!K27*DTE_mission_minutes!K27,"-")</f>
        <v>0</v>
      </c>
      <c r="K27" s="128">
        <f>IFERROR(lifespans_all!L27*DTE_mission_minutes!L27,"-")</f>
        <v>0</v>
      </c>
      <c r="L27" s="128">
        <f>IFERROR(lifespans_all!M27*DTE_mission_minutes!M27,"-")</f>
        <v>0</v>
      </c>
      <c r="M27" s="128">
        <f>IFERROR(lifespans_all!N27*DTE_mission_minutes!N27,"-")</f>
        <v>0</v>
      </c>
      <c r="N27" s="128">
        <f>IFERROR(lifespans_all!O27*DTE_mission_minutes!O27,"-")</f>
        <v>0</v>
      </c>
      <c r="O27" s="128">
        <f>IFERROR(lifespans_all!P27*DTE_mission_minutes!P27,"-")</f>
        <v>0</v>
      </c>
      <c r="P27" s="128">
        <f>IFERROR(lifespans_all!Q27*DTE_mission_minutes!Q27,"-")</f>
        <v>0</v>
      </c>
      <c r="Q27" s="128">
        <f>IFERROR(lifespans_all!R27*DTE_mission_minutes!R27,"-")</f>
        <v>0</v>
      </c>
      <c r="R27" s="128">
        <f>IFERROR(lifespans_all!S27*DTE_mission_minutes!S27,"-")</f>
        <v>0</v>
      </c>
      <c r="S27" s="128">
        <f>IFERROR(lifespans_all!T27*DTE_mission_minutes!T27,"-")</f>
        <v>0</v>
      </c>
      <c r="T27" s="128">
        <f>IFERROR(lifespans_all!U27*DTE_mission_minutes!U27,"-")</f>
        <v>0</v>
      </c>
      <c r="U27" s="128">
        <f>IFERROR(lifespans_all!V27*DTE_mission_minutes!V27,"-")</f>
        <v>0</v>
      </c>
      <c r="V27" s="128">
        <f>IFERROR(lifespans_all!W27*DTE_mission_minutes!W27,"-")</f>
        <v>0</v>
      </c>
    </row>
    <row r="28" spans="1:22" x14ac:dyDescent="0.25">
      <c r="A28" s="46" t="s">
        <v>76</v>
      </c>
      <c r="B28" s="47" t="s">
        <v>57</v>
      </c>
      <c r="C28" s="128">
        <f>IFERROR(lifespans_all!D28*DTE_mission_minutes!D28,"-")</f>
        <v>133409.35004928565</v>
      </c>
      <c r="D28" s="128">
        <f>IFERROR(lifespans_all!E28*DTE_mission_minutes!E28,"-")</f>
        <v>133409.35004928565</v>
      </c>
      <c r="E28" s="128">
        <f>IFERROR(lifespans_all!F28*DTE_mission_minutes!F28,"-")</f>
        <v>133409.35004928565</v>
      </c>
      <c r="F28" s="128">
        <f>IFERROR(lifespans_all!G28*DTE_mission_minutes!G28,"-")</f>
        <v>133409.35004928565</v>
      </c>
      <c r="G28" s="128">
        <f>IFERROR(lifespans_all!H28*DTE_mission_minutes!H28,"-")</f>
        <v>133409.35004928565</v>
      </c>
      <c r="H28" s="128">
        <f>IFERROR(lifespans_all!I28*DTE_mission_minutes!I28,"-")</f>
        <v>133409.35004928565</v>
      </c>
      <c r="I28" s="128">
        <f>IFERROR(lifespans_all!J28*DTE_mission_minutes!J28,"-")</f>
        <v>0</v>
      </c>
      <c r="J28" s="128">
        <f>IFERROR(lifespans_all!K28*DTE_mission_minutes!K28,"-")</f>
        <v>0</v>
      </c>
      <c r="K28" s="128">
        <f>IFERROR(lifespans_all!L28*DTE_mission_minutes!L28,"-")</f>
        <v>0</v>
      </c>
      <c r="L28" s="128">
        <f>IFERROR(lifespans_all!M28*DTE_mission_minutes!M28,"-")</f>
        <v>0</v>
      </c>
      <c r="M28" s="128">
        <f>IFERROR(lifespans_all!N28*DTE_mission_minutes!N28,"-")</f>
        <v>0</v>
      </c>
      <c r="N28" s="128">
        <f>IFERROR(lifespans_all!O28*DTE_mission_minutes!O28,"-")</f>
        <v>0</v>
      </c>
      <c r="O28" s="128">
        <f>IFERROR(lifespans_all!P28*DTE_mission_minutes!P28,"-")</f>
        <v>0</v>
      </c>
      <c r="P28" s="128">
        <f>IFERROR(lifespans_all!Q28*DTE_mission_minutes!Q28,"-")</f>
        <v>0</v>
      </c>
      <c r="Q28" s="128">
        <f>IFERROR(lifespans_all!R28*DTE_mission_minutes!R28,"-")</f>
        <v>0</v>
      </c>
      <c r="R28" s="128">
        <f>IFERROR(lifespans_all!S28*DTE_mission_minutes!S28,"-")</f>
        <v>0</v>
      </c>
      <c r="S28" s="128">
        <f>IFERROR(lifespans_all!T28*DTE_mission_minutes!T28,"-")</f>
        <v>0</v>
      </c>
      <c r="T28" s="128">
        <f>IFERROR(lifespans_all!U28*DTE_mission_minutes!U28,"-")</f>
        <v>0</v>
      </c>
      <c r="U28" s="128">
        <f>IFERROR(lifespans_all!V28*DTE_mission_minutes!V28,"-")</f>
        <v>0</v>
      </c>
      <c r="V28" s="128">
        <f>IFERROR(lifespans_all!W28*DTE_mission_minutes!W28,"-")</f>
        <v>0</v>
      </c>
    </row>
    <row r="29" spans="1:22" x14ac:dyDescent="0.25">
      <c r="A29" s="46" t="s">
        <v>42</v>
      </c>
      <c r="B29" s="54" t="s">
        <v>61</v>
      </c>
      <c r="C29" s="128">
        <f>IFERROR(lifespans_all!D29*DTE_mission_minutes!D29,"-")</f>
        <v>89453.837836666688</v>
      </c>
      <c r="D29" s="128">
        <f>IFERROR(lifespans_all!E29*DTE_mission_minutes!E29,"-")</f>
        <v>89453.837836666688</v>
      </c>
      <c r="E29" s="128">
        <f>IFERROR(lifespans_all!F29*DTE_mission_minutes!F29,"-")</f>
        <v>89453.837836666688</v>
      </c>
      <c r="F29" s="128">
        <f>IFERROR(lifespans_all!G29*DTE_mission_minutes!G29,"-")</f>
        <v>89453.837836666688</v>
      </c>
      <c r="G29" s="128">
        <f>IFERROR(lifespans_all!H29*DTE_mission_minutes!H29,"-")</f>
        <v>89453.837836666688</v>
      </c>
      <c r="H29" s="128">
        <f>IFERROR(lifespans_all!I29*DTE_mission_minutes!I29,"-")</f>
        <v>89453.837836666688</v>
      </c>
      <c r="I29" s="128">
        <f>IFERROR(lifespans_all!J29*DTE_mission_minutes!J29,"-")</f>
        <v>89453.837836666688</v>
      </c>
      <c r="J29" s="128">
        <f>IFERROR(lifespans_all!K29*DTE_mission_minutes!K29,"-")</f>
        <v>89453.837836666688</v>
      </c>
      <c r="K29" s="128">
        <f>IFERROR(lifespans_all!L29*DTE_mission_minutes!L29,"-")</f>
        <v>89453.837836666688</v>
      </c>
      <c r="L29" s="128">
        <f>IFERROR(lifespans_all!M29*DTE_mission_minutes!M29,"-")</f>
        <v>89453.837836666688</v>
      </c>
      <c r="M29" s="128">
        <f>IFERROR(lifespans_all!N29*DTE_mission_minutes!N29,"-")</f>
        <v>89453.837836666688</v>
      </c>
      <c r="N29" s="128">
        <f>IFERROR(lifespans_all!O29*DTE_mission_minutes!O29,"-")</f>
        <v>89453.837836666688</v>
      </c>
      <c r="O29" s="128">
        <f>IFERROR(lifespans_all!P29*DTE_mission_minutes!P29,"-")</f>
        <v>89453.837836666688</v>
      </c>
      <c r="P29" s="128">
        <f>IFERROR(lifespans_all!Q29*DTE_mission_minutes!Q29,"-")</f>
        <v>89453.837836666688</v>
      </c>
      <c r="Q29" s="128">
        <f>IFERROR(lifespans_all!R29*DTE_mission_minutes!R29,"-")</f>
        <v>89453.837836666688</v>
      </c>
      <c r="R29" s="128">
        <f>IFERROR(lifespans_all!S29*DTE_mission_minutes!S29,"-")</f>
        <v>89453.837836666688</v>
      </c>
      <c r="S29" s="128">
        <f>IFERROR(lifespans_all!T29*DTE_mission_minutes!T29,"-")</f>
        <v>89453.837836666688</v>
      </c>
      <c r="T29" s="128">
        <f>IFERROR(lifespans_all!U29*DTE_mission_minutes!U29,"-")</f>
        <v>89453.837836666688</v>
      </c>
      <c r="U29" s="128">
        <f>IFERROR(lifespans_all!V29*DTE_mission_minutes!V29,"-")</f>
        <v>89453.837836666688</v>
      </c>
      <c r="V29" s="128">
        <f>IFERROR(lifespans_all!W29*DTE_mission_minutes!W29,"-")</f>
        <v>89453.837836666688</v>
      </c>
    </row>
    <row r="30" spans="1:22" x14ac:dyDescent="0.25">
      <c r="A30" s="46" t="s">
        <v>77</v>
      </c>
      <c r="B30" s="54" t="s">
        <v>58</v>
      </c>
      <c r="C30" s="128">
        <f>IFERROR(lifespans_all!D30*DTE_mission_minutes!D30,"-")</f>
        <v>721.11352444444435</v>
      </c>
      <c r="D30" s="128">
        <f>IFERROR(lifespans_all!E30*DTE_mission_minutes!E30,"-")</f>
        <v>721.11352444444435</v>
      </c>
      <c r="E30" s="128">
        <f>IFERROR(lifespans_all!F30*DTE_mission_minutes!F30,"-")</f>
        <v>721.11352444444435</v>
      </c>
      <c r="F30" s="128">
        <f>IFERROR(lifespans_all!G30*DTE_mission_minutes!G30,"-")</f>
        <v>721.11352444444435</v>
      </c>
      <c r="G30" s="128">
        <f>IFERROR(lifespans_all!H30*DTE_mission_minutes!H30,"-")</f>
        <v>721.11352444444435</v>
      </c>
      <c r="H30" s="128">
        <f>IFERROR(lifespans_all!I30*DTE_mission_minutes!I30,"-")</f>
        <v>721.11352444444435</v>
      </c>
      <c r="I30" s="128">
        <f>IFERROR(lifespans_all!J30*DTE_mission_minutes!J30,"-")</f>
        <v>721.11352444444435</v>
      </c>
      <c r="J30" s="128">
        <f>IFERROR(lifespans_all!K30*DTE_mission_minutes!K30,"-")</f>
        <v>721.11352444444435</v>
      </c>
      <c r="K30" s="128">
        <f>IFERROR(lifespans_all!L30*DTE_mission_minutes!L30,"-")</f>
        <v>721.11352444444435</v>
      </c>
      <c r="L30" s="128">
        <f>IFERROR(lifespans_all!M30*DTE_mission_minutes!M30,"-")</f>
        <v>721.11352444444435</v>
      </c>
      <c r="M30" s="128">
        <f>IFERROR(lifespans_all!N30*DTE_mission_minutes!N30,"-")</f>
        <v>721.11352444444435</v>
      </c>
      <c r="N30" s="128">
        <f>IFERROR(lifespans_all!O30*DTE_mission_minutes!O30,"-")</f>
        <v>721.11352444444435</v>
      </c>
      <c r="O30" s="128">
        <f>IFERROR(lifespans_all!P30*DTE_mission_minutes!P30,"-")</f>
        <v>721.11352444444435</v>
      </c>
      <c r="P30" s="128">
        <f>IFERROR(lifespans_all!Q30*DTE_mission_minutes!Q30,"-")</f>
        <v>721.11352444444435</v>
      </c>
      <c r="Q30" s="128">
        <f>IFERROR(lifespans_all!R30*DTE_mission_minutes!R30,"-")</f>
        <v>721.11352444444435</v>
      </c>
      <c r="R30" s="128">
        <f>IFERROR(lifespans_all!S30*DTE_mission_minutes!S30,"-")</f>
        <v>721.11352444444435</v>
      </c>
      <c r="S30" s="128">
        <f>IFERROR(lifespans_all!T30*DTE_mission_minutes!T30,"-")</f>
        <v>721.11352444444435</v>
      </c>
      <c r="T30" s="128">
        <f>IFERROR(lifespans_all!U30*DTE_mission_minutes!U30,"-")</f>
        <v>721.11352444444435</v>
      </c>
      <c r="U30" s="128">
        <f>IFERROR(lifespans_all!V30*DTE_mission_minutes!V30,"-")</f>
        <v>721.11352444444435</v>
      </c>
      <c r="V30" s="128">
        <f>IFERROR(lifespans_all!W30*DTE_mission_minutes!W30,"-")</f>
        <v>721.11352444444435</v>
      </c>
    </row>
    <row r="31" spans="1:22" x14ac:dyDescent="0.25">
      <c r="A31" s="46" t="s">
        <v>87</v>
      </c>
      <c r="B31" s="47" t="s">
        <v>56</v>
      </c>
      <c r="C31" s="128">
        <f>IFERROR(lifespans_all!D31*DTE_mission_minutes!D31,"-")</f>
        <v>221.29177222222222</v>
      </c>
      <c r="D31" s="128">
        <f>IFERROR(lifespans_all!E31*DTE_mission_minutes!E31,"-")</f>
        <v>244.03194444444446</v>
      </c>
      <c r="E31" s="128">
        <f>IFERROR(lifespans_all!F31*DTE_mission_minutes!F31,"-")</f>
        <v>0</v>
      </c>
      <c r="F31" s="128">
        <f>IFERROR(lifespans_all!G31*DTE_mission_minutes!G31,"-")</f>
        <v>0</v>
      </c>
      <c r="G31" s="128">
        <f>IFERROR(lifespans_all!H31*DTE_mission_minutes!H31,"-")</f>
        <v>0</v>
      </c>
      <c r="H31" s="128">
        <f>IFERROR(lifespans_all!I31*DTE_mission_minutes!I31,"-")</f>
        <v>0</v>
      </c>
      <c r="I31" s="128">
        <f>IFERROR(lifespans_all!J31*DTE_mission_minutes!J31,"-")</f>
        <v>0</v>
      </c>
      <c r="J31" s="128">
        <f>IFERROR(lifespans_all!K31*DTE_mission_minutes!K31,"-")</f>
        <v>0</v>
      </c>
      <c r="K31" s="128">
        <f>IFERROR(lifespans_all!L31*DTE_mission_minutes!L31,"-")</f>
        <v>0</v>
      </c>
      <c r="L31" s="128">
        <f>IFERROR(lifespans_all!M31*DTE_mission_minutes!M31,"-")</f>
        <v>0</v>
      </c>
      <c r="M31" s="128">
        <f>IFERROR(lifespans_all!N31*DTE_mission_minutes!N31,"-")</f>
        <v>0</v>
      </c>
      <c r="N31" s="128">
        <f>IFERROR(lifespans_all!O31*DTE_mission_minutes!O31,"-")</f>
        <v>0</v>
      </c>
      <c r="O31" s="128">
        <f>IFERROR(lifespans_all!P31*DTE_mission_minutes!P31,"-")</f>
        <v>0</v>
      </c>
      <c r="P31" s="128">
        <f>IFERROR(lifespans_all!Q31*DTE_mission_minutes!Q31,"-")</f>
        <v>0</v>
      </c>
      <c r="Q31" s="128">
        <f>IFERROR(lifespans_all!R31*DTE_mission_minutes!R31,"-")</f>
        <v>0</v>
      </c>
      <c r="R31" s="128">
        <f>IFERROR(lifespans_all!S31*DTE_mission_minutes!S31,"-")</f>
        <v>0</v>
      </c>
      <c r="S31" s="128">
        <f>IFERROR(lifespans_all!T31*DTE_mission_minutes!T31,"-")</f>
        <v>0</v>
      </c>
      <c r="T31" s="128">
        <f>IFERROR(lifespans_all!U31*DTE_mission_minutes!U31,"-")</f>
        <v>0</v>
      </c>
      <c r="U31" s="128">
        <f>IFERROR(lifespans_all!V31*DTE_mission_minutes!V31,"-")</f>
        <v>0</v>
      </c>
      <c r="V31" s="128">
        <f>IFERROR(lifespans_all!W31*DTE_mission_minutes!W31,"-")</f>
        <v>0</v>
      </c>
    </row>
    <row r="32" spans="1:22" x14ac:dyDescent="0.25">
      <c r="A32" s="46" t="s">
        <v>43</v>
      </c>
      <c r="B32" s="54" t="s">
        <v>61</v>
      </c>
      <c r="C32" s="128">
        <f>IFERROR(lifespans_all!D32*DTE_mission_minutes!D32,"-")</f>
        <v>64.996111111111119</v>
      </c>
      <c r="D32" s="128">
        <f>IFERROR(lifespans_all!E32*DTE_mission_minutes!E32,"-")</f>
        <v>0</v>
      </c>
      <c r="E32" s="128">
        <f>IFERROR(lifespans_all!F32*DTE_mission_minutes!F32,"-")</f>
        <v>0</v>
      </c>
      <c r="F32" s="128">
        <f>IFERROR(lifespans_all!G32*DTE_mission_minutes!G32,"-")</f>
        <v>0</v>
      </c>
      <c r="G32" s="128">
        <f>IFERROR(lifespans_all!H32*DTE_mission_minutes!H32,"-")</f>
        <v>0</v>
      </c>
      <c r="H32" s="128">
        <f>IFERROR(lifespans_all!I32*DTE_mission_minutes!I32,"-")</f>
        <v>0</v>
      </c>
      <c r="I32" s="128">
        <f>IFERROR(lifespans_all!J32*DTE_mission_minutes!J32,"-")</f>
        <v>0</v>
      </c>
      <c r="J32" s="128">
        <f>IFERROR(lifespans_all!K32*DTE_mission_minutes!K32,"-")</f>
        <v>0</v>
      </c>
      <c r="K32" s="128">
        <f>IFERROR(lifespans_all!L32*DTE_mission_minutes!L32,"-")</f>
        <v>0</v>
      </c>
      <c r="L32" s="128">
        <f>IFERROR(lifespans_all!M32*DTE_mission_minutes!M32,"-")</f>
        <v>0</v>
      </c>
      <c r="M32" s="128">
        <f>IFERROR(lifespans_all!N32*DTE_mission_minutes!N32,"-")</f>
        <v>0</v>
      </c>
      <c r="N32" s="128">
        <f>IFERROR(lifespans_all!O32*DTE_mission_minutes!O32,"-")</f>
        <v>0</v>
      </c>
      <c r="O32" s="128">
        <f>IFERROR(lifespans_all!P32*DTE_mission_minutes!P32,"-")</f>
        <v>0</v>
      </c>
      <c r="P32" s="128">
        <f>IFERROR(lifespans_all!Q32*DTE_mission_minutes!Q32,"-")</f>
        <v>0</v>
      </c>
      <c r="Q32" s="128">
        <f>IFERROR(lifespans_all!R32*DTE_mission_minutes!R32,"-")</f>
        <v>0</v>
      </c>
      <c r="R32" s="128">
        <f>IFERROR(lifespans_all!S32*DTE_mission_minutes!S32,"-")</f>
        <v>0</v>
      </c>
      <c r="S32" s="128">
        <f>IFERROR(lifespans_all!T32*DTE_mission_minutes!T32,"-")</f>
        <v>0</v>
      </c>
      <c r="T32" s="128">
        <f>IFERROR(lifespans_all!U32*DTE_mission_minutes!U32,"-")</f>
        <v>0</v>
      </c>
      <c r="U32" s="128">
        <f>IFERROR(lifespans_all!V32*DTE_mission_minutes!V32,"-")</f>
        <v>0</v>
      </c>
      <c r="V32" s="128">
        <f>IFERROR(lifespans_all!W32*DTE_mission_minutes!W32,"-")</f>
        <v>0</v>
      </c>
    </row>
    <row r="33" spans="1:22" x14ac:dyDescent="0.25">
      <c r="A33" s="46" t="s">
        <v>55</v>
      </c>
      <c r="B33" s="47" t="s">
        <v>57</v>
      </c>
      <c r="C33" s="128">
        <f>IFERROR(lifespans_all!D33*DTE_mission_minutes!D33,"-")</f>
        <v>575.81194444444441</v>
      </c>
      <c r="D33" s="128">
        <f>IFERROR(lifespans_all!E33*DTE_mission_minutes!E33,"-")</f>
        <v>580.59861111111104</v>
      </c>
      <c r="E33" s="128">
        <f>IFERROR(lifespans_all!F33*DTE_mission_minutes!F33,"-")</f>
        <v>499.24888888888893</v>
      </c>
      <c r="F33" s="128">
        <f>IFERROR(lifespans_all!G33*DTE_mission_minutes!G33,"-")</f>
        <v>565.82727777777768</v>
      </c>
      <c r="G33" s="128">
        <f>IFERROR(lifespans_all!H33*DTE_mission_minutes!H33,"-")</f>
        <v>0</v>
      </c>
      <c r="H33" s="128">
        <f>IFERROR(lifespans_all!I33*DTE_mission_minutes!I33,"-")</f>
        <v>0</v>
      </c>
      <c r="I33" s="128">
        <f>IFERROR(lifespans_all!J33*DTE_mission_minutes!J33,"-")</f>
        <v>0</v>
      </c>
      <c r="J33" s="128">
        <f>IFERROR(lifespans_all!K33*DTE_mission_minutes!K33,"-")</f>
        <v>0</v>
      </c>
      <c r="K33" s="128">
        <f>IFERROR(lifespans_all!L33*DTE_mission_minutes!L33,"-")</f>
        <v>0</v>
      </c>
      <c r="L33" s="128">
        <f>IFERROR(lifespans_all!M33*DTE_mission_minutes!M33,"-")</f>
        <v>0</v>
      </c>
      <c r="M33" s="128">
        <f>IFERROR(lifespans_all!N33*DTE_mission_minutes!N33,"-")</f>
        <v>0</v>
      </c>
      <c r="N33" s="128">
        <f>IFERROR(lifespans_all!O33*DTE_mission_minutes!O33,"-")</f>
        <v>0</v>
      </c>
      <c r="O33" s="128">
        <f>IFERROR(lifespans_all!P33*DTE_mission_minutes!P33,"-")</f>
        <v>0</v>
      </c>
      <c r="P33" s="128">
        <f>IFERROR(lifespans_all!Q33*DTE_mission_minutes!Q33,"-")</f>
        <v>0</v>
      </c>
      <c r="Q33" s="128">
        <f>IFERROR(lifespans_all!R33*DTE_mission_minutes!R33,"-")</f>
        <v>0</v>
      </c>
      <c r="R33" s="128">
        <f>IFERROR(lifespans_all!S33*DTE_mission_minutes!S33,"-")</f>
        <v>0</v>
      </c>
      <c r="S33" s="128">
        <f>IFERROR(lifespans_all!T33*DTE_mission_minutes!T33,"-")</f>
        <v>0</v>
      </c>
      <c r="T33" s="128">
        <f>IFERROR(lifespans_all!U33*DTE_mission_minutes!U33,"-")</f>
        <v>0</v>
      </c>
      <c r="U33" s="128">
        <f>IFERROR(lifespans_all!V33*DTE_mission_minutes!V33,"-")</f>
        <v>0</v>
      </c>
      <c r="V33" s="128">
        <f>IFERROR(lifespans_all!W33*DTE_mission_minutes!W33,"-")</f>
        <v>0</v>
      </c>
    </row>
    <row r="34" spans="1:22" x14ac:dyDescent="0.25">
      <c r="A34" s="46" t="s">
        <v>44</v>
      </c>
      <c r="B34" s="46"/>
      <c r="C34" s="128" t="str">
        <f>IFERROR(lifespans_all!D34*DTE_mission_minutes!D34,"-")</f>
        <v>-</v>
      </c>
      <c r="D34" s="128" t="str">
        <f>IFERROR(lifespans_all!E34*DTE_mission_minutes!E34,"-")</f>
        <v>-</v>
      </c>
      <c r="E34" s="128" t="str">
        <f>IFERROR(lifespans_all!F34*DTE_mission_minutes!F34,"-")</f>
        <v>-</v>
      </c>
      <c r="F34" s="128" t="str">
        <f>IFERROR(lifespans_all!G34*DTE_mission_minutes!G34,"-")</f>
        <v>-</v>
      </c>
      <c r="G34" s="128" t="str">
        <f>IFERROR(lifespans_all!H34*DTE_mission_minutes!H34,"-")</f>
        <v>-</v>
      </c>
      <c r="H34" s="128" t="str">
        <f>IFERROR(lifespans_all!I34*DTE_mission_minutes!I34,"-")</f>
        <v>-</v>
      </c>
      <c r="I34" s="128" t="str">
        <f>IFERROR(lifespans_all!J34*DTE_mission_minutes!J34,"-")</f>
        <v>-</v>
      </c>
      <c r="J34" s="128" t="str">
        <f>IFERROR(lifespans_all!K34*DTE_mission_minutes!K34,"-")</f>
        <v>-</v>
      </c>
      <c r="K34" s="128" t="str">
        <f>IFERROR(lifespans_all!L34*DTE_mission_minutes!L34,"-")</f>
        <v>-</v>
      </c>
      <c r="L34" s="128" t="str">
        <f>IFERROR(lifespans_all!M34*DTE_mission_minutes!M34,"-")</f>
        <v>-</v>
      </c>
      <c r="M34" s="128" t="str">
        <f>IFERROR(lifespans_all!N34*DTE_mission_minutes!N34,"-")</f>
        <v>-</v>
      </c>
      <c r="N34" s="128" t="str">
        <f>IFERROR(lifespans_all!O34*DTE_mission_minutes!O34,"-")</f>
        <v>-</v>
      </c>
      <c r="O34" s="128" t="str">
        <f>IFERROR(lifespans_all!P34*DTE_mission_minutes!P34,"-")</f>
        <v>-</v>
      </c>
      <c r="P34" s="128" t="str">
        <f>IFERROR(lifespans_all!Q34*DTE_mission_minutes!Q34,"-")</f>
        <v>-</v>
      </c>
      <c r="Q34" s="128" t="str">
        <f>IFERROR(lifespans_all!R34*DTE_mission_minutes!R34,"-")</f>
        <v>-</v>
      </c>
      <c r="R34" s="128" t="str">
        <f>IFERROR(lifespans_all!S34*DTE_mission_minutes!S34,"-")</f>
        <v>-</v>
      </c>
      <c r="S34" s="128" t="str">
        <f>IFERROR(lifespans_all!T34*DTE_mission_minutes!T34,"-")</f>
        <v>-</v>
      </c>
      <c r="T34" s="128" t="str">
        <f>IFERROR(lifespans_all!U34*DTE_mission_minutes!U34,"-")</f>
        <v>-</v>
      </c>
      <c r="U34" s="128" t="str">
        <f>IFERROR(lifespans_all!V34*DTE_mission_minutes!V34,"-")</f>
        <v>-</v>
      </c>
      <c r="V34" s="128" t="str">
        <f>IFERROR(lifespans_all!W34*DTE_mission_minutes!W34,"-")</f>
        <v>-</v>
      </c>
    </row>
    <row r="35" spans="1:22" x14ac:dyDescent="0.25">
      <c r="A35" s="46" t="s">
        <v>78</v>
      </c>
      <c r="B35" s="47" t="s">
        <v>57</v>
      </c>
      <c r="C35" s="128">
        <f>IFERROR(lifespans_all!D35*DTE_mission_minutes!D35,"-")</f>
        <v>64.579722222222216</v>
      </c>
      <c r="D35" s="128">
        <f>IFERROR(lifespans_all!E35*DTE_mission_minutes!E35,"-")</f>
        <v>56.487941666666664</v>
      </c>
      <c r="E35" s="128">
        <f>IFERROR(lifespans_all!F35*DTE_mission_minutes!F35,"-")</f>
        <v>49.259444444444441</v>
      </c>
      <c r="F35" s="128">
        <f>IFERROR(lifespans_all!G35*DTE_mission_minutes!G35,"-")</f>
        <v>60.035777777777774</v>
      </c>
      <c r="G35" s="128">
        <f>IFERROR(lifespans_all!H35*DTE_mission_minutes!H35,"-")</f>
        <v>60.035777777777774</v>
      </c>
      <c r="H35" s="128">
        <f>IFERROR(lifespans_all!I35*DTE_mission_minutes!I35,"-")</f>
        <v>0</v>
      </c>
      <c r="I35" s="128">
        <f>IFERROR(lifespans_all!J35*DTE_mission_minutes!J35,"-")</f>
        <v>0</v>
      </c>
      <c r="J35" s="128">
        <f>IFERROR(lifespans_all!K35*DTE_mission_minutes!K35,"-")</f>
        <v>0</v>
      </c>
      <c r="K35" s="128">
        <f>IFERROR(lifespans_all!L35*DTE_mission_minutes!L35,"-")</f>
        <v>0</v>
      </c>
      <c r="L35" s="128">
        <f>IFERROR(lifespans_all!M35*DTE_mission_minutes!M35,"-")</f>
        <v>0</v>
      </c>
      <c r="M35" s="128">
        <f>IFERROR(lifespans_all!N35*DTE_mission_minutes!N35,"-")</f>
        <v>0</v>
      </c>
      <c r="N35" s="128">
        <f>IFERROR(lifespans_all!O35*DTE_mission_minutes!O35,"-")</f>
        <v>0</v>
      </c>
      <c r="O35" s="128">
        <f>IFERROR(lifespans_all!P35*DTE_mission_minutes!P35,"-")</f>
        <v>0</v>
      </c>
      <c r="P35" s="128">
        <f>IFERROR(lifespans_all!Q35*DTE_mission_minutes!Q35,"-")</f>
        <v>0</v>
      </c>
      <c r="Q35" s="128">
        <f>IFERROR(lifespans_all!R35*DTE_mission_minutes!R35,"-")</f>
        <v>0</v>
      </c>
      <c r="R35" s="128">
        <f>IFERROR(lifespans_all!S35*DTE_mission_minutes!S35,"-")</f>
        <v>0</v>
      </c>
      <c r="S35" s="128">
        <f>IFERROR(lifespans_all!T35*DTE_mission_minutes!T35,"-")</f>
        <v>0</v>
      </c>
      <c r="T35" s="128">
        <f>IFERROR(lifespans_all!U35*DTE_mission_minutes!U35,"-")</f>
        <v>0</v>
      </c>
      <c r="U35" s="128">
        <f>IFERROR(lifespans_all!V35*DTE_mission_minutes!V35,"-")</f>
        <v>0</v>
      </c>
      <c r="V35" s="128">
        <f>IFERROR(lifespans_all!W35*DTE_mission_minutes!W35,"-")</f>
        <v>0</v>
      </c>
    </row>
    <row r="36" spans="1:22" x14ac:dyDescent="0.25">
      <c r="A36" s="46" t="s">
        <v>45</v>
      </c>
      <c r="B36" s="47" t="s">
        <v>57</v>
      </c>
      <c r="C36" s="128">
        <f>IFERROR(lifespans_all!D36*DTE_mission_minutes!D36,"-")</f>
        <v>133409.35004928565</v>
      </c>
      <c r="D36" s="128">
        <f>IFERROR(lifespans_all!E36*DTE_mission_minutes!E36,"-")</f>
        <v>133409.35004928565</v>
      </c>
      <c r="E36" s="128">
        <f>IFERROR(lifespans_all!F36*DTE_mission_minutes!F36,"-")</f>
        <v>133409.35004928565</v>
      </c>
      <c r="F36" s="128">
        <f>IFERROR(lifespans_all!G36*DTE_mission_minutes!G36,"-")</f>
        <v>0</v>
      </c>
      <c r="G36" s="128">
        <f>IFERROR(lifespans_all!H36*DTE_mission_minutes!H36,"-")</f>
        <v>0</v>
      </c>
      <c r="H36" s="128">
        <f>IFERROR(lifespans_all!I36*DTE_mission_minutes!I36,"-")</f>
        <v>0</v>
      </c>
      <c r="I36" s="128">
        <f>IFERROR(lifespans_all!J36*DTE_mission_minutes!J36,"-")</f>
        <v>0</v>
      </c>
      <c r="J36" s="128">
        <f>IFERROR(lifespans_all!K36*DTE_mission_minutes!K36,"-")</f>
        <v>0</v>
      </c>
      <c r="K36" s="128">
        <f>IFERROR(lifespans_all!L36*DTE_mission_minutes!L36,"-")</f>
        <v>0</v>
      </c>
      <c r="L36" s="128">
        <f>IFERROR(lifespans_all!M36*DTE_mission_minutes!M36,"-")</f>
        <v>0</v>
      </c>
      <c r="M36" s="128">
        <f>IFERROR(lifespans_all!N36*DTE_mission_minutes!N36,"-")</f>
        <v>0</v>
      </c>
      <c r="N36" s="128">
        <f>IFERROR(lifespans_all!O36*DTE_mission_minutes!O36,"-")</f>
        <v>0</v>
      </c>
      <c r="O36" s="128">
        <f>IFERROR(lifespans_all!P36*DTE_mission_minutes!P36,"-")</f>
        <v>0</v>
      </c>
      <c r="P36" s="128">
        <f>IFERROR(lifespans_all!Q36*DTE_mission_minutes!Q36,"-")</f>
        <v>0</v>
      </c>
      <c r="Q36" s="128">
        <f>IFERROR(lifespans_all!R36*DTE_mission_minutes!R36,"-")</f>
        <v>0</v>
      </c>
      <c r="R36" s="128">
        <f>IFERROR(lifespans_all!S36*DTE_mission_minutes!S36,"-")</f>
        <v>0</v>
      </c>
      <c r="S36" s="128">
        <f>IFERROR(lifespans_all!T36*DTE_mission_minutes!T36,"-")</f>
        <v>0</v>
      </c>
      <c r="T36" s="128">
        <f>IFERROR(lifespans_all!U36*DTE_mission_minutes!U36,"-")</f>
        <v>0</v>
      </c>
      <c r="U36" s="128">
        <f>IFERROR(lifespans_all!V36*DTE_mission_minutes!V36,"-")</f>
        <v>0</v>
      </c>
      <c r="V36" s="128">
        <f>IFERROR(lifespans_all!W36*DTE_mission_minutes!W36,"-")</f>
        <v>0</v>
      </c>
    </row>
    <row r="37" spans="1:22" x14ac:dyDescent="0.25">
      <c r="A37" s="46" t="s">
        <v>46</v>
      </c>
      <c r="B37" s="54" t="s">
        <v>59</v>
      </c>
      <c r="C37" s="128">
        <f>IFERROR(lifespans_all!D37*DTE_mission_minutes!D37,"-")</f>
        <v>171572.29579277776</v>
      </c>
      <c r="D37" s="128">
        <f>IFERROR(lifespans_all!E37*DTE_mission_minutes!E37,"-")</f>
        <v>171572.29579277776</v>
      </c>
      <c r="E37" s="128">
        <f>IFERROR(lifespans_all!F37*DTE_mission_minutes!F37,"-")</f>
        <v>171572.29579277776</v>
      </c>
      <c r="F37" s="128">
        <f>IFERROR(lifespans_all!G37*DTE_mission_minutes!G37,"-")</f>
        <v>171572.29579277776</v>
      </c>
      <c r="G37" s="128">
        <f>IFERROR(lifespans_all!H37*DTE_mission_minutes!H37,"-")</f>
        <v>171572.29579277776</v>
      </c>
      <c r="H37" s="128">
        <f>IFERROR(lifespans_all!I37*DTE_mission_minutes!I37,"-")</f>
        <v>171572.29579277776</v>
      </c>
      <c r="I37" s="128">
        <f>IFERROR(lifespans_all!J37*DTE_mission_minutes!J37,"-")</f>
        <v>171572.29579277776</v>
      </c>
      <c r="J37" s="128">
        <f>IFERROR(lifespans_all!K37*DTE_mission_minutes!K37,"-")</f>
        <v>171572.29579277776</v>
      </c>
      <c r="K37" s="128">
        <f>IFERROR(lifespans_all!L37*DTE_mission_minutes!L37,"-")</f>
        <v>171572.29579277776</v>
      </c>
      <c r="L37" s="128">
        <f>IFERROR(lifespans_all!M37*DTE_mission_minutes!M37,"-")</f>
        <v>171572.29579277776</v>
      </c>
      <c r="M37" s="128">
        <f>IFERROR(lifespans_all!N37*DTE_mission_minutes!N37,"-")</f>
        <v>171572.29579277776</v>
      </c>
      <c r="N37" s="128">
        <f>IFERROR(lifespans_all!O37*DTE_mission_minutes!O37,"-")</f>
        <v>171572.29579277776</v>
      </c>
      <c r="O37" s="128">
        <f>IFERROR(lifespans_all!P37*DTE_mission_minutes!P37,"-")</f>
        <v>171572.29579277776</v>
      </c>
      <c r="P37" s="128">
        <f>IFERROR(lifespans_all!Q37*DTE_mission_minutes!Q37,"-")</f>
        <v>171572.29579277776</v>
      </c>
      <c r="Q37" s="128">
        <f>IFERROR(lifespans_all!R37*DTE_mission_minutes!R37,"-")</f>
        <v>171572.29579277776</v>
      </c>
      <c r="R37" s="128">
        <f>IFERROR(lifespans_all!S37*DTE_mission_minutes!S37,"-")</f>
        <v>171572.29579277776</v>
      </c>
      <c r="S37" s="128">
        <f>IFERROR(lifespans_all!T37*DTE_mission_minutes!T37,"-")</f>
        <v>171572.29579277776</v>
      </c>
      <c r="T37" s="128">
        <f>IFERROR(lifespans_all!U37*DTE_mission_minutes!U37,"-")</f>
        <v>171572.29579277776</v>
      </c>
      <c r="U37" s="128">
        <f>IFERROR(lifespans_all!V37*DTE_mission_minutes!V37,"-")</f>
        <v>171572.29579277776</v>
      </c>
      <c r="V37" s="128">
        <f>IFERROR(lifespans_all!W37*DTE_mission_minutes!W37,"-")</f>
        <v>171572.29579277776</v>
      </c>
    </row>
    <row r="38" spans="1:22" x14ac:dyDescent="0.25">
      <c r="A38" s="46" t="s">
        <v>47</v>
      </c>
      <c r="B38" s="55" t="s">
        <v>64</v>
      </c>
      <c r="C38" s="128" t="str">
        <f>IFERROR(lifespans_all!D38*DTE_mission_minutes!D38,"-")</f>
        <v>-</v>
      </c>
      <c r="D38" s="128" t="str">
        <f>IFERROR(lifespans_all!E38*DTE_mission_minutes!E38,"-")</f>
        <v>-</v>
      </c>
      <c r="E38" s="128" t="str">
        <f>IFERROR(lifespans_all!F38*DTE_mission_minutes!F38,"-")</f>
        <v>-</v>
      </c>
      <c r="F38" s="128" t="str">
        <f>IFERROR(lifespans_all!G38*DTE_mission_minutes!G38,"-")</f>
        <v>-</v>
      </c>
      <c r="G38" s="128" t="str">
        <f>IFERROR(lifespans_all!H38*DTE_mission_minutes!H38,"-")</f>
        <v>-</v>
      </c>
      <c r="H38" s="128" t="str">
        <f>IFERROR(lifespans_all!I38*DTE_mission_minutes!I38,"-")</f>
        <v>-</v>
      </c>
      <c r="I38" s="128" t="str">
        <f>IFERROR(lifespans_all!J38*DTE_mission_minutes!J38,"-")</f>
        <v>-</v>
      </c>
      <c r="J38" s="128" t="str">
        <f>IFERROR(lifespans_all!K38*DTE_mission_minutes!K38,"-")</f>
        <v>-</v>
      </c>
      <c r="K38" s="128" t="str">
        <f>IFERROR(lifespans_all!L38*DTE_mission_minutes!L38,"-")</f>
        <v>-</v>
      </c>
      <c r="L38" s="128" t="str">
        <f>IFERROR(lifespans_all!M38*DTE_mission_minutes!M38,"-")</f>
        <v>-</v>
      </c>
      <c r="M38" s="128" t="str">
        <f>IFERROR(lifespans_all!N38*DTE_mission_minutes!N38,"-")</f>
        <v>-</v>
      </c>
      <c r="N38" s="128" t="str">
        <f>IFERROR(lifespans_all!O38*DTE_mission_minutes!O38,"-")</f>
        <v>-</v>
      </c>
      <c r="O38" s="128" t="str">
        <f>IFERROR(lifespans_all!P38*DTE_mission_minutes!P38,"-")</f>
        <v>-</v>
      </c>
      <c r="P38" s="128" t="str">
        <f>IFERROR(lifespans_all!Q38*DTE_mission_minutes!Q38,"-")</f>
        <v>-</v>
      </c>
      <c r="Q38" s="128" t="str">
        <f>IFERROR(lifespans_all!R38*DTE_mission_minutes!R38,"-")</f>
        <v>-</v>
      </c>
      <c r="R38" s="128" t="str">
        <f>IFERROR(lifespans_all!S38*DTE_mission_minutes!S38,"-")</f>
        <v>-</v>
      </c>
      <c r="S38" s="128" t="str">
        <f>IFERROR(lifespans_all!T38*DTE_mission_minutes!T38,"-")</f>
        <v>-</v>
      </c>
      <c r="T38" s="128" t="str">
        <f>IFERROR(lifespans_all!U38*DTE_mission_minutes!U38,"-")</f>
        <v>-</v>
      </c>
      <c r="U38" s="128" t="str">
        <f>IFERROR(lifespans_all!V38*DTE_mission_minutes!V38,"-")</f>
        <v>-</v>
      </c>
      <c r="V38" s="128" t="str">
        <f>IFERROR(lifespans_all!W38*DTE_mission_minutes!W38,"-")</f>
        <v>-</v>
      </c>
    </row>
    <row r="39" spans="1:22" x14ac:dyDescent="0.25">
      <c r="A39" s="46" t="s">
        <v>48</v>
      </c>
      <c r="B39" s="55" t="s">
        <v>64</v>
      </c>
      <c r="C39" s="128" t="str">
        <f>IFERROR(lifespans_all!D39*DTE_mission_minutes!D39,"-")</f>
        <v>-</v>
      </c>
      <c r="D39" s="128" t="str">
        <f>IFERROR(lifespans_all!E39*DTE_mission_minutes!E39,"-")</f>
        <v>-</v>
      </c>
      <c r="E39" s="128" t="str">
        <f>IFERROR(lifespans_all!F39*DTE_mission_minutes!F39,"-")</f>
        <v>-</v>
      </c>
      <c r="F39" s="128" t="str">
        <f>IFERROR(lifespans_all!G39*DTE_mission_minutes!G39,"-")</f>
        <v>-</v>
      </c>
      <c r="G39" s="128" t="str">
        <f>IFERROR(lifespans_all!H39*DTE_mission_minutes!H39,"-")</f>
        <v>-</v>
      </c>
      <c r="H39" s="128" t="str">
        <f>IFERROR(lifespans_all!I39*DTE_mission_minutes!I39,"-")</f>
        <v>-</v>
      </c>
      <c r="I39" s="128" t="str">
        <f>IFERROR(lifespans_all!J39*DTE_mission_minutes!J39,"-")</f>
        <v>-</v>
      </c>
      <c r="J39" s="128" t="str">
        <f>IFERROR(lifespans_all!K39*DTE_mission_minutes!K39,"-")</f>
        <v>-</v>
      </c>
      <c r="K39" s="128" t="str">
        <f>IFERROR(lifespans_all!L39*DTE_mission_minutes!L39,"-")</f>
        <v>-</v>
      </c>
      <c r="L39" s="128" t="str">
        <f>IFERROR(lifespans_all!M39*DTE_mission_minutes!M39,"-")</f>
        <v>-</v>
      </c>
      <c r="M39" s="128" t="str">
        <f>IFERROR(lifespans_all!N39*DTE_mission_minutes!N39,"-")</f>
        <v>-</v>
      </c>
      <c r="N39" s="128" t="str">
        <f>IFERROR(lifespans_all!O39*DTE_mission_minutes!O39,"-")</f>
        <v>-</v>
      </c>
      <c r="O39" s="128" t="str">
        <f>IFERROR(lifespans_all!P39*DTE_mission_minutes!P39,"-")</f>
        <v>-</v>
      </c>
      <c r="P39" s="128" t="str">
        <f>IFERROR(lifespans_all!Q39*DTE_mission_minutes!Q39,"-")</f>
        <v>-</v>
      </c>
      <c r="Q39" s="128" t="str">
        <f>IFERROR(lifespans_all!R39*DTE_mission_minutes!R39,"-")</f>
        <v>-</v>
      </c>
      <c r="R39" s="128" t="str">
        <f>IFERROR(lifespans_all!S39*DTE_mission_minutes!S39,"-")</f>
        <v>-</v>
      </c>
      <c r="S39" s="128" t="str">
        <f>IFERROR(lifespans_all!T39*DTE_mission_minutes!T39,"-")</f>
        <v>-</v>
      </c>
      <c r="T39" s="128" t="str">
        <f>IFERROR(lifespans_all!U39*DTE_mission_minutes!U39,"-")</f>
        <v>-</v>
      </c>
      <c r="U39" s="128" t="str">
        <f>IFERROR(lifespans_all!V39*DTE_mission_minutes!V39,"-")</f>
        <v>-</v>
      </c>
      <c r="V39" s="128" t="str">
        <f>IFERROR(lifespans_all!W39*DTE_mission_minutes!W39,"-")</f>
        <v>-</v>
      </c>
    </row>
    <row r="40" spans="1:22" x14ac:dyDescent="0.25">
      <c r="A40" s="46" t="s">
        <v>49</v>
      </c>
      <c r="B40" s="47" t="s">
        <v>57</v>
      </c>
      <c r="C40" s="128">
        <f>IFERROR(lifespans_all!D40*DTE_mission_minutes!D40,"-")</f>
        <v>0</v>
      </c>
      <c r="D40" s="128">
        <f>IFERROR(lifespans_all!E40*DTE_mission_minutes!E40,"-")</f>
        <v>0</v>
      </c>
      <c r="E40" s="128">
        <f>IFERROR(lifespans_all!F40*DTE_mission_minutes!F40,"-")</f>
        <v>0</v>
      </c>
      <c r="F40" s="128">
        <f>IFERROR(lifespans_all!G40*DTE_mission_minutes!G40,"-")</f>
        <v>0</v>
      </c>
      <c r="G40" s="128">
        <f>IFERROR(lifespans_all!H40*DTE_mission_minutes!H40,"-")</f>
        <v>0</v>
      </c>
      <c r="H40" s="128">
        <f>IFERROR(lifespans_all!I40*DTE_mission_minutes!I40,"-")</f>
        <v>0</v>
      </c>
      <c r="I40" s="128">
        <f>IFERROR(lifespans_all!J40*DTE_mission_minutes!J40,"-")</f>
        <v>0</v>
      </c>
      <c r="J40" s="128">
        <f>IFERROR(lifespans_all!K40*DTE_mission_minutes!K40,"-")</f>
        <v>0</v>
      </c>
      <c r="K40" s="128">
        <f>IFERROR(lifespans_all!L40*DTE_mission_minutes!L40,"-")</f>
        <v>0</v>
      </c>
      <c r="L40" s="128">
        <f>IFERROR(lifespans_all!M40*DTE_mission_minutes!M40,"-")</f>
        <v>0</v>
      </c>
      <c r="M40" s="128">
        <f>IFERROR(lifespans_all!N40*DTE_mission_minutes!N40,"-")</f>
        <v>0</v>
      </c>
      <c r="N40" s="128">
        <f>IFERROR(lifespans_all!O40*DTE_mission_minutes!O40,"-")</f>
        <v>0</v>
      </c>
      <c r="O40" s="128">
        <f>IFERROR(lifespans_all!P40*DTE_mission_minutes!P40,"-")</f>
        <v>0</v>
      </c>
      <c r="P40" s="128">
        <f>IFERROR(lifespans_all!Q40*DTE_mission_minutes!Q40,"-")</f>
        <v>0</v>
      </c>
      <c r="Q40" s="128">
        <f>IFERROR(lifespans_all!R40*DTE_mission_minutes!R40,"-")</f>
        <v>0</v>
      </c>
      <c r="R40" s="128">
        <f>IFERROR(lifespans_all!S40*DTE_mission_minutes!S40,"-")</f>
        <v>0</v>
      </c>
      <c r="S40" s="128">
        <f>IFERROR(lifespans_all!T40*DTE_mission_minutes!T40,"-")</f>
        <v>0</v>
      </c>
      <c r="T40" s="128">
        <f>IFERROR(lifespans_all!U40*DTE_mission_minutes!U40,"-")</f>
        <v>0</v>
      </c>
      <c r="U40" s="128">
        <f>IFERROR(lifespans_all!V40*DTE_mission_minutes!V40,"-")</f>
        <v>0</v>
      </c>
      <c r="V40" s="128">
        <f>IFERROR(lifespans_all!W40*DTE_mission_minutes!W40,"-")</f>
        <v>0</v>
      </c>
    </row>
    <row r="41" spans="1:22" x14ac:dyDescent="0.25">
      <c r="A41" s="46" t="s">
        <v>50</v>
      </c>
      <c r="B41" s="54" t="s">
        <v>61</v>
      </c>
      <c r="C41" s="128">
        <f>IFERROR(lifespans_all!D41*DTE_mission_minutes!D41,"-")</f>
        <v>1321.6547222222223</v>
      </c>
      <c r="D41" s="128">
        <f>IFERROR(lifespans_all!E41*DTE_mission_minutes!E41,"-")</f>
        <v>1450.1822222222222</v>
      </c>
      <c r="E41" s="128">
        <f>IFERROR(lifespans_all!F41*DTE_mission_minutes!F41,"-")</f>
        <v>1386.2452777777776</v>
      </c>
      <c r="F41" s="128">
        <f>IFERROR(lifespans_all!G41*DTE_mission_minutes!G41,"-")</f>
        <v>1393.7255555555555</v>
      </c>
      <c r="G41" s="128">
        <f>IFERROR(lifespans_all!H41*DTE_mission_minutes!H41,"-")</f>
        <v>1393.7255555555555</v>
      </c>
      <c r="H41" s="128">
        <f>IFERROR(lifespans_all!I41*DTE_mission_minutes!I41,"-")</f>
        <v>0</v>
      </c>
      <c r="I41" s="128">
        <f>IFERROR(lifespans_all!J41*DTE_mission_minutes!J41,"-")</f>
        <v>0</v>
      </c>
      <c r="J41" s="128">
        <f>IFERROR(lifespans_all!K41*DTE_mission_minutes!K41,"-")</f>
        <v>0</v>
      </c>
      <c r="K41" s="128">
        <f>IFERROR(lifespans_all!L41*DTE_mission_minutes!L41,"-")</f>
        <v>0</v>
      </c>
      <c r="L41" s="128">
        <f>IFERROR(lifespans_all!M41*DTE_mission_minutes!M41,"-")</f>
        <v>0</v>
      </c>
      <c r="M41" s="128">
        <f>IFERROR(lifespans_all!N41*DTE_mission_minutes!N41,"-")</f>
        <v>0</v>
      </c>
      <c r="N41" s="128">
        <f>IFERROR(lifespans_all!O41*DTE_mission_minutes!O41,"-")</f>
        <v>0</v>
      </c>
      <c r="O41" s="128">
        <f>IFERROR(lifespans_all!P41*DTE_mission_minutes!P41,"-")</f>
        <v>0</v>
      </c>
      <c r="P41" s="128">
        <f>IFERROR(lifespans_all!Q41*DTE_mission_minutes!Q41,"-")</f>
        <v>0</v>
      </c>
      <c r="Q41" s="128">
        <f>IFERROR(lifespans_all!R41*DTE_mission_minutes!R41,"-")</f>
        <v>0</v>
      </c>
      <c r="R41" s="128">
        <f>IFERROR(lifespans_all!S41*DTE_mission_minutes!S41,"-")</f>
        <v>0</v>
      </c>
      <c r="S41" s="128">
        <f>IFERROR(lifespans_all!T41*DTE_mission_minutes!T41,"-")</f>
        <v>0</v>
      </c>
      <c r="T41" s="128">
        <f>IFERROR(lifespans_all!U41*DTE_mission_minutes!U41,"-")</f>
        <v>0</v>
      </c>
      <c r="U41" s="128">
        <f>IFERROR(lifespans_all!V41*DTE_mission_minutes!V41,"-")</f>
        <v>0</v>
      </c>
      <c r="V41" s="128">
        <f>IFERROR(lifespans_all!W41*DTE_mission_minutes!W41,"-")</f>
        <v>0</v>
      </c>
    </row>
    <row r="42" spans="1:22" x14ac:dyDescent="0.25">
      <c r="A42" s="46" t="s">
        <v>79</v>
      </c>
      <c r="B42" s="54" t="s">
        <v>59</v>
      </c>
      <c r="C42" s="128">
        <f>IFERROR(lifespans_all!D42*DTE_mission_minutes!D42,"-")</f>
        <v>171572.29579277776</v>
      </c>
      <c r="D42" s="128">
        <f>IFERROR(lifespans_all!E42*DTE_mission_minutes!E42,"-")</f>
        <v>171572.29579277776</v>
      </c>
      <c r="E42" s="128">
        <f>IFERROR(lifespans_all!F42*DTE_mission_minutes!F42,"-")</f>
        <v>171572.29579277776</v>
      </c>
      <c r="F42" s="128">
        <f>IFERROR(lifespans_all!G42*DTE_mission_minutes!G42,"-")</f>
        <v>171572.29579277776</v>
      </c>
      <c r="G42" s="128">
        <f>IFERROR(lifespans_all!H42*DTE_mission_minutes!H42,"-")</f>
        <v>171572.29579277776</v>
      </c>
      <c r="H42" s="128">
        <f>IFERROR(lifespans_all!I42*DTE_mission_minutes!I42,"-")</f>
        <v>171572.29579277776</v>
      </c>
      <c r="I42" s="128">
        <f>IFERROR(lifespans_all!J42*DTE_mission_minutes!J42,"-")</f>
        <v>171572.29579277776</v>
      </c>
      <c r="J42" s="128">
        <f>IFERROR(lifespans_all!K42*DTE_mission_minutes!K42,"-")</f>
        <v>171572.29579277776</v>
      </c>
      <c r="K42" s="128">
        <f>IFERROR(lifespans_all!L42*DTE_mission_minutes!L42,"-")</f>
        <v>171572.29579277776</v>
      </c>
      <c r="L42" s="128">
        <f>IFERROR(lifespans_all!M42*DTE_mission_minutes!M42,"-")</f>
        <v>171572.29579277776</v>
      </c>
      <c r="M42" s="128">
        <f>IFERROR(lifespans_all!N42*DTE_mission_minutes!N42,"-")</f>
        <v>171572.29579277776</v>
      </c>
      <c r="N42" s="128">
        <f>IFERROR(lifespans_all!O42*DTE_mission_minutes!O42,"-")</f>
        <v>171572.29579277776</v>
      </c>
      <c r="O42" s="128">
        <f>IFERROR(lifespans_all!P42*DTE_mission_minutes!P42,"-")</f>
        <v>171572.29579277776</v>
      </c>
      <c r="P42" s="128">
        <f>IFERROR(lifespans_all!Q42*DTE_mission_minutes!Q42,"-")</f>
        <v>171572.29579277776</v>
      </c>
      <c r="Q42" s="128">
        <f>IFERROR(lifespans_all!R42*DTE_mission_minutes!R42,"-")</f>
        <v>171572.29579277776</v>
      </c>
      <c r="R42" s="128">
        <f>IFERROR(lifespans_all!S42*DTE_mission_minutes!S42,"-")</f>
        <v>171572.29579277776</v>
      </c>
      <c r="S42" s="128">
        <f>IFERROR(lifespans_all!T42*DTE_mission_minutes!T42,"-")</f>
        <v>171572.29579277776</v>
      </c>
      <c r="T42" s="128">
        <f>IFERROR(lifespans_all!U42*DTE_mission_minutes!U42,"-")</f>
        <v>171572.29579277776</v>
      </c>
      <c r="U42" s="128">
        <f>IFERROR(lifespans_all!V42*DTE_mission_minutes!V42,"-")</f>
        <v>171572.29579277776</v>
      </c>
      <c r="V42" s="128">
        <f>IFERROR(lifespans_all!W42*DTE_mission_minutes!W42,"-")</f>
        <v>171572.29579277776</v>
      </c>
    </row>
    <row r="43" spans="1:22" x14ac:dyDescent="0.25">
      <c r="A43" s="46" t="s">
        <v>80</v>
      </c>
      <c r="B43" s="47" t="s">
        <v>62</v>
      </c>
      <c r="C43" s="128" t="str">
        <f>IFERROR(lifespans_all!D43*DTE_mission_minutes!D43,"-")</f>
        <v>-</v>
      </c>
      <c r="D43" s="128" t="str">
        <f>IFERROR(lifespans_all!E43*DTE_mission_minutes!E43,"-")</f>
        <v>-</v>
      </c>
      <c r="E43" s="128" t="str">
        <f>IFERROR(lifespans_all!F43*DTE_mission_minutes!F43,"-")</f>
        <v>-</v>
      </c>
      <c r="F43" s="128" t="str">
        <f>IFERROR(lifespans_all!G43*DTE_mission_minutes!G43,"-")</f>
        <v>-</v>
      </c>
      <c r="G43" s="128" t="str">
        <f>IFERROR(lifespans_all!H43*DTE_mission_minutes!H43,"-")</f>
        <v>-</v>
      </c>
      <c r="H43" s="128" t="str">
        <f>IFERROR(lifespans_all!I43*DTE_mission_minutes!I43,"-")</f>
        <v>-</v>
      </c>
      <c r="I43" s="128" t="str">
        <f>IFERROR(lifespans_all!J43*DTE_mission_minutes!J43,"-")</f>
        <v>-</v>
      </c>
      <c r="J43" s="128" t="str">
        <f>IFERROR(lifespans_all!K43*DTE_mission_minutes!K43,"-")</f>
        <v>-</v>
      </c>
      <c r="K43" s="128" t="str">
        <f>IFERROR(lifespans_all!L43*DTE_mission_minutes!L43,"-")</f>
        <v>-</v>
      </c>
      <c r="L43" s="128" t="str">
        <f>IFERROR(lifespans_all!M43*DTE_mission_minutes!M43,"-")</f>
        <v>-</v>
      </c>
      <c r="M43" s="128" t="str">
        <f>IFERROR(lifespans_all!N43*DTE_mission_minutes!N43,"-")</f>
        <v>-</v>
      </c>
      <c r="N43" s="128" t="str">
        <f>IFERROR(lifespans_all!O43*DTE_mission_minutes!O43,"-")</f>
        <v>-</v>
      </c>
      <c r="O43" s="128" t="str">
        <f>IFERROR(lifespans_all!P43*DTE_mission_minutes!P43,"-")</f>
        <v>-</v>
      </c>
      <c r="P43" s="128" t="str">
        <f>IFERROR(lifespans_all!Q43*DTE_mission_minutes!Q43,"-")</f>
        <v>-</v>
      </c>
      <c r="Q43" s="128" t="str">
        <f>IFERROR(lifespans_all!R43*DTE_mission_minutes!R43,"-")</f>
        <v>-</v>
      </c>
      <c r="R43" s="128" t="str">
        <f>IFERROR(lifespans_all!S43*DTE_mission_minutes!S43,"-")</f>
        <v>-</v>
      </c>
      <c r="S43" s="128" t="str">
        <f>IFERROR(lifespans_all!T43*DTE_mission_minutes!T43,"-")</f>
        <v>-</v>
      </c>
      <c r="T43" s="128" t="str">
        <f>IFERROR(lifespans_all!U43*DTE_mission_minutes!U43,"-")</f>
        <v>-</v>
      </c>
      <c r="U43" s="128" t="str">
        <f>IFERROR(lifespans_all!V43*DTE_mission_minutes!V43,"-")</f>
        <v>-</v>
      </c>
      <c r="V43" s="128" t="str">
        <f>IFERROR(lifespans_all!W43*DTE_mission_minutes!W43,"-")</f>
        <v>-</v>
      </c>
    </row>
    <row r="44" spans="1:22" x14ac:dyDescent="0.25">
      <c r="A44" s="46" t="s">
        <v>81</v>
      </c>
      <c r="B44" s="47" t="s">
        <v>57</v>
      </c>
      <c r="C44" s="128">
        <f>IFERROR(lifespans_all!D44*DTE_mission_minutes!D44,"-")</f>
        <v>3017.8666666666668</v>
      </c>
      <c r="D44" s="128">
        <f>IFERROR(lifespans_all!E44*DTE_mission_minutes!E44,"-")</f>
        <v>3078.4611111111108</v>
      </c>
      <c r="E44" s="128">
        <f>IFERROR(lifespans_all!F44*DTE_mission_minutes!F44,"-")</f>
        <v>2765.7895222222219</v>
      </c>
      <c r="F44" s="128">
        <f>IFERROR(lifespans_all!G44*DTE_mission_minutes!G44,"-")</f>
        <v>3000.2460561111111</v>
      </c>
      <c r="G44" s="128">
        <f>IFERROR(lifespans_all!H44*DTE_mission_minutes!H44,"-")</f>
        <v>3000.2460561111111</v>
      </c>
      <c r="H44" s="128">
        <f>IFERROR(lifespans_all!I44*DTE_mission_minutes!I44,"-")</f>
        <v>3000.2460561111111</v>
      </c>
      <c r="I44" s="128">
        <f>IFERROR(lifespans_all!J44*DTE_mission_minutes!J44,"-")</f>
        <v>3000.2460561111111</v>
      </c>
      <c r="J44" s="128">
        <f>IFERROR(lifespans_all!K44*DTE_mission_minutes!K44,"-")</f>
        <v>0</v>
      </c>
      <c r="K44" s="128">
        <f>IFERROR(lifespans_all!L44*DTE_mission_minutes!L44,"-")</f>
        <v>0</v>
      </c>
      <c r="L44" s="128">
        <f>IFERROR(lifespans_all!M44*DTE_mission_minutes!M44,"-")</f>
        <v>0</v>
      </c>
      <c r="M44" s="128">
        <f>IFERROR(lifespans_all!N44*DTE_mission_minutes!N44,"-")</f>
        <v>0</v>
      </c>
      <c r="N44" s="128">
        <f>IFERROR(lifespans_all!O44*DTE_mission_minutes!O44,"-")</f>
        <v>0</v>
      </c>
      <c r="O44" s="128">
        <f>IFERROR(lifespans_all!P44*DTE_mission_minutes!P44,"-")</f>
        <v>0</v>
      </c>
      <c r="P44" s="128">
        <f>IFERROR(lifespans_all!Q44*DTE_mission_minutes!Q44,"-")</f>
        <v>0</v>
      </c>
      <c r="Q44" s="128">
        <f>IFERROR(lifespans_all!R44*DTE_mission_minutes!R44,"-")</f>
        <v>0</v>
      </c>
      <c r="R44" s="128">
        <f>IFERROR(lifespans_all!S44*DTE_mission_minutes!S44,"-")</f>
        <v>0</v>
      </c>
      <c r="S44" s="128">
        <f>IFERROR(lifespans_all!T44*DTE_mission_minutes!T44,"-")</f>
        <v>0</v>
      </c>
      <c r="T44" s="128">
        <f>IFERROR(lifespans_all!U44*DTE_mission_minutes!U44,"-")</f>
        <v>0</v>
      </c>
      <c r="U44" s="128">
        <f>IFERROR(lifespans_all!V44*DTE_mission_minutes!V44,"-")</f>
        <v>0</v>
      </c>
      <c r="V44" s="128">
        <f>IFERROR(lifespans_all!W44*DTE_mission_minutes!W44,"-")</f>
        <v>0</v>
      </c>
    </row>
    <row r="45" spans="1:22" x14ac:dyDescent="0.25">
      <c r="A45" s="46" t="s">
        <v>51</v>
      </c>
      <c r="B45" s="47" t="s">
        <v>56</v>
      </c>
      <c r="C45" s="128">
        <f>IFERROR(lifespans_all!D45*DTE_mission_minutes!D45,"-")</f>
        <v>2140.4341038095235</v>
      </c>
      <c r="D45" s="128">
        <f>IFERROR(lifespans_all!E45*DTE_mission_minutes!E45,"-")</f>
        <v>2140.4341038095235</v>
      </c>
      <c r="E45" s="128">
        <f>IFERROR(lifespans_all!F45*DTE_mission_minutes!F45,"-")</f>
        <v>0</v>
      </c>
      <c r="F45" s="128">
        <f>IFERROR(lifespans_all!G45*DTE_mission_minutes!G45,"-")</f>
        <v>0</v>
      </c>
      <c r="G45" s="128">
        <f>IFERROR(lifespans_all!H45*DTE_mission_minutes!H45,"-")</f>
        <v>0</v>
      </c>
      <c r="H45" s="128">
        <f>IFERROR(lifespans_all!I45*DTE_mission_minutes!I45,"-")</f>
        <v>0</v>
      </c>
      <c r="I45" s="128">
        <f>IFERROR(lifespans_all!J45*DTE_mission_minutes!J45,"-")</f>
        <v>0</v>
      </c>
      <c r="J45" s="128">
        <f>IFERROR(lifespans_all!K45*DTE_mission_minutes!K45,"-")</f>
        <v>0</v>
      </c>
      <c r="K45" s="128">
        <f>IFERROR(lifespans_all!L45*DTE_mission_minutes!L45,"-")</f>
        <v>0</v>
      </c>
      <c r="L45" s="128">
        <f>IFERROR(lifespans_all!M45*DTE_mission_minutes!M45,"-")</f>
        <v>0</v>
      </c>
      <c r="M45" s="128">
        <f>IFERROR(lifespans_all!N45*DTE_mission_minutes!N45,"-")</f>
        <v>0</v>
      </c>
      <c r="N45" s="128">
        <f>IFERROR(lifespans_all!O45*DTE_mission_minutes!O45,"-")</f>
        <v>0</v>
      </c>
      <c r="O45" s="128">
        <f>IFERROR(lifespans_all!P45*DTE_mission_minutes!P45,"-")</f>
        <v>0</v>
      </c>
      <c r="P45" s="128">
        <f>IFERROR(lifespans_all!Q45*DTE_mission_minutes!Q45,"-")</f>
        <v>0</v>
      </c>
      <c r="Q45" s="128">
        <f>IFERROR(lifespans_all!R45*DTE_mission_minutes!R45,"-")</f>
        <v>0</v>
      </c>
      <c r="R45" s="128">
        <f>IFERROR(lifespans_all!S45*DTE_mission_minutes!S45,"-")</f>
        <v>0</v>
      </c>
      <c r="S45" s="128">
        <f>IFERROR(lifespans_all!T45*DTE_mission_minutes!T45,"-")</f>
        <v>0</v>
      </c>
      <c r="T45" s="128">
        <f>IFERROR(lifespans_all!U45*DTE_mission_minutes!U45,"-")</f>
        <v>0</v>
      </c>
      <c r="U45" s="128">
        <f>IFERROR(lifespans_all!V45*DTE_mission_minutes!V45,"-")</f>
        <v>0</v>
      </c>
      <c r="V45" s="128">
        <f>IFERROR(lifespans_all!W45*DTE_mission_minutes!W45,"-")</f>
        <v>0</v>
      </c>
    </row>
    <row r="46" spans="1:22" x14ac:dyDescent="0.25">
      <c r="A46" s="46" t="s">
        <v>52</v>
      </c>
      <c r="B46" s="47" t="s">
        <v>56</v>
      </c>
      <c r="C46" s="128">
        <f>IFERROR(lifespans_all!D46*DTE_mission_minutes!D46,"-")</f>
        <v>2140.4341038095235</v>
      </c>
      <c r="D46" s="128">
        <f>IFERROR(lifespans_all!E46*DTE_mission_minutes!E46,"-")</f>
        <v>2140.4341038095235</v>
      </c>
      <c r="E46" s="128">
        <f>IFERROR(lifespans_all!F46*DTE_mission_minutes!F46,"-")</f>
        <v>0</v>
      </c>
      <c r="F46" s="128">
        <f>IFERROR(lifespans_all!G46*DTE_mission_minutes!G46,"-")</f>
        <v>0</v>
      </c>
      <c r="G46" s="128">
        <f>IFERROR(lifespans_all!H46*DTE_mission_minutes!H46,"-")</f>
        <v>0</v>
      </c>
      <c r="H46" s="128">
        <f>IFERROR(lifespans_all!I46*DTE_mission_minutes!I46,"-")</f>
        <v>0</v>
      </c>
      <c r="I46" s="128">
        <f>IFERROR(lifespans_all!J46*DTE_mission_minutes!J46,"-")</f>
        <v>0</v>
      </c>
      <c r="J46" s="128">
        <f>IFERROR(lifespans_all!K46*DTE_mission_minutes!K46,"-")</f>
        <v>0</v>
      </c>
      <c r="K46" s="128">
        <f>IFERROR(lifespans_all!L46*DTE_mission_minutes!L46,"-")</f>
        <v>0</v>
      </c>
      <c r="L46" s="128">
        <f>IFERROR(lifespans_all!M46*DTE_mission_minutes!M46,"-")</f>
        <v>0</v>
      </c>
      <c r="M46" s="128">
        <f>IFERROR(lifespans_all!N46*DTE_mission_minutes!N46,"-")</f>
        <v>0</v>
      </c>
      <c r="N46" s="128">
        <f>IFERROR(lifespans_all!O46*DTE_mission_minutes!O46,"-")</f>
        <v>0</v>
      </c>
      <c r="O46" s="128">
        <f>IFERROR(lifespans_all!P46*DTE_mission_minutes!P46,"-")</f>
        <v>0</v>
      </c>
      <c r="P46" s="128">
        <f>IFERROR(lifespans_all!Q46*DTE_mission_minutes!Q46,"-")</f>
        <v>0</v>
      </c>
      <c r="Q46" s="128">
        <f>IFERROR(lifespans_all!R46*DTE_mission_minutes!R46,"-")</f>
        <v>0</v>
      </c>
      <c r="R46" s="128">
        <f>IFERROR(lifespans_all!S46*DTE_mission_minutes!S46,"-")</f>
        <v>0</v>
      </c>
      <c r="S46" s="128">
        <f>IFERROR(lifespans_all!T46*DTE_mission_minutes!T46,"-")</f>
        <v>0</v>
      </c>
      <c r="T46" s="128">
        <f>IFERROR(lifespans_all!U46*DTE_mission_minutes!U46,"-")</f>
        <v>0</v>
      </c>
      <c r="U46" s="128">
        <f>IFERROR(lifespans_all!V46*DTE_mission_minutes!V46,"-")</f>
        <v>0</v>
      </c>
      <c r="V46" s="128">
        <f>IFERROR(lifespans_all!W46*DTE_mission_minutes!W46,"-")</f>
        <v>0</v>
      </c>
    </row>
    <row r="47" spans="1:22" x14ac:dyDescent="0.25">
      <c r="A47" s="46" t="s">
        <v>53</v>
      </c>
      <c r="B47" s="47" t="s">
        <v>56</v>
      </c>
      <c r="C47" s="128">
        <f>IFERROR(lifespans_all!D47*DTE_mission_minutes!D47,"-")</f>
        <v>2140.4341038095235</v>
      </c>
      <c r="D47" s="128">
        <f>IFERROR(lifespans_all!E47*DTE_mission_minutes!E47,"-")</f>
        <v>2140.4341038095235</v>
      </c>
      <c r="E47" s="128">
        <f>IFERROR(lifespans_all!F47*DTE_mission_minutes!F47,"-")</f>
        <v>0</v>
      </c>
      <c r="F47" s="128">
        <f>IFERROR(lifespans_all!G47*DTE_mission_minutes!G47,"-")</f>
        <v>0</v>
      </c>
      <c r="G47" s="128">
        <f>IFERROR(lifespans_all!H47*DTE_mission_minutes!H47,"-")</f>
        <v>0</v>
      </c>
      <c r="H47" s="128">
        <f>IFERROR(lifespans_all!I47*DTE_mission_minutes!I47,"-")</f>
        <v>0</v>
      </c>
      <c r="I47" s="128">
        <f>IFERROR(lifespans_all!J47*DTE_mission_minutes!J47,"-")</f>
        <v>0</v>
      </c>
      <c r="J47" s="128">
        <f>IFERROR(lifespans_all!K47*DTE_mission_minutes!K47,"-")</f>
        <v>0</v>
      </c>
      <c r="K47" s="128">
        <f>IFERROR(lifespans_all!L47*DTE_mission_minutes!L47,"-")</f>
        <v>0</v>
      </c>
      <c r="L47" s="128">
        <f>IFERROR(lifespans_all!M47*DTE_mission_minutes!M47,"-")</f>
        <v>0</v>
      </c>
      <c r="M47" s="128">
        <f>IFERROR(lifespans_all!N47*DTE_mission_minutes!N47,"-")</f>
        <v>0</v>
      </c>
      <c r="N47" s="128">
        <f>IFERROR(lifespans_all!O47*DTE_mission_minutes!O47,"-")</f>
        <v>0</v>
      </c>
      <c r="O47" s="128">
        <f>IFERROR(lifespans_all!P47*DTE_mission_minutes!P47,"-")</f>
        <v>0</v>
      </c>
      <c r="P47" s="128">
        <f>IFERROR(lifespans_all!Q47*DTE_mission_minutes!Q47,"-")</f>
        <v>0</v>
      </c>
      <c r="Q47" s="128">
        <f>IFERROR(lifespans_all!R47*DTE_mission_minutes!R47,"-")</f>
        <v>0</v>
      </c>
      <c r="R47" s="128">
        <f>IFERROR(lifespans_all!S47*DTE_mission_minutes!S47,"-")</f>
        <v>0</v>
      </c>
      <c r="S47" s="128">
        <f>IFERROR(lifespans_all!T47*DTE_mission_minutes!T47,"-")</f>
        <v>0</v>
      </c>
      <c r="T47" s="128">
        <f>IFERROR(lifespans_all!U47*DTE_mission_minutes!U47,"-")</f>
        <v>0</v>
      </c>
      <c r="U47" s="128">
        <f>IFERROR(lifespans_all!V47*DTE_mission_minutes!V47,"-")</f>
        <v>0</v>
      </c>
      <c r="V47" s="128">
        <f>IFERROR(lifespans_all!W47*DTE_mission_minutes!W47,"-")</f>
        <v>0</v>
      </c>
    </row>
    <row r="48" spans="1:22" x14ac:dyDescent="0.25">
      <c r="A48" s="46" t="s">
        <v>54</v>
      </c>
      <c r="B48" s="47" t="s">
        <v>57</v>
      </c>
      <c r="C48" s="128">
        <f>IFERROR(lifespans_all!D48*DTE_mission_minutes!D48,"-")</f>
        <v>133409.35004928565</v>
      </c>
      <c r="D48" s="128">
        <f>IFERROR(lifespans_all!E48*DTE_mission_minutes!E48,"-")</f>
        <v>0</v>
      </c>
      <c r="E48" s="128">
        <f>IFERROR(lifespans_all!F48*DTE_mission_minutes!F48,"-")</f>
        <v>0</v>
      </c>
      <c r="F48" s="128">
        <f>IFERROR(lifespans_all!G48*DTE_mission_minutes!G48,"-")</f>
        <v>0</v>
      </c>
      <c r="G48" s="128">
        <f>IFERROR(lifespans_all!H48*DTE_mission_minutes!H48,"-")</f>
        <v>0</v>
      </c>
      <c r="H48" s="128">
        <f>IFERROR(lifespans_all!I48*DTE_mission_minutes!I48,"-")</f>
        <v>0</v>
      </c>
      <c r="I48" s="128">
        <f>IFERROR(lifespans_all!J48*DTE_mission_minutes!J48,"-")</f>
        <v>0</v>
      </c>
      <c r="J48" s="128">
        <f>IFERROR(lifespans_all!K48*DTE_mission_minutes!K48,"-")</f>
        <v>0</v>
      </c>
      <c r="K48" s="128">
        <f>IFERROR(lifespans_all!L48*DTE_mission_minutes!L48,"-")</f>
        <v>0</v>
      </c>
      <c r="L48" s="128">
        <f>IFERROR(lifespans_all!M48*DTE_mission_minutes!M48,"-")</f>
        <v>0</v>
      </c>
      <c r="M48" s="128">
        <f>IFERROR(lifespans_all!N48*DTE_mission_minutes!N48,"-")</f>
        <v>0</v>
      </c>
      <c r="N48" s="128">
        <f>IFERROR(lifespans_all!O48*DTE_mission_minutes!O48,"-")</f>
        <v>0</v>
      </c>
      <c r="O48" s="128">
        <f>IFERROR(lifespans_all!P48*DTE_mission_minutes!P48,"-")</f>
        <v>0</v>
      </c>
      <c r="P48" s="128">
        <f>IFERROR(lifespans_all!Q48*DTE_mission_minutes!Q48,"-")</f>
        <v>0</v>
      </c>
      <c r="Q48" s="128">
        <f>IFERROR(lifespans_all!R48*DTE_mission_minutes!R48,"-")</f>
        <v>0</v>
      </c>
      <c r="R48" s="128">
        <f>IFERROR(lifespans_all!S48*DTE_mission_minutes!S48,"-")</f>
        <v>0</v>
      </c>
      <c r="S48" s="128">
        <f>IFERROR(lifespans_all!T48*DTE_mission_minutes!T48,"-")</f>
        <v>0</v>
      </c>
      <c r="T48" s="128">
        <f>IFERROR(lifespans_all!U48*DTE_mission_minutes!U48,"-")</f>
        <v>0</v>
      </c>
      <c r="U48" s="128">
        <f>IFERROR(lifespans_all!V48*DTE_mission_minutes!V48,"-")</f>
        <v>0</v>
      </c>
      <c r="V48" s="128">
        <f>IFERROR(lifespans_all!W48*DTE_mission_minutes!W48,"-")</f>
        <v>0</v>
      </c>
    </row>
    <row r="49" spans="1:22" x14ac:dyDescent="0.25">
      <c r="A49" s="38" t="str">
        <f>DTE_mission_minutes!A49</f>
        <v>New</v>
      </c>
      <c r="B49" s="38" t="str">
        <f>DTE_mission_minutes!B49</f>
        <v>Human Space Flight</v>
      </c>
      <c r="C49" s="128">
        <f>IFERROR((lifespans_all!D49*DTE_mission_minutes!D49)*POWER(1+(Settings!$C$31/100),C$1-2021),"-")</f>
        <v>17157.229579277777</v>
      </c>
      <c r="D49" s="128">
        <f>IFERROR((lifespans_all!E49*DTE_mission_minutes!E49)*POWER(1+(Settings!$C$31/100),D$1-2021),"-")</f>
        <v>35000.748341726663</v>
      </c>
      <c r="E49" s="128">
        <f>IFERROR((lifespans_all!F49*DTE_mission_minutes!F49)*POWER(1+(Settings!$C$31/100),E$1-2021),"-")</f>
        <v>53551.144962841798</v>
      </c>
      <c r="F49" s="128">
        <f>IFERROR((lifespans_all!G49*DTE_mission_minutes!G49)*POWER(1+(Settings!$C$31/100),F$1-2021),"-")</f>
        <v>72829.557149464832</v>
      </c>
      <c r="G49" s="128">
        <f>IFERROR((lifespans_all!H49*DTE_mission_minutes!H49)*POWER(1+(Settings!$C$31/100),G$1-2021),"-")</f>
        <v>92857.685365567668</v>
      </c>
      <c r="H49" s="128">
        <f>IFERROR((lifespans_all!I49*DTE_mission_minutes!I49)*POWER(1+(Settings!$C$31/100),H$1-2021),"-")</f>
        <v>113657.80688745483</v>
      </c>
      <c r="I49" s="128">
        <f>IFERROR((lifespans_all!J49*DTE_mission_minutes!J49)*POWER(1+(Settings!$C$31/100),I$1-2021),"-")</f>
        <v>135252.79019607126</v>
      </c>
      <c r="J49" s="128">
        <f>IFERROR((lifespans_all!K49*DTE_mission_minutes!K49)*POWER(1+(Settings!$C$31/100),J$1-2021),"-")</f>
        <v>157666.10971427729</v>
      </c>
      <c r="K49" s="128">
        <f>IFERROR((lifespans_all!L49*DTE_mission_minutes!L49)*POWER(1+(Settings!$C$31/100),K$1-2021),"-")</f>
        <v>180921.86089713321</v>
      </c>
      <c r="L49" s="128">
        <f>IFERROR((lifespans_all!M49*DTE_mission_minutes!M49)*POWER(1+(Settings!$C$31/100),L$1-2021),"-")</f>
        <v>205044.77568341763</v>
      </c>
      <c r="M49" s="128">
        <f>IFERROR((lifespans_all!N49*DTE_mission_minutes!N49)*POWER(1+(Settings!$C$31/100),M$1-2021),"-")</f>
        <v>627437.01359125809</v>
      </c>
      <c r="N49" s="128">
        <f>IFERROR((lifespans_all!O49*DTE_mission_minutes!O49)*POWER(1+(Settings!$C$31/100),N$1-2021),"-")</f>
        <v>639985.75386308308</v>
      </c>
      <c r="O49" s="128">
        <f>IFERROR((lifespans_all!P49*DTE_mission_minutes!P49)*POWER(1+(Settings!$C$31/100),O$1-2021),"-")</f>
        <v>652785.46894034487</v>
      </c>
      <c r="P49" s="128">
        <f>IFERROR((lifespans_all!Q49*DTE_mission_minutes!Q49)*POWER(1+(Settings!$C$31/100),P$1-2021),"-")</f>
        <v>665841.17831915175</v>
      </c>
      <c r="Q49" s="128">
        <f>IFERROR((lifespans_all!R49*DTE_mission_minutes!R49)*POWER(1+(Settings!$C$31/100),Q$1-2021),"-")</f>
        <v>679158.00188553485</v>
      </c>
      <c r="R49" s="128">
        <f>IFERROR((lifespans_all!S49*DTE_mission_minutes!S49)*POWER(1+(Settings!$C$31/100),R$1-2021),"-")</f>
        <v>692741.16192324529</v>
      </c>
      <c r="S49" s="128">
        <f>IFERROR((lifespans_all!T49*DTE_mission_minutes!T49)*POWER(1+(Settings!$C$31/100),S$1-2021),"-")</f>
        <v>706595.98516171041</v>
      </c>
      <c r="T49" s="128">
        <f>IFERROR((lifespans_all!U49*DTE_mission_minutes!U49)*POWER(1+(Settings!$C$31/100),T$1-2021),"-")</f>
        <v>720727.90486494463</v>
      </c>
      <c r="U49" s="128">
        <f>IFERROR((lifespans_all!V49*DTE_mission_minutes!V49)*POWER(1+(Settings!$C$31/100),U$1-2021),"-")</f>
        <v>735142.46296224347</v>
      </c>
      <c r="V49" s="128">
        <f>IFERROR((lifespans_all!W49*DTE_mission_minutes!W49)*POWER(1+(Settings!$C$31/100),V$1-2021),"-")</f>
        <v>749845.31222148833</v>
      </c>
    </row>
    <row r="50" spans="1:22" x14ac:dyDescent="0.25">
      <c r="A50" s="38" t="str">
        <f>DTE_mission_minutes!A50</f>
        <v>New</v>
      </c>
      <c r="B50" s="38" t="str">
        <f>DTE_mission_minutes!B50</f>
        <v>Near Earth Robotic - LEO Science</v>
      </c>
      <c r="C50" s="128">
        <f>IFERROR((lifespans_all!D50*DTE_mission_minutes!D50)*POWER(1+(Settings!$C$31/100),C$1-2021),"-")</f>
        <v>15874.186310000001</v>
      </c>
      <c r="D50" s="128">
        <f>IFERROR((lifespans_all!E50*DTE_mission_minutes!E50)*POWER(1+(Settings!$C$31/100),D$1-2021),"-")</f>
        <v>82027.134810133328</v>
      </c>
      <c r="E50" s="128">
        <f>IFERROR((lifespans_all!F50*DTE_mission_minutes!F50)*POWER(1+(Settings!$C$31/100),E$1-2021),"-")</f>
        <v>108708.00030086399</v>
      </c>
      <c r="F50" s="128">
        <f>IFERROR((lifespans_all!G50*DTE_mission_minutes!G50)*POWER(1+(Settings!$C$31/100),F$1-2021),"-")</f>
        <v>209210.94537935356</v>
      </c>
      <c r="G50" s="128">
        <f>IFERROR((lifespans_all!H50*DTE_mission_minutes!H50)*POWER(1+(Settings!$C$31/100),G$1-2021),"-")</f>
        <v>317209.02799410099</v>
      </c>
      <c r="H50" s="128">
        <f>IFERROR((lifespans_all!I50*DTE_mission_minutes!I50)*POWER(1+(Settings!$C$31/100),H$1-2021),"-")</f>
        <v>429443.34953528654</v>
      </c>
      <c r="I50" s="128">
        <f>IFERROR((lifespans_all!J50*DTE_mission_minutes!J50)*POWER(1+(Settings!$C$31/100),I$1-2021),"-")</f>
        <v>546040.16032692185</v>
      </c>
      <c r="J50" s="128">
        <f>IFERROR((lifespans_all!K50*DTE_mission_minutes!K50)*POWER(1+(Settings!$C$31/100),J$1-2021),"-")</f>
        <v>636526.81546681176</v>
      </c>
      <c r="K50" s="128">
        <f>IFERROR((lifespans_all!L50*DTE_mission_minutes!L50)*POWER(1+(Settings!$C$31/100),K$1-2021),"-")</f>
        <v>667985.92923122912</v>
      </c>
      <c r="L50" s="128">
        <f>IFERROR((lifespans_all!M50*DTE_mission_minutes!M50)*POWER(1+(Settings!$C$31/100),L$1-2021),"-")</f>
        <v>700448.7968200366</v>
      </c>
      <c r="M50" s="128">
        <f>IFERROR((lifespans_all!N50*DTE_mission_minutes!N50)*POWER(1+(Settings!$C$31/100),M$1-2021),"-")</f>
        <v>714457.77275643742</v>
      </c>
      <c r="N50" s="128">
        <f>IFERROR((lifespans_all!O50*DTE_mission_minutes!O50)*POWER(1+(Settings!$C$31/100),N$1-2021),"-")</f>
        <v>728746.92821156594</v>
      </c>
      <c r="O50" s="128">
        <f>IFERROR((lifespans_all!P50*DTE_mission_minutes!P50)*POWER(1+(Settings!$C$31/100),O$1-2021),"-")</f>
        <v>743321.86677579745</v>
      </c>
      <c r="P50" s="128">
        <f>IFERROR((lifespans_all!Q50*DTE_mission_minutes!Q50)*POWER(1+(Settings!$C$31/100),P$1-2021),"-")</f>
        <v>758188.30411131331</v>
      </c>
      <c r="Q50" s="128">
        <f>IFERROR((lifespans_all!R50*DTE_mission_minutes!R50)*POWER(1+(Settings!$C$31/100),Q$1-2021),"-")</f>
        <v>773352.07019353972</v>
      </c>
      <c r="R50" s="128">
        <f>IFERROR((lifespans_all!S50*DTE_mission_minutes!S50)*POWER(1+(Settings!$C$31/100),R$1-2021),"-")</f>
        <v>788819.11159741029</v>
      </c>
      <c r="S50" s="128">
        <f>IFERROR((lifespans_all!T50*DTE_mission_minutes!T50)*POWER(1+(Settings!$C$31/100),S$1-2021),"-")</f>
        <v>804595.4938293586</v>
      </c>
      <c r="T50" s="128">
        <f>IFERROR((lifespans_all!U50*DTE_mission_minutes!U50)*POWER(1+(Settings!$C$31/100),T$1-2021),"-")</f>
        <v>820687.40370594582</v>
      </c>
      <c r="U50" s="128">
        <f>IFERROR((lifespans_all!V50*DTE_mission_minutes!V50)*POWER(1+(Settings!$C$31/100),U$1-2021),"-")</f>
        <v>837101.15178006468</v>
      </c>
      <c r="V50" s="128">
        <f>IFERROR((lifespans_all!W50*DTE_mission_minutes!W50)*POWER(1+(Settings!$C$31/100),V$1-2021),"-")</f>
        <v>853843.17481566593</v>
      </c>
    </row>
    <row r="51" spans="1:22" x14ac:dyDescent="0.25">
      <c r="A51" s="38" t="str">
        <f>DTE_mission_minutes!A51</f>
        <v>New</v>
      </c>
      <c r="B51" s="38" t="str">
        <f>DTE_mission_minutes!B51</f>
        <v>Near Earth Robotic - GEO and Near Earth</v>
      </c>
      <c r="C51" s="128">
        <f>IFERROR((lifespans_all!D51*DTE_mission_minutes!D51)*POWER(1+(Settings!$C$31/100),C$1-2021),"-")</f>
        <v>428.08682076190473</v>
      </c>
      <c r="D51" s="128">
        <f>IFERROR((lifespans_all!E51*DTE_mission_minutes!E51)*POWER(1+(Settings!$C$31/100),D$1-2021),"-")</f>
        <v>873.29711435428567</v>
      </c>
      <c r="E51" s="128">
        <f>IFERROR((lifespans_all!F51*DTE_mission_minutes!F51)*POWER(1+(Settings!$C$31/100),E$1-2021),"-")</f>
        <v>10243.775151375768</v>
      </c>
      <c r="F51" s="128">
        <f>IFERROR((lifespans_all!G51*DTE_mission_minutes!G51)*POWER(1+(Settings!$C$31/100),F$1-2021),"-")</f>
        <v>10902.939813290384</v>
      </c>
      <c r="G51" s="128">
        <f>IFERROR((lifespans_all!H51*DTE_mission_minutes!H51)*POWER(1+(Settings!$C$31/100),G$1-2021),"-")</f>
        <v>11584.373551621033</v>
      </c>
      <c r="H51" s="128">
        <f>IFERROR((lifespans_all!I51*DTE_mission_minutes!I51)*POWER(1+(Settings!$C$31/100),H$1-2021),"-")</f>
        <v>12288.703463559594</v>
      </c>
      <c r="I51" s="128">
        <f>IFERROR((lifespans_all!J51*DTE_mission_minutes!J51)*POWER(1+(Settings!$C$31/100),I$1-2021),"-")</f>
        <v>13016.572822555048</v>
      </c>
      <c r="J51" s="128">
        <f>IFERROR((lifespans_all!K51*DTE_mission_minutes!K51)*POWER(1+(Settings!$C$31/100),J$1-2021),"-")</f>
        <v>13768.641474524889</v>
      </c>
      <c r="K51" s="128">
        <f>IFERROR((lifespans_all!L51*DTE_mission_minutes!L51)*POWER(1+(Settings!$C$31/100),K$1-2021),"-")</f>
        <v>14545.58624344451</v>
      </c>
      <c r="L51" s="128">
        <f>IFERROR((lifespans_all!M51*DTE_mission_minutes!M51)*POWER(1+(Settings!$C$31/100),L$1-2021),"-")</f>
        <v>15348.101346531104</v>
      </c>
      <c r="M51" s="128">
        <f>IFERROR((lifespans_all!N51*DTE_mission_minutes!N51)*POWER(1+(Settings!$C$31/100),M$1-2021),"-")</f>
        <v>15655.063373461728</v>
      </c>
      <c r="N51" s="128">
        <f>IFERROR((lifespans_all!O51*DTE_mission_minutes!O51)*POWER(1+(Settings!$C$31/100),N$1-2021),"-")</f>
        <v>15968.16464093096</v>
      </c>
      <c r="O51" s="128">
        <f>IFERROR((lifespans_all!P51*DTE_mission_minutes!P51)*POWER(1+(Settings!$C$31/100),O$1-2021),"-")</f>
        <v>16287.527933749581</v>
      </c>
      <c r="P51" s="128">
        <f>IFERROR((lifespans_all!Q51*DTE_mission_minutes!Q51)*POWER(1+(Settings!$C$31/100),P$1-2021),"-")</f>
        <v>16613.278492424572</v>
      </c>
      <c r="Q51" s="128">
        <f>IFERROR((lifespans_all!R51*DTE_mission_minutes!R51)*POWER(1+(Settings!$C$31/100),Q$1-2021),"-")</f>
        <v>16945.544062273064</v>
      </c>
      <c r="R51" s="128">
        <f>IFERROR((lifespans_all!S51*DTE_mission_minutes!S51)*POWER(1+(Settings!$C$31/100),R$1-2021),"-")</f>
        <v>17284.454943518522</v>
      </c>
      <c r="S51" s="128">
        <f>IFERROR((lifespans_all!T51*DTE_mission_minutes!T51)*POWER(1+(Settings!$C$31/100),S$1-2021),"-")</f>
        <v>17630.144042388896</v>
      </c>
      <c r="T51" s="128">
        <f>IFERROR((lifespans_all!U51*DTE_mission_minutes!U51)*POWER(1+(Settings!$C$31/100),T$1-2021),"-")</f>
        <v>17982.746923236675</v>
      </c>
      <c r="U51" s="128">
        <f>IFERROR((lifespans_all!V51*DTE_mission_minutes!V51)*POWER(1+(Settings!$C$31/100),U$1-2021),"-")</f>
        <v>18342.401861701404</v>
      </c>
      <c r="V51" s="128">
        <f>IFERROR((lifespans_all!W51*DTE_mission_minutes!W51)*POWER(1+(Settings!$C$31/100),V$1-2021),"-")</f>
        <v>18709.249898935432</v>
      </c>
    </row>
    <row r="52" spans="1:22" x14ac:dyDescent="0.25">
      <c r="A52" s="38" t="str">
        <f>DTE_mission_minutes!A52</f>
        <v>New</v>
      </c>
      <c r="B52" s="38" t="str">
        <f>DTE_mission_minutes!B52</f>
        <v>Deep Space Robotic</v>
      </c>
      <c r="C52" s="128" t="str">
        <f>IFERROR((lifespans_all!D52*DTE_mission_minutes!D52)*POWER(1+(Settings!$C$31/100),C$1-2021),"-")</f>
        <v>-</v>
      </c>
      <c r="D52" s="128" t="str">
        <f>IFERROR((lifespans_all!E52*DTE_mission_minutes!E52)*POWER(1+(Settings!$C$31/100),D$1-2021),"-")</f>
        <v>-</v>
      </c>
      <c r="E52" s="128" t="str">
        <f>IFERROR((lifespans_all!F52*DTE_mission_minutes!F52)*POWER(1+(Settings!$C$31/100),E$1-2021),"-")</f>
        <v>-</v>
      </c>
      <c r="F52" s="128" t="str">
        <f>IFERROR((lifespans_all!G52*DTE_mission_minutes!G52)*POWER(1+(Settings!$C$31/100),F$1-2021),"-")</f>
        <v>-</v>
      </c>
      <c r="G52" s="128" t="str">
        <f>IFERROR((lifespans_all!H52*DTE_mission_minutes!H52)*POWER(1+(Settings!$C$31/100),G$1-2021),"-")</f>
        <v>-</v>
      </c>
      <c r="H52" s="128" t="str">
        <f>IFERROR((lifespans_all!I52*DTE_mission_minutes!I52)*POWER(1+(Settings!$C$31/100),H$1-2021),"-")</f>
        <v>-</v>
      </c>
      <c r="I52" s="128" t="str">
        <f>IFERROR((lifespans_all!J52*DTE_mission_minutes!J52)*POWER(1+(Settings!$C$31/100),I$1-2021),"-")</f>
        <v>-</v>
      </c>
      <c r="J52" s="128" t="str">
        <f>IFERROR((lifespans_all!K52*DTE_mission_minutes!K52)*POWER(1+(Settings!$C$31/100),J$1-2021),"-")</f>
        <v>-</v>
      </c>
      <c r="K52" s="128" t="str">
        <f>IFERROR((lifespans_all!L52*DTE_mission_minutes!L52)*POWER(1+(Settings!$C$31/100),K$1-2021),"-")</f>
        <v>-</v>
      </c>
      <c r="L52" s="128" t="str">
        <f>IFERROR((lifespans_all!M52*DTE_mission_minutes!M52)*POWER(1+(Settings!$C$31/100),L$1-2021),"-")</f>
        <v>-</v>
      </c>
      <c r="M52" s="128" t="str">
        <f>IFERROR((lifespans_all!N52*DTE_mission_minutes!N52)*POWER(1+(Settings!$C$31/100),M$1-2021),"-")</f>
        <v>-</v>
      </c>
      <c r="N52" s="128" t="str">
        <f>IFERROR((lifespans_all!O52*DTE_mission_minutes!O52)*POWER(1+(Settings!$C$31/100),N$1-2021),"-")</f>
        <v>-</v>
      </c>
      <c r="O52" s="128" t="str">
        <f>IFERROR((lifespans_all!P52*DTE_mission_minutes!P52)*POWER(1+(Settings!$C$31/100),O$1-2021),"-")</f>
        <v>-</v>
      </c>
      <c r="P52" s="128" t="str">
        <f>IFERROR((lifespans_all!Q52*DTE_mission_minutes!Q52)*POWER(1+(Settings!$C$31/100),P$1-2021),"-")</f>
        <v>-</v>
      </c>
      <c r="Q52" s="128" t="str">
        <f>IFERROR((lifespans_all!R52*DTE_mission_minutes!R52)*POWER(1+(Settings!$C$31/100),Q$1-2021),"-")</f>
        <v>-</v>
      </c>
      <c r="R52" s="128" t="str">
        <f>IFERROR((lifespans_all!S52*DTE_mission_minutes!S52)*POWER(1+(Settings!$C$31/100),R$1-2021),"-")</f>
        <v>-</v>
      </c>
      <c r="S52" s="128" t="str">
        <f>IFERROR((lifespans_all!T52*DTE_mission_minutes!T52)*POWER(1+(Settings!$C$31/100),S$1-2021),"-")</f>
        <v>-</v>
      </c>
      <c r="T52" s="128" t="str">
        <f>IFERROR((lifespans_all!U52*DTE_mission_minutes!U52)*POWER(1+(Settings!$C$31/100),T$1-2021),"-")</f>
        <v>-</v>
      </c>
      <c r="U52" s="128" t="str">
        <f>IFERROR((lifespans_all!V52*DTE_mission_minutes!V52)*POWER(1+(Settings!$C$31/100),U$1-2021),"-")</f>
        <v>-</v>
      </c>
      <c r="V52" s="128" t="str">
        <f>IFERROR((lifespans_all!W52*DTE_mission_minutes!W52)*POWER(1+(Settings!$C$31/100),V$1-2021),"-")</f>
        <v>-</v>
      </c>
    </row>
    <row r="53" spans="1:22" x14ac:dyDescent="0.25">
      <c r="A53" s="38" t="str">
        <f>DTE_mission_minutes!A53</f>
        <v>New</v>
      </c>
      <c r="B53" s="38" t="str">
        <f>DTE_mission_minutes!B53</f>
        <v>Near Earth Robotic - Low Latency &amp; Complex Needs</v>
      </c>
      <c r="C53" s="128">
        <f>IFERROR((lifespans_all!D53*DTE_mission_minutes!D53)*POWER(1+(Settings!$C$31/100),C$1-2021),"-")</f>
        <v>0</v>
      </c>
      <c r="D53" s="128">
        <f>IFERROR((lifespans_all!E53*DTE_mission_minutes!E53)*POWER(1+(Settings!$C$31/100),D$1-2021),"-")</f>
        <v>0</v>
      </c>
      <c r="E53" s="128">
        <f>IFERROR((lifespans_all!F53*DTE_mission_minutes!F53)*POWER(1+(Settings!$C$31/100),E$1-2021),"-")</f>
        <v>0</v>
      </c>
      <c r="F53" s="128">
        <f>IFERROR((lifespans_all!G53*DTE_mission_minutes!G53)*POWER(1+(Settings!$C$31/100),F$1-2021),"-")</f>
        <v>0</v>
      </c>
      <c r="G53" s="128">
        <f>IFERROR((lifespans_all!H53*DTE_mission_minutes!H53)*POWER(1+(Settings!$C$31/100),G$1-2021),"-")</f>
        <v>0</v>
      </c>
      <c r="H53" s="128">
        <f>IFERROR((lifespans_all!I53*DTE_mission_minutes!I53)*POWER(1+(Settings!$C$31/100),H$1-2021),"-")</f>
        <v>0</v>
      </c>
      <c r="I53" s="128">
        <f>IFERROR((lifespans_all!J53*DTE_mission_minutes!J53)*POWER(1+(Settings!$C$31/100),I$1-2021),"-")</f>
        <v>0</v>
      </c>
      <c r="J53" s="128">
        <f>IFERROR((lifespans_all!K53*DTE_mission_minutes!K53)*POWER(1+(Settings!$C$31/100),J$1-2021),"-")</f>
        <v>0</v>
      </c>
      <c r="K53" s="128">
        <f>IFERROR((lifespans_all!L53*DTE_mission_minutes!L53)*POWER(1+(Settings!$C$31/100),K$1-2021),"-")</f>
        <v>0</v>
      </c>
      <c r="L53" s="128">
        <f>IFERROR((lifespans_all!M53*DTE_mission_minutes!M53)*POWER(1+(Settings!$C$31/100),L$1-2021),"-")</f>
        <v>0</v>
      </c>
      <c r="M53" s="128">
        <f>IFERROR((lifespans_all!N53*DTE_mission_minutes!N53)*POWER(1+(Settings!$C$31/100),M$1-2021),"-")</f>
        <v>0</v>
      </c>
      <c r="N53" s="128">
        <f>IFERROR((lifespans_all!O53*DTE_mission_minutes!O53)*POWER(1+(Settings!$C$31/100),N$1-2021),"-")</f>
        <v>0</v>
      </c>
      <c r="O53" s="128">
        <f>IFERROR((lifespans_all!P53*DTE_mission_minutes!P53)*POWER(1+(Settings!$C$31/100),O$1-2021),"-")</f>
        <v>0</v>
      </c>
      <c r="P53" s="128">
        <f>IFERROR((lifespans_all!Q53*DTE_mission_minutes!Q53)*POWER(1+(Settings!$C$31/100),P$1-2021),"-")</f>
        <v>0</v>
      </c>
      <c r="Q53" s="128">
        <f>IFERROR((lifespans_all!R53*DTE_mission_minutes!R53)*POWER(1+(Settings!$C$31/100),Q$1-2021),"-")</f>
        <v>0</v>
      </c>
      <c r="R53" s="128">
        <f>IFERROR((lifespans_all!S53*DTE_mission_minutes!S53)*POWER(1+(Settings!$C$31/100),R$1-2021),"-")</f>
        <v>0</v>
      </c>
      <c r="S53" s="128">
        <f>IFERROR((lifespans_all!T53*DTE_mission_minutes!T53)*POWER(1+(Settings!$C$31/100),S$1-2021),"-")</f>
        <v>0</v>
      </c>
      <c r="T53" s="128">
        <f>IFERROR((lifespans_all!U53*DTE_mission_minutes!U53)*POWER(1+(Settings!$C$31/100),T$1-2021),"-")</f>
        <v>0</v>
      </c>
      <c r="U53" s="128">
        <f>IFERROR((lifespans_all!V53*DTE_mission_minutes!V53)*POWER(1+(Settings!$C$31/100),U$1-2021),"-")</f>
        <v>0</v>
      </c>
      <c r="V53" s="128">
        <f>IFERROR((lifespans_all!W53*DTE_mission_minutes!W53)*POWER(1+(Settings!$C$31/100),V$1-2021),"-")</f>
        <v>0</v>
      </c>
    </row>
    <row r="54" spans="1:22" x14ac:dyDescent="0.25">
      <c r="A54" s="38" t="str">
        <f>DTE_mission_minutes!A54</f>
        <v>New</v>
      </c>
      <c r="B54" s="38" t="str">
        <f>DTE_mission_minutes!B54</f>
        <v>Mission Operations</v>
      </c>
      <c r="C54" s="128" t="str">
        <f>IFERROR((lifespans_all!D54*DTE_mission_minutes!D54)*POWER(1+(Settings!$C$31/100),C$1-2021),"-")</f>
        <v>-</v>
      </c>
      <c r="D54" s="128" t="str">
        <f>IFERROR((lifespans_all!E54*DTE_mission_minutes!E54)*POWER(1+(Settings!$C$31/100),D$1-2021),"-")</f>
        <v>-</v>
      </c>
      <c r="E54" s="128" t="str">
        <f>IFERROR((lifespans_all!F54*DTE_mission_minutes!F54)*POWER(1+(Settings!$C$31/100),E$1-2021),"-")</f>
        <v>-</v>
      </c>
      <c r="F54" s="128" t="str">
        <f>IFERROR((lifespans_all!G54*DTE_mission_minutes!G54)*POWER(1+(Settings!$C$31/100),F$1-2021),"-")</f>
        <v>-</v>
      </c>
      <c r="G54" s="128" t="str">
        <f>IFERROR((lifespans_all!H54*DTE_mission_minutes!H54)*POWER(1+(Settings!$C$31/100),G$1-2021),"-")</f>
        <v>-</v>
      </c>
      <c r="H54" s="128" t="str">
        <f>IFERROR((lifespans_all!I54*DTE_mission_minutes!I54)*POWER(1+(Settings!$C$31/100),H$1-2021),"-")</f>
        <v>-</v>
      </c>
      <c r="I54" s="128" t="str">
        <f>IFERROR((lifespans_all!J54*DTE_mission_minutes!J54)*POWER(1+(Settings!$C$31/100),I$1-2021),"-")</f>
        <v>-</v>
      </c>
      <c r="J54" s="128" t="str">
        <f>IFERROR((lifespans_all!K54*DTE_mission_minutes!K54)*POWER(1+(Settings!$C$31/100),J$1-2021),"-")</f>
        <v>-</v>
      </c>
      <c r="K54" s="128" t="str">
        <f>IFERROR((lifespans_all!L54*DTE_mission_minutes!L54)*POWER(1+(Settings!$C$31/100),K$1-2021),"-")</f>
        <v>-</v>
      </c>
      <c r="L54" s="128" t="str">
        <f>IFERROR((lifespans_all!M54*DTE_mission_minutes!M54)*POWER(1+(Settings!$C$31/100),L$1-2021),"-")</f>
        <v>-</v>
      </c>
      <c r="M54" s="128" t="str">
        <f>IFERROR((lifespans_all!N54*DTE_mission_minutes!N54)*POWER(1+(Settings!$C$31/100),M$1-2021),"-")</f>
        <v>-</v>
      </c>
      <c r="N54" s="128" t="str">
        <f>IFERROR((lifespans_all!O54*DTE_mission_minutes!O54)*POWER(1+(Settings!$C$31/100),N$1-2021),"-")</f>
        <v>-</v>
      </c>
      <c r="O54" s="128" t="str">
        <f>IFERROR((lifespans_all!P54*DTE_mission_minutes!P54)*POWER(1+(Settings!$C$31/100),O$1-2021),"-")</f>
        <v>-</v>
      </c>
      <c r="P54" s="128" t="str">
        <f>IFERROR((lifespans_all!Q54*DTE_mission_minutes!Q54)*POWER(1+(Settings!$C$31/100),P$1-2021),"-")</f>
        <v>-</v>
      </c>
      <c r="Q54" s="128" t="str">
        <f>IFERROR((lifespans_all!R54*DTE_mission_minutes!R54)*POWER(1+(Settings!$C$31/100),Q$1-2021),"-")</f>
        <v>-</v>
      </c>
      <c r="R54" s="128" t="str">
        <f>IFERROR((lifespans_all!S54*DTE_mission_minutes!S54)*POWER(1+(Settings!$C$31/100),R$1-2021),"-")</f>
        <v>-</v>
      </c>
      <c r="S54" s="128" t="str">
        <f>IFERROR((lifespans_all!T54*DTE_mission_minutes!T54)*POWER(1+(Settings!$C$31/100),S$1-2021),"-")</f>
        <v>-</v>
      </c>
      <c r="T54" s="128" t="str">
        <f>IFERROR((lifespans_all!U54*DTE_mission_minutes!U54)*POWER(1+(Settings!$C$31/100),T$1-2021),"-")</f>
        <v>-</v>
      </c>
      <c r="U54" s="128" t="str">
        <f>IFERROR((lifespans_all!V54*DTE_mission_minutes!V54)*POWER(1+(Settings!$C$31/100),U$1-2021),"-")</f>
        <v>-</v>
      </c>
      <c r="V54" s="128" t="str">
        <f>IFERROR((lifespans_all!W54*DTE_mission_minutes!W54)*POWER(1+(Settings!$C$31/100),V$1-2021),"-")</f>
        <v>-</v>
      </c>
    </row>
    <row r="55" spans="1:22" x14ac:dyDescent="0.25">
      <c r="A55" s="38" t="str">
        <f>DTE_mission_minutes!A55</f>
        <v>New</v>
      </c>
      <c r="B55" s="38" t="str">
        <f>DTE_mission_minutes!B55</f>
        <v>Launch Events</v>
      </c>
      <c r="C55" s="128">
        <f>IFERROR((lifespans_all!D55*DTE_mission_minutes!D55)*POWER(1+(Settings!$C$31/100),C$1-2021),"-")</f>
        <v>144.22270488888887</v>
      </c>
      <c r="D55" s="128">
        <f>IFERROR((lifespans_all!E55*DTE_mission_minutes!E55)*POWER(1+(Settings!$C$31/100),D$1-2021),"-")</f>
        <v>294.21431797333332</v>
      </c>
      <c r="E55" s="128">
        <f>IFERROR((lifespans_all!F55*DTE_mission_minutes!F55)*POWER(1+(Settings!$C$31/100),E$1-2021),"-")</f>
        <v>450.14790649920002</v>
      </c>
      <c r="F55" s="128">
        <f>IFERROR((lifespans_all!G55*DTE_mission_minutes!G55)*POWER(1+(Settings!$C$31/100),F$1-2021),"-")</f>
        <v>612.20115283891187</v>
      </c>
      <c r="G55" s="128">
        <f>IFERROR((lifespans_all!H55*DTE_mission_minutes!H55)*POWER(1+(Settings!$C$31/100),G$1-2021),"-")</f>
        <v>1561.1129397392253</v>
      </c>
      <c r="H55" s="128">
        <f>IFERROR((lifespans_all!I55*DTE_mission_minutes!I55)*POWER(1+(Settings!$C$31/100),H$1-2021),"-")</f>
        <v>1751.5687183874111</v>
      </c>
      <c r="I55" s="128">
        <f>IFERROR((lifespans_all!J55*DTE_mission_minutes!J55)*POWER(1+(Settings!$C$31/100),I$1-2021),"-")</f>
        <v>1949.0182830056283</v>
      </c>
      <c r="J55" s="128">
        <f>IFERROR((lifespans_all!K55*DTE_mission_minutes!K55)*POWER(1+(Settings!$C$31/100),J$1-2021),"-")</f>
        <v>2153.6652027212185</v>
      </c>
      <c r="K55" s="128">
        <f>IFERROR((lifespans_all!L55*DTE_mission_minutes!L55)*POWER(1+(Settings!$C$31/100),K$1-2021),"-")</f>
        <v>2365.7183919122308</v>
      </c>
      <c r="L55" s="128">
        <f>IFERROR((lifespans_all!M55*DTE_mission_minutes!M55)*POWER(1+(Settings!$C$31/100),L$1-2021),"-")</f>
        <v>2585.3922425897954</v>
      </c>
      <c r="M55" s="128">
        <f>IFERROR((lifespans_all!N55*DTE_mission_minutes!N55)*POWER(1+(Settings!$C$31/100),M$1-2021),"-")</f>
        <v>2637.1000874415913</v>
      </c>
      <c r="N55" s="128">
        <f>IFERROR((lifespans_all!O55*DTE_mission_minutes!O55)*POWER(1+(Settings!$C$31/100),N$1-2021),"-")</f>
        <v>2689.8420891904229</v>
      </c>
      <c r="O55" s="128">
        <f>IFERROR((lifespans_all!P55*DTE_mission_minutes!P55)*POWER(1+(Settings!$C$31/100),O$1-2021),"-")</f>
        <v>2743.6389309742317</v>
      </c>
      <c r="P55" s="128">
        <f>IFERROR((lifespans_all!Q55*DTE_mission_minutes!Q55)*POWER(1+(Settings!$C$31/100),P$1-2021),"-")</f>
        <v>2798.5117095937162</v>
      </c>
      <c r="Q55" s="128">
        <f>IFERROR((lifespans_all!R55*DTE_mission_minutes!R55)*POWER(1+(Settings!$C$31/100),Q$1-2021),"-")</f>
        <v>2854.4819437855908</v>
      </c>
      <c r="R55" s="128">
        <f>IFERROR((lifespans_all!S55*DTE_mission_minutes!S55)*POWER(1+(Settings!$C$31/100),R$1-2021),"-")</f>
        <v>2911.5715826613018</v>
      </c>
      <c r="S55" s="128">
        <f>IFERROR((lifespans_all!T55*DTE_mission_minutes!T55)*POWER(1+(Settings!$C$31/100),S$1-2021),"-")</f>
        <v>2969.8030143145284</v>
      </c>
      <c r="T55" s="128">
        <f>IFERROR((lifespans_all!U55*DTE_mission_minutes!U55)*POWER(1+(Settings!$C$31/100),T$1-2021),"-")</f>
        <v>3029.1990746008191</v>
      </c>
      <c r="U55" s="128">
        <f>IFERROR((lifespans_all!V55*DTE_mission_minutes!V55)*POWER(1+(Settings!$C$31/100),U$1-2021),"-")</f>
        <v>3089.7830560928351</v>
      </c>
      <c r="V55" s="128">
        <f>IFERROR((lifespans_all!W55*DTE_mission_minutes!W55)*POWER(1+(Settings!$C$31/100),V$1-2021),"-")</f>
        <v>3151.578717214692</v>
      </c>
    </row>
    <row r="56" spans="1:22" x14ac:dyDescent="0.25">
      <c r="A56" s="38" t="str">
        <f>DTE_mission_minutes!A56</f>
        <v>New</v>
      </c>
      <c r="B56" s="38" t="str">
        <f>DTE_mission_minutes!B56</f>
        <v>Terrestrial &amp; Aerial</v>
      </c>
      <c r="C56" s="128">
        <f>IFERROR((lifespans_all!D56*DTE_mission_minutes!D56)*POWER(1+(Settings!$C$31/100),C$1-2021),"-")</f>
        <v>8945.3837836666698</v>
      </c>
      <c r="D56" s="128">
        <f>IFERROR((lifespans_all!E56*DTE_mission_minutes!E56)*POWER(1+(Settings!$C$31/100),D$1-2021),"-")</f>
        <v>109491.49751208002</v>
      </c>
      <c r="E56" s="128">
        <f>IFERROR((lifespans_all!F56*DTE_mission_minutes!F56)*POWER(1+(Settings!$C$31/100),E$1-2021),"-")</f>
        <v>120988.10475084843</v>
      </c>
      <c r="F56" s="128">
        <f>IFERROR((lifespans_all!G56*DTE_mission_minutes!G56)*POWER(1+(Settings!$C$31/100),F$1-2021),"-")</f>
        <v>132900.77968016273</v>
      </c>
      <c r="G56" s="128">
        <f>IFERROR((lifespans_all!H56*DTE_mission_minutes!H56)*POWER(1+(Settings!$C$31/100),G$1-2021),"-")</f>
        <v>145241.56636474928</v>
      </c>
      <c r="H56" s="128">
        <f>IFERROR((lifespans_all!I56*DTE_mission_minutes!I56)*POWER(1+(Settings!$C$31/100),H$1-2021),"-")</f>
        <v>256787.08933287673</v>
      </c>
      <c r="I56" s="128">
        <f>IFERROR((lifespans_all!J56*DTE_mission_minutes!J56)*POWER(1+(Settings!$C$31/100),I$1-2021),"-")</f>
        <v>271996.78616259329</v>
      </c>
      <c r="J56" s="128">
        <f>IFERROR((lifespans_all!K56*DTE_mission_minutes!K56)*POWER(1+(Settings!$C$31/100),J$1-2021),"-")</f>
        <v>287712.15602976526</v>
      </c>
      <c r="K56" s="128">
        <f>IFERROR((lifespans_all!L56*DTE_mission_minutes!L56)*POWER(1+(Settings!$C$31/100),K$1-2021),"-")</f>
        <v>303947.3419771592</v>
      </c>
      <c r="L56" s="128">
        <f>IFERROR((lifespans_all!M56*DTE_mission_minutes!M56)*POWER(1+(Settings!$C$31/100),L$1-2021),"-")</f>
        <v>320716.85050003696</v>
      </c>
      <c r="M56" s="128">
        <f>IFERROR((lifespans_all!N56*DTE_mission_minutes!N56)*POWER(1+(Settings!$C$31/100),M$1-2021),"-")</f>
        <v>327131.18751003774</v>
      </c>
      <c r="N56" s="128">
        <f>IFERROR((lifespans_all!O56*DTE_mission_minutes!O56)*POWER(1+(Settings!$C$31/100),N$1-2021),"-")</f>
        <v>333673.81126023841</v>
      </c>
      <c r="O56" s="128">
        <f>IFERROR((lifespans_all!P56*DTE_mission_minutes!P56)*POWER(1+(Settings!$C$31/100),O$1-2021),"-")</f>
        <v>340347.28748544323</v>
      </c>
      <c r="P56" s="128">
        <f>IFERROR((lifespans_all!Q56*DTE_mission_minutes!Q56)*POWER(1+(Settings!$C$31/100),P$1-2021),"-")</f>
        <v>347154.23323515209</v>
      </c>
      <c r="Q56" s="128">
        <f>IFERROR((lifespans_all!R56*DTE_mission_minutes!R56)*POWER(1+(Settings!$C$31/100),Q$1-2021),"-")</f>
        <v>354097.31789985514</v>
      </c>
      <c r="R56" s="128">
        <f>IFERROR((lifespans_all!S56*DTE_mission_minutes!S56)*POWER(1+(Settings!$C$31/100),R$1-2021),"-")</f>
        <v>361179.26425785216</v>
      </c>
      <c r="S56" s="128">
        <f>IFERROR((lifespans_all!T56*DTE_mission_minutes!T56)*POWER(1+(Settings!$C$31/100),S$1-2021),"-")</f>
        <v>368402.84954300924</v>
      </c>
      <c r="T56" s="128">
        <f>IFERROR((lifespans_all!U56*DTE_mission_minutes!U56)*POWER(1+(Settings!$C$31/100),T$1-2021),"-")</f>
        <v>375770.90653386951</v>
      </c>
      <c r="U56" s="128">
        <f>IFERROR((lifespans_all!V56*DTE_mission_minutes!V56)*POWER(1+(Settings!$C$31/100),U$1-2021),"-")</f>
        <v>383286.32466454682</v>
      </c>
      <c r="V56" s="128">
        <f>IFERROR((lifespans_all!W56*DTE_mission_minutes!W56)*POWER(1+(Settings!$C$31/100),V$1-2021),"-")</f>
        <v>390952.05115783773</v>
      </c>
    </row>
    <row r="57" spans="1:22" x14ac:dyDescent="0.25">
      <c r="C57" s="3"/>
      <c r="D57" s="3"/>
      <c r="E57" s="3"/>
      <c r="F57" s="3"/>
      <c r="G57" s="3"/>
      <c r="H57" s="3"/>
      <c r="I57" s="3"/>
      <c r="J57" s="3"/>
      <c r="K57" s="3"/>
      <c r="L57" s="3"/>
      <c r="M57" s="3"/>
      <c r="N57" s="3"/>
      <c r="O57" s="3"/>
      <c r="P57" s="3"/>
      <c r="Q57" s="3"/>
      <c r="R57" s="3"/>
      <c r="S57" s="3"/>
      <c r="T57" s="3"/>
      <c r="U57" s="3"/>
      <c r="V57" s="3"/>
    </row>
    <row r="58" spans="1:22" x14ac:dyDescent="0.25">
      <c r="C58" s="40">
        <f t="shared" ref="C58:V58" si="0">SUM(C2:C56)</f>
        <v>1795039.8235102613</v>
      </c>
      <c r="D58" s="40">
        <f t="shared" si="0"/>
        <v>1712032.7915065847</v>
      </c>
      <c r="E58" s="40">
        <f t="shared" si="0"/>
        <v>1634845.5286081433</v>
      </c>
      <c r="F58" s="40">
        <f t="shared" si="0"/>
        <v>1503930.5668433644</v>
      </c>
      <c r="G58" s="40">
        <f t="shared" si="0"/>
        <v>1643640.1739629209</v>
      </c>
      <c r="H58" s="40">
        <f t="shared" si="0"/>
        <v>1750797.0358626444</v>
      </c>
      <c r="I58" s="40">
        <f t="shared" si="0"/>
        <v>1769950.3667780515</v>
      </c>
      <c r="J58" s="40">
        <f t="shared" si="0"/>
        <v>1895725.5754727831</v>
      </c>
      <c r="K58" s="40">
        <f t="shared" si="0"/>
        <v>1967664.6243255609</v>
      </c>
      <c r="L58" s="40">
        <f t="shared" si="0"/>
        <v>2042042.1041772945</v>
      </c>
      <c r="M58" s="40">
        <f t="shared" si="0"/>
        <v>2476595.2981749857</v>
      </c>
      <c r="N58" s="40">
        <f t="shared" si="0"/>
        <v>2510341.660921358</v>
      </c>
      <c r="O58" s="40">
        <f t="shared" si="0"/>
        <v>2544762.9509226582</v>
      </c>
      <c r="P58" s="40">
        <f t="shared" si="0"/>
        <v>2579872.6667239843</v>
      </c>
      <c r="Q58" s="40">
        <f t="shared" si="0"/>
        <v>2615684.5768413381</v>
      </c>
      <c r="R58" s="40">
        <f t="shared" si="0"/>
        <v>2652212.7251610369</v>
      </c>
      <c r="S58" s="40">
        <f t="shared" si="0"/>
        <v>2689471.4364471314</v>
      </c>
      <c r="T58" s="40">
        <f t="shared" si="0"/>
        <v>2727475.3219589465</v>
      </c>
      <c r="U58" s="40">
        <f t="shared" si="0"/>
        <v>2766239.2851809985</v>
      </c>
      <c r="V58" s="40">
        <f t="shared" si="0"/>
        <v>2805778.5276674908</v>
      </c>
    </row>
    <row r="60" spans="1:22" ht="14.4" thickBot="1" x14ac:dyDescent="0.3">
      <c r="B60" s="3" t="s">
        <v>8</v>
      </c>
      <c r="L60" s="67"/>
      <c r="M60" s="67"/>
    </row>
    <row r="61" spans="1:22" x14ac:dyDescent="0.25">
      <c r="B61" s="75" t="s">
        <v>102</v>
      </c>
      <c r="C61" s="95">
        <f>C1</f>
        <v>2021</v>
      </c>
      <c r="D61" s="95">
        <f t="shared" ref="D61:V61" si="1">D1</f>
        <v>2022</v>
      </c>
      <c r="E61" s="95">
        <f t="shared" si="1"/>
        <v>2023</v>
      </c>
      <c r="F61" s="95">
        <f t="shared" si="1"/>
        <v>2024</v>
      </c>
      <c r="G61" s="95">
        <f t="shared" si="1"/>
        <v>2025</v>
      </c>
      <c r="H61" s="95">
        <f t="shared" si="1"/>
        <v>2026</v>
      </c>
      <c r="I61" s="95">
        <f t="shared" si="1"/>
        <v>2027</v>
      </c>
      <c r="J61" s="95">
        <f t="shared" si="1"/>
        <v>2028</v>
      </c>
      <c r="K61" s="95">
        <f t="shared" si="1"/>
        <v>2029</v>
      </c>
      <c r="L61" s="95">
        <f t="shared" si="1"/>
        <v>2030</v>
      </c>
      <c r="M61" s="95">
        <f t="shared" si="1"/>
        <v>2031</v>
      </c>
      <c r="N61" s="95">
        <f t="shared" si="1"/>
        <v>2032</v>
      </c>
      <c r="O61" s="95">
        <f t="shared" si="1"/>
        <v>2033</v>
      </c>
      <c r="P61" s="95">
        <f t="shared" si="1"/>
        <v>2034</v>
      </c>
      <c r="Q61" s="95">
        <f t="shared" si="1"/>
        <v>2035</v>
      </c>
      <c r="R61" s="95">
        <f t="shared" si="1"/>
        <v>2036</v>
      </c>
      <c r="S61" s="95">
        <f t="shared" si="1"/>
        <v>2037</v>
      </c>
      <c r="T61" s="95">
        <f t="shared" si="1"/>
        <v>2038</v>
      </c>
      <c r="U61" s="95">
        <f t="shared" si="1"/>
        <v>2039</v>
      </c>
      <c r="V61" s="95">
        <f t="shared" si="1"/>
        <v>2040</v>
      </c>
    </row>
    <row r="62" spans="1:22" x14ac:dyDescent="0.25">
      <c r="B62" s="50" t="s">
        <v>59</v>
      </c>
      <c r="C62" s="51">
        <f>SUMIF($B2:$B56,$B62,C$2:C$56)</f>
        <v>712382.49858094449</v>
      </c>
      <c r="D62" s="51">
        <f t="shared" ref="D62:V62" si="2">SUMIF($B2:$B56,$B62,D$2:D$56)</f>
        <v>729953.40292672673</v>
      </c>
      <c r="E62" s="51">
        <f t="shared" si="2"/>
        <v>747255.61230061948</v>
      </c>
      <c r="F62" s="51">
        <f t="shared" si="2"/>
        <v>767739.76704890921</v>
      </c>
      <c r="G62" s="51">
        <f t="shared" si="2"/>
        <v>787767.89526501205</v>
      </c>
      <c r="H62" s="51">
        <f t="shared" si="2"/>
        <v>808568.01678689918</v>
      </c>
      <c r="I62" s="51">
        <f t="shared" si="2"/>
        <v>830163.00009551563</v>
      </c>
      <c r="J62" s="51">
        <f t="shared" si="2"/>
        <v>852576.31961372169</v>
      </c>
      <c r="K62" s="51">
        <f t="shared" si="2"/>
        <v>875832.07079657761</v>
      </c>
      <c r="L62" s="51">
        <f t="shared" si="2"/>
        <v>899954.98558286205</v>
      </c>
      <c r="M62" s="51">
        <f t="shared" si="2"/>
        <v>1313726.196762369</v>
      </c>
      <c r="N62" s="51">
        <f t="shared" si="2"/>
        <v>1326274.9370341941</v>
      </c>
      <c r="O62" s="51">
        <f t="shared" si="2"/>
        <v>1339074.6521114558</v>
      </c>
      <c r="P62" s="51">
        <f t="shared" si="2"/>
        <v>1352130.3614902627</v>
      </c>
      <c r="Q62" s="51">
        <f t="shared" si="2"/>
        <v>1365447.1850566459</v>
      </c>
      <c r="R62" s="51">
        <f t="shared" si="2"/>
        <v>1379030.3450943562</v>
      </c>
      <c r="S62" s="51">
        <f t="shared" si="2"/>
        <v>1392885.1683328215</v>
      </c>
      <c r="T62" s="51">
        <f t="shared" si="2"/>
        <v>1407017.0880360557</v>
      </c>
      <c r="U62" s="51">
        <f t="shared" si="2"/>
        <v>1421431.6461333544</v>
      </c>
      <c r="V62" s="51">
        <f t="shared" si="2"/>
        <v>1436134.4953925994</v>
      </c>
    </row>
    <row r="63" spans="1:22" x14ac:dyDescent="0.25">
      <c r="B63" s="50" t="s">
        <v>57</v>
      </c>
      <c r="C63" s="51">
        <f>SUMIF($B2:$B56,$B63,C$2:C$56)</f>
        <v>965113.88613833301</v>
      </c>
      <c r="D63" s="51">
        <f t="shared" ref="D63:V63" si="3">SUMIF($B2:$B56,$B63,D$2:D$56)</f>
        <v>763399.6963037838</v>
      </c>
      <c r="E63" s="51">
        <f t="shared" si="3"/>
        <v>654738.30399800662</v>
      </c>
      <c r="F63" s="51">
        <f t="shared" si="3"/>
        <v>490495.70815792494</v>
      </c>
      <c r="G63" s="51">
        <f t="shared" si="3"/>
        <v>596241.49548878346</v>
      </c>
      <c r="H63" s="51">
        <f t="shared" si="3"/>
        <v>571551.65276346111</v>
      </c>
      <c r="I63" s="51">
        <f t="shared" si="3"/>
        <v>552974.98461692187</v>
      </c>
      <c r="J63" s="51">
        <f t="shared" si="3"/>
        <v>639664.78835458949</v>
      </c>
      <c r="K63" s="51">
        <f t="shared" si="3"/>
        <v>671123.90211900685</v>
      </c>
      <c r="L63" s="51">
        <f t="shared" si="3"/>
        <v>703586.76970781432</v>
      </c>
      <c r="M63" s="51">
        <f t="shared" si="3"/>
        <v>717595.74564421515</v>
      </c>
      <c r="N63" s="51">
        <f t="shared" si="3"/>
        <v>731884.90109934367</v>
      </c>
      <c r="O63" s="51">
        <f t="shared" si="3"/>
        <v>746459.83966357517</v>
      </c>
      <c r="P63" s="51">
        <f t="shared" si="3"/>
        <v>761326.27699909103</v>
      </c>
      <c r="Q63" s="51">
        <f t="shared" si="3"/>
        <v>776490.04308131745</v>
      </c>
      <c r="R63" s="51">
        <f t="shared" si="3"/>
        <v>791957.08448518801</v>
      </c>
      <c r="S63" s="51">
        <f t="shared" si="3"/>
        <v>807733.46671713633</v>
      </c>
      <c r="T63" s="51">
        <f t="shared" si="3"/>
        <v>823825.37659372354</v>
      </c>
      <c r="U63" s="51">
        <f t="shared" si="3"/>
        <v>840239.12466784241</v>
      </c>
      <c r="V63" s="51">
        <f t="shared" si="3"/>
        <v>856981.14770344365</v>
      </c>
    </row>
    <row r="64" spans="1:22" x14ac:dyDescent="0.25">
      <c r="B64" s="50" t="s">
        <v>56</v>
      </c>
      <c r="C64" s="51">
        <f>SUMIF($B2:$B56,$B64,C$2:C$56)</f>
        <v>15632.417319650789</v>
      </c>
      <c r="D64" s="51">
        <f t="shared" ref="D64:V64" si="4">SUMIF($B2:$B56,$B64,D$2:D$56)</f>
        <v>16100.367785465394</v>
      </c>
      <c r="E64" s="51">
        <f t="shared" si="4"/>
        <v>18805.511566613863</v>
      </c>
      <c r="F64" s="51">
        <f t="shared" si="4"/>
        <v>19464.676228528479</v>
      </c>
      <c r="G64" s="51">
        <f t="shared" si="4"/>
        <v>20146.109966859127</v>
      </c>
      <c r="H64" s="51">
        <f t="shared" si="4"/>
        <v>20850.43987879769</v>
      </c>
      <c r="I64" s="51">
        <f t="shared" si="4"/>
        <v>21578.309237793143</v>
      </c>
      <c r="J64" s="51">
        <f t="shared" si="4"/>
        <v>22330.377889762982</v>
      </c>
      <c r="K64" s="51">
        <f t="shared" si="4"/>
        <v>23107.322658682606</v>
      </c>
      <c r="L64" s="51">
        <f t="shared" si="4"/>
        <v>23909.837761769199</v>
      </c>
      <c r="M64" s="51">
        <f t="shared" si="4"/>
        <v>24216.79978869982</v>
      </c>
      <c r="N64" s="51">
        <f t="shared" si="4"/>
        <v>24529.901056169052</v>
      </c>
      <c r="O64" s="51">
        <f t="shared" si="4"/>
        <v>24849.264348987675</v>
      </c>
      <c r="P64" s="51">
        <f t="shared" si="4"/>
        <v>25175.014907662666</v>
      </c>
      <c r="Q64" s="51">
        <f t="shared" si="4"/>
        <v>25507.280477511158</v>
      </c>
      <c r="R64" s="51">
        <f t="shared" si="4"/>
        <v>25846.191358756616</v>
      </c>
      <c r="S64" s="51">
        <f t="shared" si="4"/>
        <v>26191.88045762699</v>
      </c>
      <c r="T64" s="51">
        <f t="shared" si="4"/>
        <v>26544.483338474769</v>
      </c>
      <c r="U64" s="51">
        <f t="shared" si="4"/>
        <v>26904.138276939499</v>
      </c>
      <c r="V64" s="51">
        <f t="shared" si="4"/>
        <v>27270.986314173526</v>
      </c>
    </row>
    <row r="65" spans="1:22" x14ac:dyDescent="0.25">
      <c r="B65" s="50" t="s">
        <v>100</v>
      </c>
      <c r="C65" s="51">
        <f>SUMIF($B2:$B56,$B65,C$2:C$56)</f>
        <v>0</v>
      </c>
      <c r="D65" s="51">
        <f t="shared" ref="D65:V65" si="5">SUMIF($B2:$B56,$B65,D$2:D$56)</f>
        <v>0</v>
      </c>
      <c r="E65" s="51">
        <f t="shared" si="5"/>
        <v>0</v>
      </c>
      <c r="F65" s="51">
        <f t="shared" si="5"/>
        <v>0</v>
      </c>
      <c r="G65" s="51">
        <f t="shared" si="5"/>
        <v>0</v>
      </c>
      <c r="H65" s="51">
        <f t="shared" si="5"/>
        <v>0</v>
      </c>
      <c r="I65" s="51">
        <f t="shared" si="5"/>
        <v>0</v>
      </c>
      <c r="J65" s="51">
        <f t="shared" si="5"/>
        <v>0</v>
      </c>
      <c r="K65" s="51">
        <f t="shared" si="5"/>
        <v>0</v>
      </c>
      <c r="L65" s="51">
        <f t="shared" si="5"/>
        <v>0</v>
      </c>
      <c r="M65" s="51">
        <f t="shared" si="5"/>
        <v>0</v>
      </c>
      <c r="N65" s="51">
        <f t="shared" si="5"/>
        <v>0</v>
      </c>
      <c r="O65" s="51">
        <f t="shared" si="5"/>
        <v>0</v>
      </c>
      <c r="P65" s="51">
        <f t="shared" si="5"/>
        <v>0</v>
      </c>
      <c r="Q65" s="51">
        <f t="shared" si="5"/>
        <v>0</v>
      </c>
      <c r="R65" s="51">
        <f t="shared" si="5"/>
        <v>0</v>
      </c>
      <c r="S65" s="51">
        <f t="shared" si="5"/>
        <v>0</v>
      </c>
      <c r="T65" s="51">
        <f t="shared" si="5"/>
        <v>0</v>
      </c>
      <c r="U65" s="51">
        <f t="shared" si="5"/>
        <v>0</v>
      </c>
      <c r="V65" s="51">
        <f t="shared" si="5"/>
        <v>0</v>
      </c>
    </row>
    <row r="66" spans="1:22" x14ac:dyDescent="0.25">
      <c r="B66" s="50" t="s">
        <v>60</v>
      </c>
      <c r="C66" s="51">
        <f>SUMIF($B2:$B56,$B66,C$2:C$56)</f>
        <v>0</v>
      </c>
      <c r="D66" s="51">
        <f t="shared" ref="D66:V66" si="6">SUMIF($B2:$B56,$B66,D$2:D$56)</f>
        <v>0</v>
      </c>
      <c r="E66" s="51">
        <f t="shared" si="6"/>
        <v>0</v>
      </c>
      <c r="F66" s="51">
        <f t="shared" si="6"/>
        <v>0</v>
      </c>
      <c r="G66" s="51">
        <f t="shared" si="6"/>
        <v>0</v>
      </c>
      <c r="H66" s="51">
        <f t="shared" si="6"/>
        <v>0</v>
      </c>
      <c r="I66" s="51">
        <f t="shared" si="6"/>
        <v>0</v>
      </c>
      <c r="J66" s="51">
        <f t="shared" si="6"/>
        <v>0</v>
      </c>
      <c r="K66" s="51">
        <f>SUMIF($B2:$B56,$B66,K$2:K$56)</f>
        <v>0</v>
      </c>
      <c r="L66" s="51">
        <f t="shared" si="6"/>
        <v>0</v>
      </c>
      <c r="M66" s="51">
        <f t="shared" si="6"/>
        <v>0</v>
      </c>
      <c r="N66" s="51">
        <f t="shared" si="6"/>
        <v>0</v>
      </c>
      <c r="O66" s="51">
        <f t="shared" si="6"/>
        <v>0</v>
      </c>
      <c r="P66" s="51">
        <f t="shared" si="6"/>
        <v>0</v>
      </c>
      <c r="Q66" s="51">
        <f t="shared" si="6"/>
        <v>0</v>
      </c>
      <c r="R66" s="51">
        <f t="shared" si="6"/>
        <v>0</v>
      </c>
      <c r="S66" s="51">
        <f t="shared" si="6"/>
        <v>0</v>
      </c>
      <c r="T66" s="51">
        <f t="shared" si="6"/>
        <v>0</v>
      </c>
      <c r="U66" s="51">
        <f t="shared" si="6"/>
        <v>0</v>
      </c>
      <c r="V66" s="51">
        <f t="shared" si="6"/>
        <v>0</v>
      </c>
    </row>
    <row r="67" spans="1:22" x14ac:dyDescent="0.25">
      <c r="B67" s="50" t="s">
        <v>101</v>
      </c>
      <c r="C67" s="51">
        <f>SUMIF($B2:$B56,$B67,C$2:C$56)</f>
        <v>0</v>
      </c>
      <c r="D67" s="51">
        <f t="shared" ref="D67:V67" si="7">SUMIF($B2:$B56,$B67,D$2:D$56)</f>
        <v>0</v>
      </c>
      <c r="E67" s="51">
        <f t="shared" si="7"/>
        <v>0</v>
      </c>
      <c r="F67" s="51">
        <f t="shared" si="7"/>
        <v>0</v>
      </c>
      <c r="G67" s="51">
        <f t="shared" si="7"/>
        <v>0</v>
      </c>
      <c r="H67" s="51">
        <f t="shared" si="7"/>
        <v>0</v>
      </c>
      <c r="I67" s="51">
        <f t="shared" si="7"/>
        <v>0</v>
      </c>
      <c r="J67" s="51">
        <f t="shared" si="7"/>
        <v>0</v>
      </c>
      <c r="K67" s="51">
        <f t="shared" si="7"/>
        <v>0</v>
      </c>
      <c r="L67" s="51">
        <f t="shared" si="7"/>
        <v>0</v>
      </c>
      <c r="M67" s="51">
        <f t="shared" si="7"/>
        <v>0</v>
      </c>
      <c r="N67" s="51">
        <f t="shared" si="7"/>
        <v>0</v>
      </c>
      <c r="O67" s="51">
        <f t="shared" si="7"/>
        <v>0</v>
      </c>
      <c r="P67" s="51">
        <f t="shared" si="7"/>
        <v>0</v>
      </c>
      <c r="Q67" s="51">
        <f t="shared" si="7"/>
        <v>0</v>
      </c>
      <c r="R67" s="51">
        <f t="shared" si="7"/>
        <v>0</v>
      </c>
      <c r="S67" s="51">
        <f t="shared" si="7"/>
        <v>0</v>
      </c>
      <c r="T67" s="51">
        <f t="shared" si="7"/>
        <v>0</v>
      </c>
      <c r="U67" s="51">
        <f t="shared" si="7"/>
        <v>0</v>
      </c>
      <c r="V67" s="51">
        <f t="shared" si="7"/>
        <v>0</v>
      </c>
    </row>
    <row r="68" spans="1:22" x14ac:dyDescent="0.25">
      <c r="B68" s="50" t="s">
        <v>58</v>
      </c>
      <c r="C68" s="51">
        <f>SUMIF($B2:$B56,$B68,C$2:C$56)</f>
        <v>1617.0089704444445</v>
      </c>
      <c r="D68" s="51">
        <f t="shared" ref="D68:V68" si="8">SUMIF($B2:$B56,$B68,D$2:D$56)</f>
        <v>1806.2155307511111</v>
      </c>
      <c r="E68" s="51">
        <f t="shared" si="8"/>
        <v>1910.6642664991998</v>
      </c>
      <c r="F68" s="51">
        <f t="shared" si="8"/>
        <v>2089.868838950023</v>
      </c>
      <c r="G68" s="51">
        <f t="shared" si="8"/>
        <v>3003.339988628114</v>
      </c>
      <c r="H68" s="51">
        <f t="shared" si="8"/>
        <v>3193.7957672762996</v>
      </c>
      <c r="I68" s="51">
        <f t="shared" si="8"/>
        <v>3391.2453318945172</v>
      </c>
      <c r="J68" s="51">
        <f t="shared" si="8"/>
        <v>3595.8922516101075</v>
      </c>
      <c r="K68" s="51">
        <f t="shared" si="8"/>
        <v>3807.9454408011197</v>
      </c>
      <c r="L68" s="51">
        <f t="shared" si="8"/>
        <v>4027.6192914786843</v>
      </c>
      <c r="M68" s="51">
        <f t="shared" si="8"/>
        <v>4079.3271363304802</v>
      </c>
      <c r="N68" s="51">
        <f t="shared" si="8"/>
        <v>4132.0691380793114</v>
      </c>
      <c r="O68" s="51">
        <f t="shared" si="8"/>
        <v>4185.8659798631206</v>
      </c>
      <c r="P68" s="51">
        <f t="shared" si="8"/>
        <v>4240.7387584826047</v>
      </c>
      <c r="Q68" s="51">
        <f t="shared" si="8"/>
        <v>4296.7089926744793</v>
      </c>
      <c r="R68" s="51">
        <f t="shared" si="8"/>
        <v>4353.7986315501903</v>
      </c>
      <c r="S68" s="51">
        <f t="shared" si="8"/>
        <v>4412.0300632034168</v>
      </c>
      <c r="T68" s="51">
        <f t="shared" si="8"/>
        <v>4471.4261234897076</v>
      </c>
      <c r="U68" s="51">
        <f t="shared" si="8"/>
        <v>4532.010104981724</v>
      </c>
      <c r="V68" s="51">
        <f t="shared" si="8"/>
        <v>4593.8057661035809</v>
      </c>
    </row>
    <row r="69" spans="1:22" ht="14.4" thickBot="1" x14ac:dyDescent="0.3">
      <c r="B69" s="56" t="s">
        <v>61</v>
      </c>
      <c r="C69" s="51">
        <f>SUMIF($B2:$B56,$B69,C$2:C$56)</f>
        <v>99785.872453666685</v>
      </c>
      <c r="D69" s="51">
        <f t="shared" ref="D69:V69" si="9">SUMIF($B2:$B56,$B69,D$2:D$56)</f>
        <v>200395.51757096895</v>
      </c>
      <c r="E69" s="51">
        <f t="shared" si="9"/>
        <v>211828.18786529289</v>
      </c>
      <c r="F69" s="51">
        <f t="shared" si="9"/>
        <v>223748.34307238497</v>
      </c>
      <c r="G69" s="51">
        <f t="shared" si="9"/>
        <v>236089.12975697152</v>
      </c>
      <c r="H69" s="51">
        <f t="shared" si="9"/>
        <v>346240.9271695434</v>
      </c>
      <c r="I69" s="51">
        <f t="shared" si="9"/>
        <v>361450.62399925996</v>
      </c>
      <c r="J69" s="51">
        <f t="shared" si="9"/>
        <v>377165.99386643193</v>
      </c>
      <c r="K69" s="51">
        <f t="shared" si="9"/>
        <v>393401.17981382587</v>
      </c>
      <c r="L69" s="51">
        <f t="shared" si="9"/>
        <v>410170.68833670364</v>
      </c>
      <c r="M69" s="51">
        <f t="shared" si="9"/>
        <v>416585.02534670441</v>
      </c>
      <c r="N69" s="51">
        <f t="shared" si="9"/>
        <v>423127.64909690508</v>
      </c>
      <c r="O69" s="51">
        <f t="shared" si="9"/>
        <v>429801.1253221099</v>
      </c>
      <c r="P69" s="51">
        <f t="shared" si="9"/>
        <v>436608.07107181876</v>
      </c>
      <c r="Q69" s="51">
        <f t="shared" si="9"/>
        <v>443551.15573652182</v>
      </c>
      <c r="R69" s="51">
        <f t="shared" si="9"/>
        <v>450633.10209451884</v>
      </c>
      <c r="S69" s="51">
        <f t="shared" si="9"/>
        <v>457856.68737967592</v>
      </c>
      <c r="T69" s="51">
        <f t="shared" si="9"/>
        <v>465224.74437053618</v>
      </c>
      <c r="U69" s="51">
        <f t="shared" si="9"/>
        <v>472740.16250121349</v>
      </c>
      <c r="V69" s="51">
        <f t="shared" si="9"/>
        <v>480405.88899450441</v>
      </c>
    </row>
    <row r="70" spans="1:22" x14ac:dyDescent="0.25">
      <c r="L70" s="67"/>
      <c r="M70" s="67"/>
    </row>
    <row r="71" spans="1:22" x14ac:dyDescent="0.25">
      <c r="C71" s="40">
        <f>SUM(C62:C69)</f>
        <v>1794531.6834630396</v>
      </c>
      <c r="D71" s="40">
        <f t="shared" ref="D71:V71" si="10">SUM(D62:D69)</f>
        <v>1711655.2001176961</v>
      </c>
      <c r="E71" s="40">
        <f t="shared" si="10"/>
        <v>1634538.2799970319</v>
      </c>
      <c r="F71" s="40">
        <f t="shared" si="10"/>
        <v>1503538.3633466978</v>
      </c>
      <c r="G71" s="40">
        <f t="shared" si="10"/>
        <v>1643247.9704662543</v>
      </c>
      <c r="H71" s="40">
        <f t="shared" si="10"/>
        <v>1750404.8323659776</v>
      </c>
      <c r="I71" s="40">
        <f t="shared" si="10"/>
        <v>1769558.1632813851</v>
      </c>
      <c r="J71" s="40">
        <f t="shared" si="10"/>
        <v>1895333.3719761164</v>
      </c>
      <c r="K71" s="40">
        <f t="shared" si="10"/>
        <v>1967272.4208288942</v>
      </c>
      <c r="L71" s="131">
        <f t="shared" si="10"/>
        <v>2041649.9006806281</v>
      </c>
      <c r="M71" s="131">
        <f t="shared" si="10"/>
        <v>2476203.0946783186</v>
      </c>
      <c r="N71" s="40">
        <f t="shared" si="10"/>
        <v>2509949.4574246914</v>
      </c>
      <c r="O71" s="40">
        <f t="shared" si="10"/>
        <v>2544370.747425992</v>
      </c>
      <c r="P71" s="40">
        <f t="shared" si="10"/>
        <v>2579480.4632273177</v>
      </c>
      <c r="Q71" s="40">
        <f t="shared" si="10"/>
        <v>2615292.373344671</v>
      </c>
      <c r="R71" s="40">
        <f t="shared" si="10"/>
        <v>2651820.5216643703</v>
      </c>
      <c r="S71" s="40">
        <f t="shared" si="10"/>
        <v>2689079.2329504644</v>
      </c>
      <c r="T71" s="40">
        <f t="shared" si="10"/>
        <v>2727083.1184622794</v>
      </c>
      <c r="U71" s="40">
        <f t="shared" si="10"/>
        <v>2765847.0816843314</v>
      </c>
      <c r="V71" s="40">
        <f t="shared" si="10"/>
        <v>2805386.3241708241</v>
      </c>
    </row>
    <row r="72" spans="1:22" x14ac:dyDescent="0.25">
      <c r="C72" s="115"/>
      <c r="D72" s="115"/>
      <c r="E72" s="115"/>
      <c r="F72" s="115"/>
      <c r="G72" s="115"/>
      <c r="H72" s="115"/>
      <c r="I72" s="115"/>
      <c r="J72" s="115"/>
      <c r="K72" s="115"/>
      <c r="L72" s="130"/>
      <c r="M72" s="130"/>
      <c r="N72" s="115"/>
      <c r="O72" s="115"/>
      <c r="P72" s="115"/>
      <c r="Q72" s="115"/>
      <c r="R72" s="115"/>
      <c r="S72" s="115"/>
      <c r="T72" s="115"/>
      <c r="U72" s="115"/>
      <c r="V72" s="115"/>
    </row>
    <row r="73" spans="1:22" ht="14.4" thickBot="1" x14ac:dyDescent="0.3">
      <c r="B73" s="3" t="s">
        <v>95</v>
      </c>
      <c r="L73" s="67"/>
      <c r="M73" s="67"/>
    </row>
    <row r="74" spans="1:22" x14ac:dyDescent="0.25">
      <c r="B74" s="75" t="s">
        <v>102</v>
      </c>
      <c r="C74" s="95">
        <v>2021</v>
      </c>
      <c r="D74" s="95">
        <v>2022</v>
      </c>
      <c r="E74" s="95">
        <v>2023</v>
      </c>
      <c r="F74" s="95">
        <v>2024</v>
      </c>
      <c r="G74" s="95">
        <v>2025</v>
      </c>
      <c r="H74" s="95">
        <v>2026</v>
      </c>
      <c r="I74" s="95">
        <v>2027</v>
      </c>
      <c r="J74" s="95">
        <v>2028</v>
      </c>
      <c r="K74" s="95">
        <v>2029</v>
      </c>
      <c r="L74" s="95">
        <v>2030</v>
      </c>
      <c r="M74" s="95">
        <v>2031</v>
      </c>
      <c r="N74" s="95">
        <v>2032</v>
      </c>
      <c r="O74" s="95">
        <v>2033</v>
      </c>
      <c r="P74" s="95">
        <v>2034</v>
      </c>
      <c r="Q74" s="95">
        <v>2035</v>
      </c>
      <c r="R74" s="95">
        <v>2036</v>
      </c>
      <c r="S74" s="95">
        <v>2037</v>
      </c>
      <c r="T74" s="95">
        <v>2038</v>
      </c>
      <c r="U74" s="95">
        <v>2039</v>
      </c>
      <c r="V74" s="95">
        <v>2040</v>
      </c>
    </row>
    <row r="75" spans="1:22" x14ac:dyDescent="0.25">
      <c r="B75" s="50" t="s">
        <v>115</v>
      </c>
      <c r="C75" s="129">
        <f>SUM(C2:C48)</f>
        <v>1752490.7143116661</v>
      </c>
      <c r="D75" s="129">
        <f t="shared" ref="D75:V75" si="11">SUM(D2:D48)</f>
        <v>1484345.8994103172</v>
      </c>
      <c r="E75" s="129">
        <f t="shared" si="11"/>
        <v>1340904.3555357142</v>
      </c>
      <c r="F75" s="129">
        <f t="shared" si="11"/>
        <v>1077474.1436682539</v>
      </c>
      <c r="G75" s="129">
        <f t="shared" si="11"/>
        <v>1075186.4077471427</v>
      </c>
      <c r="H75" s="129">
        <f t="shared" si="11"/>
        <v>936868.51792507921</v>
      </c>
      <c r="I75" s="129">
        <f t="shared" si="11"/>
        <v>801695.03898690466</v>
      </c>
      <c r="J75" s="129">
        <f t="shared" si="11"/>
        <v>797898.18758468248</v>
      </c>
      <c r="K75" s="129">
        <f t="shared" si="11"/>
        <v>797898.18758468248</v>
      </c>
      <c r="L75" s="129">
        <f t="shared" si="11"/>
        <v>797898.18758468248</v>
      </c>
      <c r="M75" s="129">
        <f t="shared" si="11"/>
        <v>789277.16085634916</v>
      </c>
      <c r="N75" s="129">
        <f t="shared" si="11"/>
        <v>789277.16085634916</v>
      </c>
      <c r="O75" s="129">
        <f t="shared" si="11"/>
        <v>789277.16085634916</v>
      </c>
      <c r="P75" s="129">
        <f t="shared" si="11"/>
        <v>789277.16085634916</v>
      </c>
      <c r="Q75" s="129">
        <f t="shared" si="11"/>
        <v>789277.16085634916</v>
      </c>
      <c r="R75" s="129">
        <f t="shared" si="11"/>
        <v>789277.16085634916</v>
      </c>
      <c r="S75" s="129">
        <f t="shared" si="11"/>
        <v>789277.16085634916</v>
      </c>
      <c r="T75" s="129">
        <f t="shared" si="11"/>
        <v>789277.16085634916</v>
      </c>
      <c r="U75" s="129">
        <f t="shared" si="11"/>
        <v>789277.16085634916</v>
      </c>
      <c r="V75" s="129">
        <f t="shared" si="11"/>
        <v>789277.16085634916</v>
      </c>
    </row>
    <row r="76" spans="1:22" x14ac:dyDescent="0.25">
      <c r="B76" s="50" t="s">
        <v>116</v>
      </c>
      <c r="C76" s="117">
        <f>SUM(C49:C56)</f>
        <v>42549.109198595244</v>
      </c>
      <c r="D76" s="117">
        <f t="shared" ref="D76:V76" si="12">SUM(D49:D56)</f>
        <v>227686.89209626763</v>
      </c>
      <c r="E76" s="117">
        <f t="shared" si="12"/>
        <v>293941.17307242914</v>
      </c>
      <c r="F76" s="117">
        <f t="shared" si="12"/>
        <v>426456.42317511037</v>
      </c>
      <c r="G76" s="117">
        <f t="shared" si="12"/>
        <v>568453.76621577819</v>
      </c>
      <c r="H76" s="117">
        <f t="shared" si="12"/>
        <v>813928.51793756511</v>
      </c>
      <c r="I76" s="117">
        <f t="shared" si="12"/>
        <v>968255.32779114705</v>
      </c>
      <c r="J76" s="117">
        <f t="shared" si="12"/>
        <v>1097827.3878881005</v>
      </c>
      <c r="K76" s="117">
        <f t="shared" si="12"/>
        <v>1169766.4367408783</v>
      </c>
      <c r="L76" s="117">
        <f t="shared" si="12"/>
        <v>1244143.9165926122</v>
      </c>
      <c r="M76" s="117">
        <f t="shared" si="12"/>
        <v>1687318.1373186368</v>
      </c>
      <c r="N76" s="117">
        <f t="shared" si="12"/>
        <v>1721064.5000650086</v>
      </c>
      <c r="O76" s="117">
        <f t="shared" si="12"/>
        <v>1755485.7900663095</v>
      </c>
      <c r="P76" s="117">
        <f t="shared" si="12"/>
        <v>1790595.5058676354</v>
      </c>
      <c r="Q76" s="117">
        <f t="shared" si="12"/>
        <v>1826407.4159849884</v>
      </c>
      <c r="R76" s="117">
        <f t="shared" si="12"/>
        <v>1862935.5643046875</v>
      </c>
      <c r="S76" s="117">
        <f t="shared" si="12"/>
        <v>1900194.2755907816</v>
      </c>
      <c r="T76" s="117">
        <f t="shared" si="12"/>
        <v>1938198.1611025974</v>
      </c>
      <c r="U76" s="117">
        <f t="shared" si="12"/>
        <v>1976962.1243246493</v>
      </c>
      <c r="V76" s="117">
        <f t="shared" si="12"/>
        <v>2016501.3668111423</v>
      </c>
    </row>
    <row r="78" spans="1:22" x14ac:dyDescent="0.25">
      <c r="C78" s="40">
        <f>SUM(C75:C76)</f>
        <v>1795039.8235102613</v>
      </c>
      <c r="D78" s="40">
        <f t="shared" ref="D78:V78" si="13">SUM(D75:D76)</f>
        <v>1712032.7915065847</v>
      </c>
      <c r="E78" s="40">
        <f t="shared" si="13"/>
        <v>1634845.5286081433</v>
      </c>
      <c r="F78" s="40">
        <f t="shared" si="13"/>
        <v>1503930.5668433644</v>
      </c>
      <c r="G78" s="40">
        <f t="shared" si="13"/>
        <v>1643640.1739629209</v>
      </c>
      <c r="H78" s="40">
        <f t="shared" si="13"/>
        <v>1750797.0358626442</v>
      </c>
      <c r="I78" s="40">
        <f t="shared" si="13"/>
        <v>1769950.3667780517</v>
      </c>
      <c r="J78" s="40">
        <f t="shared" si="13"/>
        <v>1895725.5754727828</v>
      </c>
      <c r="K78" s="40">
        <f t="shared" si="13"/>
        <v>1967664.6243255609</v>
      </c>
      <c r="L78" s="40">
        <f t="shared" si="13"/>
        <v>2042042.1041772948</v>
      </c>
      <c r="M78" s="40">
        <f t="shared" si="13"/>
        <v>2476595.2981749857</v>
      </c>
      <c r="N78" s="40">
        <f t="shared" si="13"/>
        <v>2510341.6609213576</v>
      </c>
      <c r="O78" s="40">
        <f t="shared" si="13"/>
        <v>2544762.9509226587</v>
      </c>
      <c r="P78" s="40">
        <f t="shared" si="13"/>
        <v>2579872.6667239843</v>
      </c>
      <c r="Q78" s="40">
        <f t="shared" si="13"/>
        <v>2615684.5768413376</v>
      </c>
      <c r="R78" s="40">
        <f t="shared" si="13"/>
        <v>2652212.7251610365</v>
      </c>
      <c r="S78" s="40">
        <f t="shared" si="13"/>
        <v>2689471.4364471305</v>
      </c>
      <c r="T78" s="40">
        <f t="shared" si="13"/>
        <v>2727475.3219589465</v>
      </c>
      <c r="U78" s="40">
        <f t="shared" si="13"/>
        <v>2766239.2851809985</v>
      </c>
      <c r="V78" s="40">
        <f t="shared" si="13"/>
        <v>2805778.5276674917</v>
      </c>
    </row>
    <row r="80" spans="1:22" x14ac:dyDescent="0.25">
      <c r="A80" s="44" t="s">
        <v>32</v>
      </c>
      <c r="B80" s="44"/>
      <c r="C80" s="44">
        <v>2021</v>
      </c>
      <c r="D80" s="45">
        <v>2022</v>
      </c>
      <c r="E80" s="44">
        <v>2023</v>
      </c>
      <c r="F80" s="45">
        <v>2024</v>
      </c>
      <c r="G80" s="44">
        <v>2025</v>
      </c>
      <c r="H80" s="45">
        <v>2026</v>
      </c>
      <c r="I80" s="44">
        <v>2027</v>
      </c>
      <c r="J80" s="45">
        <v>2028</v>
      </c>
      <c r="K80" s="44">
        <v>2029</v>
      </c>
      <c r="L80" s="45">
        <v>2030</v>
      </c>
      <c r="M80" s="44">
        <v>2031</v>
      </c>
      <c r="N80" s="45">
        <v>2032</v>
      </c>
      <c r="O80" s="44">
        <v>2033</v>
      </c>
      <c r="P80" s="45">
        <v>2034</v>
      </c>
      <c r="Q80" s="44">
        <v>2035</v>
      </c>
      <c r="R80" s="45">
        <v>2036</v>
      </c>
      <c r="S80" s="44">
        <v>2037</v>
      </c>
      <c r="T80" s="45">
        <v>2038</v>
      </c>
      <c r="U80" s="44">
        <v>2039</v>
      </c>
      <c r="V80" s="45">
        <v>2040</v>
      </c>
    </row>
    <row r="81" spans="1:22" x14ac:dyDescent="0.25">
      <c r="A81" s="46" t="s">
        <v>63</v>
      </c>
      <c r="B81" s="47" t="s">
        <v>57</v>
      </c>
      <c r="C81" s="128">
        <f>IFERROR(lifespans_all!D80*DTE_mission_minutes!D2,"-")</f>
        <v>133409.35004928565</v>
      </c>
      <c r="D81" s="128">
        <f>IFERROR(lifespans_all!E80*DTE_mission_minutes!E2,"-")</f>
        <v>133409.35004928565</v>
      </c>
      <c r="E81" s="128">
        <f>IFERROR(lifespans_all!F80*DTE_mission_minutes!F2,"-")</f>
        <v>0</v>
      </c>
      <c r="F81" s="128">
        <f>IFERROR(lifespans_all!G80*DTE_mission_minutes!G2,"-")</f>
        <v>0</v>
      </c>
      <c r="G81" s="128">
        <f>IFERROR(lifespans_all!H80*DTE_mission_minutes!H2,"-")</f>
        <v>0</v>
      </c>
      <c r="H81" s="128">
        <f>IFERROR(lifespans_all!I80*DTE_mission_minutes!I2,"-")</f>
        <v>0</v>
      </c>
      <c r="I81" s="128">
        <f>IFERROR(lifespans_all!J80*DTE_mission_minutes!J2,"-")</f>
        <v>0</v>
      </c>
      <c r="J81" s="128">
        <f>IFERROR(lifespans_all!K80*DTE_mission_minutes!K2,"-")</f>
        <v>0</v>
      </c>
      <c r="K81" s="128">
        <f>IFERROR(lifespans_all!L80*DTE_mission_minutes!L2,"-")</f>
        <v>0</v>
      </c>
      <c r="L81" s="128">
        <f>IFERROR(lifespans_all!M80*DTE_mission_minutes!M2,"-")</f>
        <v>0</v>
      </c>
      <c r="M81" s="128">
        <f>IFERROR(lifespans_all!N80*DTE_mission_minutes!N2,"-")</f>
        <v>0</v>
      </c>
      <c r="N81" s="128">
        <f>IFERROR(lifespans_all!O80*DTE_mission_minutes!O2,"-")</f>
        <v>0</v>
      </c>
      <c r="O81" s="128">
        <f>IFERROR(lifespans_all!P80*DTE_mission_minutes!P2,"-")</f>
        <v>0</v>
      </c>
      <c r="P81" s="128">
        <f>IFERROR(lifespans_all!Q80*DTE_mission_minutes!Q2,"-")</f>
        <v>0</v>
      </c>
      <c r="Q81" s="128">
        <f>IFERROR(lifespans_all!R80*DTE_mission_minutes!R2,"-")</f>
        <v>0</v>
      </c>
      <c r="R81" s="128">
        <f>IFERROR(lifespans_all!S80*DTE_mission_minutes!S2,"-")</f>
        <v>0</v>
      </c>
      <c r="S81" s="128">
        <f>IFERROR(lifespans_all!T80*DTE_mission_minutes!T2,"-")</f>
        <v>0</v>
      </c>
      <c r="T81" s="128">
        <f>IFERROR(lifespans_all!U80*DTE_mission_minutes!U2,"-")</f>
        <v>0</v>
      </c>
      <c r="U81" s="128">
        <f>IFERROR(lifespans_all!V80*DTE_mission_minutes!V2,"-")</f>
        <v>0</v>
      </c>
      <c r="V81" s="128">
        <f>IFERROR(lifespans_all!W80*DTE_mission_minutes!W2,"-")</f>
        <v>0</v>
      </c>
    </row>
    <row r="82" spans="1:22" x14ac:dyDescent="0.25">
      <c r="A82" s="46" t="s">
        <v>33</v>
      </c>
      <c r="B82" s="47" t="s">
        <v>57</v>
      </c>
      <c r="C82" s="128">
        <f>IFERROR(lifespans_all!D81*DTE_mission_minutes!D3,"-")</f>
        <v>2249.4702694444441</v>
      </c>
      <c r="D82" s="128">
        <f>IFERROR(lifespans_all!E81*DTE_mission_minutes!E3,"-")</f>
        <v>1189.7750000000001</v>
      </c>
      <c r="E82" s="128">
        <f>IFERROR(lifespans_all!F81*DTE_mission_minutes!F3,"-")</f>
        <v>649.57638888888891</v>
      </c>
      <c r="F82" s="128">
        <f>IFERROR(lifespans_all!G81*DTE_mission_minutes!G3,"-")</f>
        <v>1663.1641649999997</v>
      </c>
      <c r="G82" s="128">
        <f>IFERROR(lifespans_all!H81*DTE_mission_minutes!H3,"-")</f>
        <v>0</v>
      </c>
      <c r="H82" s="128">
        <f>IFERROR(lifespans_all!I81*DTE_mission_minutes!I3,"-")</f>
        <v>0</v>
      </c>
      <c r="I82" s="128">
        <f>IFERROR(lifespans_all!J81*DTE_mission_minutes!J3,"-")</f>
        <v>0</v>
      </c>
      <c r="J82" s="128">
        <f>IFERROR(lifespans_all!K81*DTE_mission_minutes!K3,"-")</f>
        <v>0</v>
      </c>
      <c r="K82" s="128">
        <f>IFERROR(lifespans_all!L81*DTE_mission_minutes!L3,"-")</f>
        <v>0</v>
      </c>
      <c r="L82" s="128">
        <f>IFERROR(lifespans_all!M81*DTE_mission_minutes!M3,"-")</f>
        <v>0</v>
      </c>
      <c r="M82" s="128">
        <f>IFERROR(lifespans_all!N81*DTE_mission_minutes!N3,"-")</f>
        <v>0</v>
      </c>
      <c r="N82" s="128">
        <f>IFERROR(lifespans_all!O81*DTE_mission_minutes!O3,"-")</f>
        <v>0</v>
      </c>
      <c r="O82" s="128">
        <f>IFERROR(lifespans_all!P81*DTE_mission_minutes!P3,"-")</f>
        <v>0</v>
      </c>
      <c r="P82" s="128">
        <f>IFERROR(lifespans_all!Q81*DTE_mission_minutes!Q3,"-")</f>
        <v>0</v>
      </c>
      <c r="Q82" s="128">
        <f>IFERROR(lifespans_all!R81*DTE_mission_minutes!R3,"-")</f>
        <v>0</v>
      </c>
      <c r="R82" s="128">
        <f>IFERROR(lifespans_all!S81*DTE_mission_minutes!S3,"-")</f>
        <v>0</v>
      </c>
      <c r="S82" s="128">
        <f>IFERROR(lifespans_all!T81*DTE_mission_minutes!T3,"-")</f>
        <v>0</v>
      </c>
      <c r="T82" s="128">
        <f>IFERROR(lifespans_all!U81*DTE_mission_minutes!U3,"-")</f>
        <v>0</v>
      </c>
      <c r="U82" s="128">
        <f>IFERROR(lifespans_all!V81*DTE_mission_minutes!V3,"-")</f>
        <v>0</v>
      </c>
      <c r="V82" s="128">
        <f>IFERROR(lifespans_all!W81*DTE_mission_minutes!W3,"-")</f>
        <v>0</v>
      </c>
    </row>
    <row r="83" spans="1:22" x14ac:dyDescent="0.25">
      <c r="A83" s="46" t="s">
        <v>65</v>
      </c>
      <c r="B83" s="47" t="s">
        <v>57</v>
      </c>
      <c r="C83" s="128">
        <f>IFERROR(lifespans_all!D82*DTE_mission_minutes!D4,"-")</f>
        <v>1151.5091666666667</v>
      </c>
      <c r="D83" s="128">
        <f>IFERROR(lifespans_all!E82*DTE_mission_minutes!E4,"-")</f>
        <v>1164.4527777777778</v>
      </c>
      <c r="E83" s="128">
        <f>IFERROR(lifespans_all!F82*DTE_mission_minutes!F4,"-")</f>
        <v>862.00805555555553</v>
      </c>
      <c r="F83" s="128">
        <f>IFERROR(lifespans_all!G82*DTE_mission_minutes!G4,"-")</f>
        <v>1093.0107777777775</v>
      </c>
      <c r="G83" s="128">
        <f>IFERROR(lifespans_all!H82*DTE_mission_minutes!H4,"-")</f>
        <v>1093.0107777777775</v>
      </c>
      <c r="H83" s="128">
        <f>IFERROR(lifespans_all!I82*DTE_mission_minutes!I4,"-")</f>
        <v>1093.0107777777775</v>
      </c>
      <c r="I83" s="128">
        <f>IFERROR(lifespans_all!J82*DTE_mission_minutes!J4,"-")</f>
        <v>0</v>
      </c>
      <c r="J83" s="128">
        <f>IFERROR(lifespans_all!K82*DTE_mission_minutes!K4,"-")</f>
        <v>0</v>
      </c>
      <c r="K83" s="128">
        <f>IFERROR(lifespans_all!L82*DTE_mission_minutes!L4,"-")</f>
        <v>0</v>
      </c>
      <c r="L83" s="128">
        <f>IFERROR(lifespans_all!M82*DTE_mission_minutes!M4,"-")</f>
        <v>0</v>
      </c>
      <c r="M83" s="128">
        <f>IFERROR(lifespans_all!N82*DTE_mission_minutes!N4,"-")</f>
        <v>0</v>
      </c>
      <c r="N83" s="128">
        <f>IFERROR(lifespans_all!O82*DTE_mission_minutes!O4,"-")</f>
        <v>0</v>
      </c>
      <c r="O83" s="128">
        <f>IFERROR(lifespans_all!P82*DTE_mission_minutes!P4,"-")</f>
        <v>0</v>
      </c>
      <c r="P83" s="128">
        <f>IFERROR(lifespans_all!Q82*DTE_mission_minutes!Q4,"-")</f>
        <v>0</v>
      </c>
      <c r="Q83" s="128">
        <f>IFERROR(lifespans_all!R82*DTE_mission_minutes!R4,"-")</f>
        <v>0</v>
      </c>
      <c r="R83" s="128">
        <f>IFERROR(lifespans_all!S82*DTE_mission_minutes!S4,"-")</f>
        <v>0</v>
      </c>
      <c r="S83" s="128">
        <f>IFERROR(lifespans_all!T82*DTE_mission_minutes!T4,"-")</f>
        <v>0</v>
      </c>
      <c r="T83" s="128">
        <f>IFERROR(lifespans_all!U82*DTE_mission_minutes!U4,"-")</f>
        <v>0</v>
      </c>
      <c r="U83" s="128">
        <f>IFERROR(lifespans_all!V82*DTE_mission_minutes!V4,"-")</f>
        <v>0</v>
      </c>
      <c r="V83" s="128">
        <f>IFERROR(lifespans_all!W82*DTE_mission_minutes!W4,"-")</f>
        <v>0</v>
      </c>
    </row>
    <row r="84" spans="1:22" x14ac:dyDescent="0.25">
      <c r="A84" s="46" t="s">
        <v>66</v>
      </c>
      <c r="B84" s="53" t="s">
        <v>59</v>
      </c>
      <c r="C84" s="128">
        <f>IFERROR(lifespans_all!D83*DTE_mission_minutes!D5,"-")</f>
        <v>171572.29579277776</v>
      </c>
      <c r="D84" s="128">
        <f>IFERROR(lifespans_all!E83*DTE_mission_minutes!E5,"-")</f>
        <v>171572.29579277776</v>
      </c>
      <c r="E84" s="128">
        <f>IFERROR(lifespans_all!F83*DTE_mission_minutes!F5,"-")</f>
        <v>171572.29579277776</v>
      </c>
      <c r="F84" s="128">
        <f>IFERROR(lifespans_all!G83*DTE_mission_minutes!G5,"-")</f>
        <v>171572.29579277776</v>
      </c>
      <c r="G84" s="128">
        <f>IFERROR(lifespans_all!H83*DTE_mission_minutes!H5,"-")</f>
        <v>171572.29579277776</v>
      </c>
      <c r="H84" s="128">
        <f>IFERROR(lifespans_all!I83*DTE_mission_minutes!I5,"-")</f>
        <v>171572.29579277776</v>
      </c>
      <c r="I84" s="128">
        <f>IFERROR(lifespans_all!J83*DTE_mission_minutes!J5,"-")</f>
        <v>171572.29579277776</v>
      </c>
      <c r="J84" s="128">
        <f>IFERROR(lifespans_all!K83*DTE_mission_minutes!K5,"-")</f>
        <v>171572.29579277776</v>
      </c>
      <c r="K84" s="128">
        <f>IFERROR(lifespans_all!L83*DTE_mission_minutes!L5,"-")</f>
        <v>171572.29579277776</v>
      </c>
      <c r="L84" s="128">
        <f>IFERROR(lifespans_all!M83*DTE_mission_minutes!M5,"-")</f>
        <v>171572.29579277776</v>
      </c>
      <c r="M84" s="128">
        <f>IFERROR(lifespans_all!N83*DTE_mission_minutes!N5,"-")</f>
        <v>171572.29579277776</v>
      </c>
      <c r="N84" s="128">
        <f>IFERROR(lifespans_all!O83*DTE_mission_minutes!O5,"-")</f>
        <v>171572.29579277776</v>
      </c>
      <c r="O84" s="128">
        <f>IFERROR(lifespans_all!P83*DTE_mission_minutes!P5,"-")</f>
        <v>171572.29579277776</v>
      </c>
      <c r="P84" s="128">
        <f>IFERROR(lifespans_all!Q83*DTE_mission_minutes!Q5,"-")</f>
        <v>171572.29579277776</v>
      </c>
      <c r="Q84" s="128">
        <f>IFERROR(lifespans_all!R83*DTE_mission_minutes!R5,"-")</f>
        <v>171572.29579277776</v>
      </c>
      <c r="R84" s="128">
        <f>IFERROR(lifespans_all!S83*DTE_mission_minutes!S5,"-")</f>
        <v>171572.29579277776</v>
      </c>
      <c r="S84" s="128">
        <f>IFERROR(lifespans_all!T83*DTE_mission_minutes!T5,"-")</f>
        <v>171572.29579277776</v>
      </c>
      <c r="T84" s="128">
        <f>IFERROR(lifespans_all!U83*DTE_mission_minutes!U5,"-")</f>
        <v>171572.29579277776</v>
      </c>
      <c r="U84" s="128">
        <f>IFERROR(lifespans_all!V83*DTE_mission_minutes!V5,"-")</f>
        <v>171572.29579277776</v>
      </c>
      <c r="V84" s="128">
        <f>IFERROR(lifespans_all!W83*DTE_mission_minutes!W5,"-")</f>
        <v>171572.29579277776</v>
      </c>
    </row>
    <row r="85" spans="1:22" x14ac:dyDescent="0.25">
      <c r="A85" s="46" t="s">
        <v>67</v>
      </c>
      <c r="B85" s="54" t="s">
        <v>58</v>
      </c>
      <c r="C85" s="128">
        <f>IFERROR(lifespans_all!D84*DTE_mission_minutes!D6,"-")</f>
        <v>30.559216666666664</v>
      </c>
      <c r="D85" s="128">
        <f>IFERROR(lifespans_all!E84*DTE_mission_minutes!E6,"-")</f>
        <v>69.774163888888879</v>
      </c>
      <c r="E85" s="128">
        <f>IFERROR(lifespans_all!F84*DTE_mission_minutes!F6,"-")</f>
        <v>18.289311111111111</v>
      </c>
      <c r="F85" s="128">
        <f>IFERROR(lifespans_all!G84*DTE_mission_minutes!G6,"-")</f>
        <v>35.440637222222215</v>
      </c>
      <c r="G85" s="128">
        <f>IFERROR(lifespans_all!H84*DTE_mission_minutes!H6,"-")</f>
        <v>0</v>
      </c>
      <c r="H85" s="128">
        <f>IFERROR(lifespans_all!I84*DTE_mission_minutes!I6,"-")</f>
        <v>0</v>
      </c>
      <c r="I85" s="128">
        <f>IFERROR(lifespans_all!J84*DTE_mission_minutes!J6,"-")</f>
        <v>0</v>
      </c>
      <c r="J85" s="128">
        <f>IFERROR(lifespans_all!K84*DTE_mission_minutes!K6,"-")</f>
        <v>0</v>
      </c>
      <c r="K85" s="128">
        <f>IFERROR(lifespans_all!L84*DTE_mission_minutes!L6,"-")</f>
        <v>0</v>
      </c>
      <c r="L85" s="128">
        <f>IFERROR(lifespans_all!M84*DTE_mission_minutes!M6,"-")</f>
        <v>0</v>
      </c>
      <c r="M85" s="128">
        <f>IFERROR(lifespans_all!N84*DTE_mission_minutes!N6,"-")</f>
        <v>0</v>
      </c>
      <c r="N85" s="128">
        <f>IFERROR(lifespans_all!O84*DTE_mission_minutes!O6,"-")</f>
        <v>0</v>
      </c>
      <c r="O85" s="128">
        <f>IFERROR(lifespans_all!P84*DTE_mission_minutes!P6,"-")</f>
        <v>0</v>
      </c>
      <c r="P85" s="128">
        <f>IFERROR(lifespans_all!Q84*DTE_mission_minutes!Q6,"-")</f>
        <v>0</v>
      </c>
      <c r="Q85" s="128">
        <f>IFERROR(lifespans_all!R84*DTE_mission_minutes!R6,"-")</f>
        <v>0</v>
      </c>
      <c r="R85" s="128">
        <f>IFERROR(lifespans_all!S84*DTE_mission_minutes!S6,"-")</f>
        <v>0</v>
      </c>
      <c r="S85" s="128">
        <f>IFERROR(lifespans_all!T84*DTE_mission_minutes!T6,"-")</f>
        <v>0</v>
      </c>
      <c r="T85" s="128">
        <f>IFERROR(lifespans_all!U84*DTE_mission_minutes!U6,"-")</f>
        <v>0</v>
      </c>
      <c r="U85" s="128">
        <f>IFERROR(lifespans_all!V84*DTE_mission_minutes!V6,"-")</f>
        <v>0</v>
      </c>
      <c r="V85" s="128">
        <f>IFERROR(lifespans_all!W84*DTE_mission_minutes!W6,"-")</f>
        <v>0</v>
      </c>
    </row>
    <row r="86" spans="1:22" x14ac:dyDescent="0.25">
      <c r="A86" s="46" t="s">
        <v>68</v>
      </c>
      <c r="B86" s="47" t="s">
        <v>57</v>
      </c>
      <c r="C86" s="128">
        <f>IFERROR(lifespans_all!D85*DTE_mission_minutes!D7,"-")</f>
        <v>667.42555555555555</v>
      </c>
      <c r="D86" s="128">
        <f>IFERROR(lifespans_all!E85*DTE_mission_minutes!E7,"-")</f>
        <v>707.53916666666669</v>
      </c>
      <c r="E86" s="128">
        <f>IFERROR(lifespans_all!F85*DTE_mission_minutes!F7,"-")</f>
        <v>608.43833333333339</v>
      </c>
      <c r="F86" s="128">
        <f>IFERROR(lifespans_all!G85*DTE_mission_minutes!G7,"-")</f>
        <v>671.11811111111115</v>
      </c>
      <c r="G86" s="128">
        <f>IFERROR(lifespans_all!H85*DTE_mission_minutes!H7,"-")</f>
        <v>671.11811111111115</v>
      </c>
      <c r="H86" s="128">
        <f>IFERROR(lifespans_all!I85*DTE_mission_minutes!I7,"-")</f>
        <v>671.11811111111115</v>
      </c>
      <c r="I86" s="128">
        <f>IFERROR(lifespans_all!J85*DTE_mission_minutes!J7,"-")</f>
        <v>0</v>
      </c>
      <c r="J86" s="128">
        <f>IFERROR(lifespans_all!K85*DTE_mission_minutes!K7,"-")</f>
        <v>0</v>
      </c>
      <c r="K86" s="128">
        <f>IFERROR(lifespans_all!L85*DTE_mission_minutes!L7,"-")</f>
        <v>0</v>
      </c>
      <c r="L86" s="128">
        <f>IFERROR(lifespans_all!M85*DTE_mission_minutes!M7,"-")</f>
        <v>0</v>
      </c>
      <c r="M86" s="128">
        <f>IFERROR(lifespans_all!N85*DTE_mission_minutes!N7,"-")</f>
        <v>0</v>
      </c>
      <c r="N86" s="128">
        <f>IFERROR(lifespans_all!O85*DTE_mission_minutes!O7,"-")</f>
        <v>0</v>
      </c>
      <c r="O86" s="128">
        <f>IFERROR(lifespans_all!P85*DTE_mission_minutes!P7,"-")</f>
        <v>0</v>
      </c>
      <c r="P86" s="128">
        <f>IFERROR(lifespans_all!Q85*DTE_mission_minutes!Q7,"-")</f>
        <v>0</v>
      </c>
      <c r="Q86" s="128">
        <f>IFERROR(lifespans_all!R85*DTE_mission_minutes!R7,"-")</f>
        <v>0</v>
      </c>
      <c r="R86" s="128">
        <f>IFERROR(lifespans_all!S85*DTE_mission_minutes!S7,"-")</f>
        <v>0</v>
      </c>
      <c r="S86" s="128">
        <f>IFERROR(lifespans_all!T85*DTE_mission_minutes!T7,"-")</f>
        <v>0</v>
      </c>
      <c r="T86" s="128">
        <f>IFERROR(lifespans_all!U85*DTE_mission_minutes!U7,"-")</f>
        <v>0</v>
      </c>
      <c r="U86" s="128">
        <f>IFERROR(lifespans_all!V85*DTE_mission_minutes!V7,"-")</f>
        <v>0</v>
      </c>
      <c r="V86" s="128">
        <f>IFERROR(lifespans_all!W85*DTE_mission_minutes!W7,"-")</f>
        <v>0</v>
      </c>
    </row>
    <row r="87" spans="1:22" x14ac:dyDescent="0.25">
      <c r="A87" s="46" t="s">
        <v>34</v>
      </c>
      <c r="B87" s="55" t="s">
        <v>64</v>
      </c>
      <c r="C87" s="128">
        <f>IFERROR(lifespans_all!D86*DTE_mission_minutes!D8,"-")</f>
        <v>508.14004722222222</v>
      </c>
      <c r="D87" s="128">
        <f>IFERROR(lifespans_all!E86*DTE_mission_minutes!E8,"-")</f>
        <v>377.5913888888889</v>
      </c>
      <c r="E87" s="128">
        <f>IFERROR(lifespans_all!F86*DTE_mission_minutes!F8,"-")</f>
        <v>307.24861111111113</v>
      </c>
      <c r="F87" s="128">
        <f>IFERROR(lifespans_all!G86*DTE_mission_minutes!G8,"-")</f>
        <v>392.20349666666669</v>
      </c>
      <c r="G87" s="128">
        <f>IFERROR(lifespans_all!H86*DTE_mission_minutes!H8,"-")</f>
        <v>392.20349666666669</v>
      </c>
      <c r="H87" s="128">
        <f>IFERROR(lifespans_all!I86*DTE_mission_minutes!I8,"-")</f>
        <v>392.20349666666669</v>
      </c>
      <c r="I87" s="128">
        <f>IFERROR(lifespans_all!J86*DTE_mission_minutes!J8,"-")</f>
        <v>392.20349666666669</v>
      </c>
      <c r="J87" s="128">
        <f>IFERROR(lifespans_all!K86*DTE_mission_minutes!K8,"-")</f>
        <v>392.20349666666669</v>
      </c>
      <c r="K87" s="128">
        <f>IFERROR(lifespans_all!L86*DTE_mission_minutes!L8,"-")</f>
        <v>392.20349666666669</v>
      </c>
      <c r="L87" s="128">
        <f>IFERROR(lifespans_all!M86*DTE_mission_minutes!M8,"-")</f>
        <v>392.20349666666669</v>
      </c>
      <c r="M87" s="128">
        <f>IFERROR(lifespans_all!N86*DTE_mission_minutes!N8,"-")</f>
        <v>392.20349666666669</v>
      </c>
      <c r="N87" s="128">
        <f>IFERROR(lifespans_all!O86*DTE_mission_minutes!O8,"-")</f>
        <v>392.20349666666669</v>
      </c>
      <c r="O87" s="128">
        <f>IFERROR(lifespans_all!P86*DTE_mission_minutes!P8,"-")</f>
        <v>392.20349666666669</v>
      </c>
      <c r="P87" s="128">
        <f>IFERROR(lifespans_all!Q86*DTE_mission_minutes!Q8,"-")</f>
        <v>392.20349666666669</v>
      </c>
      <c r="Q87" s="128">
        <f>IFERROR(lifespans_all!R86*DTE_mission_minutes!R8,"-")</f>
        <v>392.20349666666669</v>
      </c>
      <c r="R87" s="128">
        <f>IFERROR(lifespans_all!S86*DTE_mission_minutes!S8,"-")</f>
        <v>392.20349666666669</v>
      </c>
      <c r="S87" s="128">
        <f>IFERROR(lifespans_all!T86*DTE_mission_minutes!T8,"-")</f>
        <v>392.20349666666669</v>
      </c>
      <c r="T87" s="128">
        <f>IFERROR(lifespans_all!U86*DTE_mission_minutes!U8,"-")</f>
        <v>392.20349666666669</v>
      </c>
      <c r="U87" s="128">
        <f>IFERROR(lifespans_all!V86*DTE_mission_minutes!V8,"-")</f>
        <v>392.20349666666669</v>
      </c>
      <c r="V87" s="128">
        <f>IFERROR(lifespans_all!W86*DTE_mission_minutes!W8,"-")</f>
        <v>392.20349666666669</v>
      </c>
    </row>
    <row r="88" spans="1:22" x14ac:dyDescent="0.25">
      <c r="A88" s="46" t="s">
        <v>69</v>
      </c>
      <c r="B88" s="47" t="s">
        <v>57</v>
      </c>
      <c r="C88" s="128">
        <f>IFERROR(lifespans_all!D87*DTE_mission_minutes!D9,"-")</f>
        <v>0</v>
      </c>
      <c r="D88" s="128">
        <f>IFERROR(lifespans_all!E87*DTE_mission_minutes!E9,"-")</f>
        <v>0</v>
      </c>
      <c r="E88" s="128">
        <f>IFERROR(lifespans_all!F87*DTE_mission_minutes!F9,"-")</f>
        <v>0</v>
      </c>
      <c r="F88" s="128">
        <f>IFERROR(lifespans_all!G87*DTE_mission_minutes!G9,"-")</f>
        <v>0</v>
      </c>
      <c r="G88" s="128">
        <f>IFERROR(lifespans_all!H87*DTE_mission_minutes!H9,"-")</f>
        <v>0</v>
      </c>
      <c r="H88" s="128">
        <f>IFERROR(lifespans_all!I87*DTE_mission_minutes!I9,"-")</f>
        <v>0</v>
      </c>
      <c r="I88" s="128">
        <f>IFERROR(lifespans_all!J87*DTE_mission_minutes!J9,"-")</f>
        <v>0</v>
      </c>
      <c r="J88" s="128">
        <f>IFERROR(lifespans_all!K87*DTE_mission_minutes!K9,"-")</f>
        <v>0</v>
      </c>
      <c r="K88" s="128">
        <f>IFERROR(lifespans_all!L87*DTE_mission_minutes!L9,"-")</f>
        <v>0</v>
      </c>
      <c r="L88" s="128">
        <f>IFERROR(lifespans_all!M87*DTE_mission_minutes!M9,"-")</f>
        <v>0</v>
      </c>
      <c r="M88" s="128">
        <f>IFERROR(lifespans_all!N87*DTE_mission_minutes!N9,"-")</f>
        <v>0</v>
      </c>
      <c r="N88" s="128">
        <f>IFERROR(lifespans_all!O87*DTE_mission_minutes!O9,"-")</f>
        <v>0</v>
      </c>
      <c r="O88" s="128">
        <f>IFERROR(lifespans_all!P87*DTE_mission_minutes!P9,"-")</f>
        <v>0</v>
      </c>
      <c r="P88" s="128">
        <f>IFERROR(lifespans_all!Q87*DTE_mission_minutes!Q9,"-")</f>
        <v>0</v>
      </c>
      <c r="Q88" s="128">
        <f>IFERROR(lifespans_all!R87*DTE_mission_minutes!R9,"-")</f>
        <v>0</v>
      </c>
      <c r="R88" s="128">
        <f>IFERROR(lifespans_all!S87*DTE_mission_minutes!S9,"-")</f>
        <v>0</v>
      </c>
      <c r="S88" s="128">
        <f>IFERROR(lifespans_all!T87*DTE_mission_minutes!T9,"-")</f>
        <v>0</v>
      </c>
      <c r="T88" s="128">
        <f>IFERROR(lifespans_all!U87*DTE_mission_minutes!U9,"-")</f>
        <v>0</v>
      </c>
      <c r="U88" s="128">
        <f>IFERROR(lifespans_all!V87*DTE_mission_minutes!V9,"-")</f>
        <v>0</v>
      </c>
      <c r="V88" s="128">
        <f>IFERROR(lifespans_all!W87*DTE_mission_minutes!W9,"-")</f>
        <v>0</v>
      </c>
    </row>
    <row r="89" spans="1:22" x14ac:dyDescent="0.25">
      <c r="A89" s="46" t="s">
        <v>70</v>
      </c>
      <c r="B89" s="54" t="s">
        <v>59</v>
      </c>
      <c r="C89" s="128">
        <f>IFERROR(lifespans_all!D88*DTE_mission_minutes!D10,"-")</f>
        <v>1178.5658305555555</v>
      </c>
      <c r="D89" s="128">
        <f>IFERROR(lifespans_all!E88*DTE_mission_minutes!E10,"-")</f>
        <v>779.39891388888896</v>
      </c>
      <c r="E89" s="128">
        <f>IFERROR(lifespans_all!F88*DTE_mission_minutes!F10,"-")</f>
        <v>4.2386111111111111</v>
      </c>
      <c r="F89" s="128">
        <f>IFERROR(lifespans_all!G88*DTE_mission_minutes!G10,"-")</f>
        <v>871.54136999999992</v>
      </c>
      <c r="G89" s="128">
        <f>IFERROR(lifespans_all!H88*DTE_mission_minutes!H10,"-")</f>
        <v>871.54136999999992</v>
      </c>
      <c r="H89" s="128">
        <f>IFERROR(lifespans_all!I88*DTE_mission_minutes!I10,"-")</f>
        <v>871.54136999999992</v>
      </c>
      <c r="I89" s="128">
        <f>IFERROR(lifespans_all!J88*DTE_mission_minutes!J10,"-")</f>
        <v>871.54136999999992</v>
      </c>
      <c r="J89" s="128">
        <f>IFERROR(lifespans_all!K88*DTE_mission_minutes!K10,"-")</f>
        <v>871.54136999999992</v>
      </c>
      <c r="K89" s="128">
        <f>IFERROR(lifespans_all!L88*DTE_mission_minutes!L10,"-")</f>
        <v>871.54136999999992</v>
      </c>
      <c r="L89" s="128">
        <f>IFERROR(lifespans_all!M88*DTE_mission_minutes!M10,"-")</f>
        <v>871.54136999999992</v>
      </c>
      <c r="M89" s="128">
        <f>IFERROR(lifespans_all!N88*DTE_mission_minutes!N10,"-")</f>
        <v>0</v>
      </c>
      <c r="N89" s="128">
        <f>IFERROR(lifespans_all!O88*DTE_mission_minutes!O10,"-")</f>
        <v>0</v>
      </c>
      <c r="O89" s="128">
        <f>IFERROR(lifespans_all!P88*DTE_mission_minutes!P10,"-")</f>
        <v>0</v>
      </c>
      <c r="P89" s="128">
        <f>IFERROR(lifespans_all!Q88*DTE_mission_minutes!Q10,"-")</f>
        <v>0</v>
      </c>
      <c r="Q89" s="128">
        <f>IFERROR(lifespans_all!R88*DTE_mission_minutes!R10,"-")</f>
        <v>0</v>
      </c>
      <c r="R89" s="128">
        <f>IFERROR(lifespans_all!S88*DTE_mission_minutes!S10,"-")</f>
        <v>0</v>
      </c>
      <c r="S89" s="128">
        <f>IFERROR(lifespans_all!T88*DTE_mission_minutes!T10,"-")</f>
        <v>0</v>
      </c>
      <c r="T89" s="128">
        <f>IFERROR(lifespans_all!U88*DTE_mission_minutes!U10,"-")</f>
        <v>0</v>
      </c>
      <c r="U89" s="128">
        <f>IFERROR(lifespans_all!V88*DTE_mission_minutes!V10,"-")</f>
        <v>0</v>
      </c>
      <c r="V89" s="128">
        <f>IFERROR(lifespans_all!W88*DTE_mission_minutes!W10,"-")</f>
        <v>0</v>
      </c>
    </row>
    <row r="90" spans="1:22" x14ac:dyDescent="0.25">
      <c r="A90" s="46" t="s">
        <v>71</v>
      </c>
      <c r="B90" s="54" t="s">
        <v>58</v>
      </c>
      <c r="C90" s="128">
        <f>IFERROR(lifespans_all!D89*DTE_mission_minutes!D11,"-")</f>
        <v>721.11352444444435</v>
      </c>
      <c r="D90" s="128">
        <f>IFERROR(lifespans_all!E89*DTE_mission_minutes!E11,"-")</f>
        <v>721.11352444444435</v>
      </c>
      <c r="E90" s="128">
        <f>IFERROR(lifespans_all!F89*DTE_mission_minutes!F11,"-")</f>
        <v>721.11352444444435</v>
      </c>
      <c r="F90" s="128">
        <f>IFERROR(lifespans_all!G89*DTE_mission_minutes!G11,"-")</f>
        <v>721.11352444444435</v>
      </c>
      <c r="G90" s="128">
        <f>IFERROR(lifespans_all!H89*DTE_mission_minutes!H11,"-")</f>
        <v>721.11352444444435</v>
      </c>
      <c r="H90" s="128">
        <f>IFERROR(lifespans_all!I89*DTE_mission_minutes!I11,"-")</f>
        <v>721.11352444444435</v>
      </c>
      <c r="I90" s="128">
        <f>IFERROR(lifespans_all!J89*DTE_mission_minutes!J11,"-")</f>
        <v>721.11352444444435</v>
      </c>
      <c r="J90" s="128">
        <f>IFERROR(lifespans_all!K89*DTE_mission_minutes!K11,"-")</f>
        <v>721.11352444444435</v>
      </c>
      <c r="K90" s="128">
        <f>IFERROR(lifespans_all!L89*DTE_mission_minutes!L11,"-")</f>
        <v>721.11352444444435</v>
      </c>
      <c r="L90" s="128">
        <f>IFERROR(lifespans_all!M89*DTE_mission_minutes!M11,"-")</f>
        <v>721.11352444444435</v>
      </c>
      <c r="M90" s="128">
        <f>IFERROR(lifespans_all!N89*DTE_mission_minutes!N11,"-")</f>
        <v>721.11352444444435</v>
      </c>
      <c r="N90" s="128">
        <f>IFERROR(lifespans_all!O89*DTE_mission_minutes!O11,"-")</f>
        <v>721.11352444444435</v>
      </c>
      <c r="O90" s="128">
        <f>IFERROR(lifespans_all!P89*DTE_mission_minutes!P11,"-")</f>
        <v>721.11352444444435</v>
      </c>
      <c r="P90" s="128">
        <f>IFERROR(lifespans_all!Q89*DTE_mission_minutes!Q11,"-")</f>
        <v>721.11352444444435</v>
      </c>
      <c r="Q90" s="128">
        <f>IFERROR(lifespans_all!R89*DTE_mission_minutes!R11,"-")</f>
        <v>721.11352444444435</v>
      </c>
      <c r="R90" s="128">
        <f>IFERROR(lifespans_all!S89*DTE_mission_minutes!S11,"-")</f>
        <v>721.11352444444435</v>
      </c>
      <c r="S90" s="128">
        <f>IFERROR(lifespans_all!T89*DTE_mission_minutes!T11,"-")</f>
        <v>721.11352444444435</v>
      </c>
      <c r="T90" s="128">
        <f>IFERROR(lifespans_all!U89*DTE_mission_minutes!U11,"-")</f>
        <v>721.11352444444435</v>
      </c>
      <c r="U90" s="128">
        <f>IFERROR(lifespans_all!V89*DTE_mission_minutes!V11,"-")</f>
        <v>721.11352444444435</v>
      </c>
      <c r="V90" s="128">
        <f>IFERROR(lifespans_all!W89*DTE_mission_minutes!W11,"-")</f>
        <v>721.11352444444435</v>
      </c>
    </row>
    <row r="91" spans="1:22" x14ac:dyDescent="0.25">
      <c r="A91" s="46" t="s">
        <v>72</v>
      </c>
      <c r="B91" s="53" t="s">
        <v>59</v>
      </c>
      <c r="C91" s="128">
        <f>IFERROR(lifespans_all!D90*DTE_mission_minutes!D12,"-")</f>
        <v>171572.29579277776</v>
      </c>
      <c r="D91" s="128">
        <f>IFERROR(lifespans_all!E90*DTE_mission_minutes!E12,"-")</f>
        <v>171572.29579277776</v>
      </c>
      <c r="E91" s="128">
        <f>IFERROR(lifespans_all!F90*DTE_mission_minutes!F12,"-")</f>
        <v>171572.29579277776</v>
      </c>
      <c r="F91" s="128">
        <f>IFERROR(lifespans_all!G90*DTE_mission_minutes!G12,"-")</f>
        <v>171572.29579277776</v>
      </c>
      <c r="G91" s="128">
        <f>IFERROR(lifespans_all!H90*DTE_mission_minutes!H12,"-")</f>
        <v>171572.29579277776</v>
      </c>
      <c r="H91" s="128">
        <f>IFERROR(lifespans_all!I90*DTE_mission_minutes!I12,"-")</f>
        <v>171572.29579277776</v>
      </c>
      <c r="I91" s="128">
        <f>IFERROR(lifespans_all!J90*DTE_mission_minutes!J12,"-")</f>
        <v>171572.29579277776</v>
      </c>
      <c r="J91" s="128">
        <f>IFERROR(lifespans_all!K90*DTE_mission_minutes!K12,"-")</f>
        <v>171572.29579277776</v>
      </c>
      <c r="K91" s="128">
        <f>IFERROR(lifespans_all!L90*DTE_mission_minutes!L12,"-")</f>
        <v>171572.29579277776</v>
      </c>
      <c r="L91" s="128">
        <f>IFERROR(lifespans_all!M90*DTE_mission_minutes!M12,"-")</f>
        <v>171572.29579277776</v>
      </c>
      <c r="M91" s="128">
        <f>IFERROR(lifespans_all!N90*DTE_mission_minutes!N12,"-")</f>
        <v>171572.29579277776</v>
      </c>
      <c r="N91" s="128">
        <f>IFERROR(lifespans_all!O90*DTE_mission_minutes!O12,"-")</f>
        <v>171572.29579277776</v>
      </c>
      <c r="O91" s="128">
        <f>IFERROR(lifespans_all!P90*DTE_mission_minutes!P12,"-")</f>
        <v>171572.29579277776</v>
      </c>
      <c r="P91" s="128">
        <f>IFERROR(lifespans_all!Q90*DTE_mission_minutes!Q12,"-")</f>
        <v>171572.29579277776</v>
      </c>
      <c r="Q91" s="128">
        <f>IFERROR(lifespans_all!R90*DTE_mission_minutes!R12,"-")</f>
        <v>171572.29579277776</v>
      </c>
      <c r="R91" s="128">
        <f>IFERROR(lifespans_all!S90*DTE_mission_minutes!S12,"-")</f>
        <v>171572.29579277776</v>
      </c>
      <c r="S91" s="128">
        <f>IFERROR(lifespans_all!T90*DTE_mission_minutes!T12,"-")</f>
        <v>171572.29579277776</v>
      </c>
      <c r="T91" s="128">
        <f>IFERROR(lifespans_all!U90*DTE_mission_minutes!U12,"-")</f>
        <v>171572.29579277776</v>
      </c>
      <c r="U91" s="128">
        <f>IFERROR(lifespans_all!V90*DTE_mission_minutes!V12,"-")</f>
        <v>171572.29579277776</v>
      </c>
      <c r="V91" s="128">
        <f>IFERROR(lifespans_all!W90*DTE_mission_minutes!W12,"-")</f>
        <v>171572.29579277776</v>
      </c>
    </row>
    <row r="92" spans="1:22" x14ac:dyDescent="0.25">
      <c r="A92" s="46" t="s">
        <v>82</v>
      </c>
      <c r="B92" s="55" t="s">
        <v>64</v>
      </c>
      <c r="C92" s="128" t="str">
        <f>IFERROR(lifespans_all!D91*DTE_mission_minutes!D13,"-")</f>
        <v>-</v>
      </c>
      <c r="D92" s="128" t="str">
        <f>IFERROR(lifespans_all!E91*DTE_mission_minutes!E13,"-")</f>
        <v>-</v>
      </c>
      <c r="E92" s="128" t="str">
        <f>IFERROR(lifespans_all!F91*DTE_mission_minutes!F13,"-")</f>
        <v>-</v>
      </c>
      <c r="F92" s="128" t="str">
        <f>IFERROR(lifespans_all!G91*DTE_mission_minutes!G13,"-")</f>
        <v>-</v>
      </c>
      <c r="G92" s="128" t="str">
        <f>IFERROR(lifespans_all!H91*DTE_mission_minutes!H13,"-")</f>
        <v>-</v>
      </c>
      <c r="H92" s="128" t="str">
        <f>IFERROR(lifespans_all!I91*DTE_mission_minutes!I13,"-")</f>
        <v>-</v>
      </c>
      <c r="I92" s="128" t="str">
        <f>IFERROR(lifespans_all!J91*DTE_mission_minutes!J13,"-")</f>
        <v>-</v>
      </c>
      <c r="J92" s="128" t="str">
        <f>IFERROR(lifespans_all!K91*DTE_mission_minutes!K13,"-")</f>
        <v>-</v>
      </c>
      <c r="K92" s="128" t="str">
        <f>IFERROR(lifespans_all!L91*DTE_mission_minutes!L13,"-")</f>
        <v>-</v>
      </c>
      <c r="L92" s="128" t="str">
        <f>IFERROR(lifespans_all!M91*DTE_mission_minutes!M13,"-")</f>
        <v>-</v>
      </c>
      <c r="M92" s="128" t="str">
        <f>IFERROR(lifespans_all!N91*DTE_mission_minutes!N13,"-")</f>
        <v>-</v>
      </c>
      <c r="N92" s="128" t="str">
        <f>IFERROR(lifespans_all!O91*DTE_mission_minutes!O13,"-")</f>
        <v>-</v>
      </c>
      <c r="O92" s="128" t="str">
        <f>IFERROR(lifespans_all!P91*DTE_mission_minutes!P13,"-")</f>
        <v>-</v>
      </c>
      <c r="P92" s="128" t="str">
        <f>IFERROR(lifespans_all!Q91*DTE_mission_minutes!Q13,"-")</f>
        <v>-</v>
      </c>
      <c r="Q92" s="128" t="str">
        <f>IFERROR(lifespans_all!R91*DTE_mission_minutes!R13,"-")</f>
        <v>-</v>
      </c>
      <c r="R92" s="128" t="str">
        <f>IFERROR(lifespans_all!S91*DTE_mission_minutes!S13,"-")</f>
        <v>-</v>
      </c>
      <c r="S92" s="128" t="str">
        <f>IFERROR(lifespans_all!T91*DTE_mission_minutes!T13,"-")</f>
        <v>-</v>
      </c>
      <c r="T92" s="128" t="str">
        <f>IFERROR(lifespans_all!U91*DTE_mission_minutes!U13,"-")</f>
        <v>-</v>
      </c>
      <c r="U92" s="128" t="str">
        <f>IFERROR(lifespans_all!V91*DTE_mission_minutes!V13,"-")</f>
        <v>-</v>
      </c>
      <c r="V92" s="128" t="str">
        <f>IFERROR(lifespans_all!W91*DTE_mission_minutes!W13,"-")</f>
        <v>-</v>
      </c>
    </row>
    <row r="93" spans="1:22" x14ac:dyDescent="0.25">
      <c r="A93" s="46" t="s">
        <v>35</v>
      </c>
      <c r="B93" s="47" t="s">
        <v>57</v>
      </c>
      <c r="C93" s="128">
        <f>IFERROR(lifespans_all!D92*DTE_mission_minutes!D14,"-")</f>
        <v>851.36055555555549</v>
      </c>
      <c r="D93" s="128">
        <f>IFERROR(lifespans_all!E92*DTE_mission_minutes!E14,"-")</f>
        <v>921.41561944444436</v>
      </c>
      <c r="E93" s="128">
        <f>IFERROR(lifespans_all!F92*DTE_mission_minutes!F14,"-")</f>
        <v>793.34499999999991</v>
      </c>
      <c r="F93" s="128">
        <f>IFERROR(lifespans_all!G92*DTE_mission_minutes!G14,"-")</f>
        <v>796.60534611111109</v>
      </c>
      <c r="G93" s="128">
        <f>IFERROR(lifespans_all!H92*DTE_mission_minutes!H14,"-")</f>
        <v>796.60534611111109</v>
      </c>
      <c r="H93" s="128">
        <f>IFERROR(lifespans_all!I92*DTE_mission_minutes!I14,"-")</f>
        <v>796.60534611111109</v>
      </c>
      <c r="I93" s="128">
        <f>IFERROR(lifespans_all!J92*DTE_mission_minutes!J14,"-")</f>
        <v>796.60534611111109</v>
      </c>
      <c r="J93" s="128">
        <f>IFERROR(lifespans_all!K92*DTE_mission_minutes!K14,"-")</f>
        <v>0</v>
      </c>
      <c r="K93" s="128">
        <f>IFERROR(lifespans_all!L92*DTE_mission_minutes!L14,"-")</f>
        <v>0</v>
      </c>
      <c r="L93" s="128">
        <f>IFERROR(lifespans_all!M92*DTE_mission_minutes!M14,"-")</f>
        <v>0</v>
      </c>
      <c r="M93" s="128">
        <f>IFERROR(lifespans_all!N92*DTE_mission_minutes!N14,"-")</f>
        <v>0</v>
      </c>
      <c r="N93" s="128">
        <f>IFERROR(lifespans_all!O92*DTE_mission_minutes!O14,"-")</f>
        <v>0</v>
      </c>
      <c r="O93" s="128">
        <f>IFERROR(lifespans_all!P92*DTE_mission_minutes!P14,"-")</f>
        <v>0</v>
      </c>
      <c r="P93" s="128">
        <f>IFERROR(lifespans_all!Q92*DTE_mission_minutes!Q14,"-")</f>
        <v>0</v>
      </c>
      <c r="Q93" s="128">
        <f>IFERROR(lifespans_all!R92*DTE_mission_minutes!R14,"-")</f>
        <v>0</v>
      </c>
      <c r="R93" s="128">
        <f>IFERROR(lifespans_all!S92*DTE_mission_minutes!S14,"-")</f>
        <v>0</v>
      </c>
      <c r="S93" s="128">
        <f>IFERROR(lifespans_all!T92*DTE_mission_minutes!T14,"-")</f>
        <v>0</v>
      </c>
      <c r="T93" s="128">
        <f>IFERROR(lifespans_all!U92*DTE_mission_minutes!U14,"-")</f>
        <v>0</v>
      </c>
      <c r="U93" s="128">
        <f>IFERROR(lifespans_all!V92*DTE_mission_minutes!V14,"-")</f>
        <v>0</v>
      </c>
      <c r="V93" s="128">
        <f>IFERROR(lifespans_all!W92*DTE_mission_minutes!W14,"-")</f>
        <v>0</v>
      </c>
    </row>
    <row r="94" spans="1:22" x14ac:dyDescent="0.25">
      <c r="A94" s="59" t="s">
        <v>83</v>
      </c>
      <c r="B94" s="47" t="s">
        <v>56</v>
      </c>
      <c r="C94" s="128">
        <f>IFERROR(lifespans_all!D93*DTE_mission_minutes!D15,"-")</f>
        <v>2140.4341038095235</v>
      </c>
      <c r="D94" s="128">
        <f>IFERROR(lifespans_all!E93*DTE_mission_minutes!E15,"-")</f>
        <v>2140.4341038095235</v>
      </c>
      <c r="E94" s="128">
        <f>IFERROR(lifespans_all!F93*DTE_mission_minutes!F15,"-")</f>
        <v>2140.4341038095235</v>
      </c>
      <c r="F94" s="128">
        <f>IFERROR(lifespans_all!G93*DTE_mission_minutes!G15,"-")</f>
        <v>2140.4341038095235</v>
      </c>
      <c r="G94" s="128">
        <f>IFERROR(lifespans_all!H93*DTE_mission_minutes!H15,"-")</f>
        <v>2140.4341038095235</v>
      </c>
      <c r="H94" s="128">
        <f>IFERROR(lifespans_all!I93*DTE_mission_minutes!I15,"-")</f>
        <v>2140.4341038095235</v>
      </c>
      <c r="I94" s="128">
        <f>IFERROR(lifespans_all!J93*DTE_mission_minutes!J15,"-")</f>
        <v>2140.4341038095235</v>
      </c>
      <c r="J94" s="128">
        <f>IFERROR(lifespans_all!K93*DTE_mission_minutes!K15,"-")</f>
        <v>2140.4341038095235</v>
      </c>
      <c r="K94" s="128">
        <f>IFERROR(lifespans_all!L93*DTE_mission_minutes!L15,"-")</f>
        <v>2140.4341038095235</v>
      </c>
      <c r="L94" s="128">
        <f>IFERROR(lifespans_all!M93*DTE_mission_minutes!M15,"-")</f>
        <v>2140.4341038095235</v>
      </c>
      <c r="M94" s="128">
        <f>IFERROR(lifespans_all!N93*DTE_mission_minutes!N15,"-")</f>
        <v>2140.4341038095235</v>
      </c>
      <c r="N94" s="128">
        <f>IFERROR(lifespans_all!O93*DTE_mission_minutes!O15,"-")</f>
        <v>2140.4341038095235</v>
      </c>
      <c r="O94" s="128">
        <f>IFERROR(lifespans_all!P93*DTE_mission_minutes!P15,"-")</f>
        <v>2140.4341038095235</v>
      </c>
      <c r="P94" s="128">
        <f>IFERROR(lifespans_all!Q93*DTE_mission_minutes!Q15,"-")</f>
        <v>2140.4341038095235</v>
      </c>
      <c r="Q94" s="128">
        <f>IFERROR(lifespans_all!R93*DTE_mission_minutes!R15,"-")</f>
        <v>2140.4341038095235</v>
      </c>
      <c r="R94" s="128">
        <f>IFERROR(lifespans_all!S93*DTE_mission_minutes!S15,"-")</f>
        <v>2140.4341038095235</v>
      </c>
      <c r="S94" s="128">
        <f>IFERROR(lifespans_all!T93*DTE_mission_minutes!T15,"-")</f>
        <v>2140.4341038095235</v>
      </c>
      <c r="T94" s="128">
        <f>IFERROR(lifespans_all!U93*DTE_mission_minutes!U15,"-")</f>
        <v>2140.4341038095235</v>
      </c>
      <c r="U94" s="128">
        <f>IFERROR(lifespans_all!V93*DTE_mission_minutes!V15,"-")</f>
        <v>2140.4341038095235</v>
      </c>
      <c r="V94" s="128">
        <f>IFERROR(lifespans_all!W93*DTE_mission_minutes!W15,"-")</f>
        <v>2140.4341038095235</v>
      </c>
    </row>
    <row r="95" spans="1:22" x14ac:dyDescent="0.25">
      <c r="A95" s="59" t="s">
        <v>84</v>
      </c>
      <c r="B95" s="47" t="s">
        <v>56</v>
      </c>
      <c r="C95" s="128">
        <f>IFERROR(lifespans_all!D94*DTE_mission_minutes!D16,"-")</f>
        <v>2140.4341038095235</v>
      </c>
      <c r="D95" s="128">
        <f>IFERROR(lifespans_all!E94*DTE_mission_minutes!E16,"-")</f>
        <v>2140.4341038095235</v>
      </c>
      <c r="E95" s="128">
        <f>IFERROR(lifespans_all!F94*DTE_mission_minutes!F16,"-")</f>
        <v>2140.4341038095235</v>
      </c>
      <c r="F95" s="128">
        <f>IFERROR(lifespans_all!G94*DTE_mission_minutes!G16,"-")</f>
        <v>2140.4341038095235</v>
      </c>
      <c r="G95" s="128">
        <f>IFERROR(lifespans_all!H94*DTE_mission_minutes!H16,"-")</f>
        <v>2140.4341038095235</v>
      </c>
      <c r="H95" s="128">
        <f>IFERROR(lifespans_all!I94*DTE_mission_minutes!I16,"-")</f>
        <v>2140.4341038095235</v>
      </c>
      <c r="I95" s="128">
        <f>IFERROR(lifespans_all!J94*DTE_mission_minutes!J16,"-")</f>
        <v>2140.4341038095235</v>
      </c>
      <c r="J95" s="128">
        <f>IFERROR(lifespans_all!K94*DTE_mission_minutes!K16,"-")</f>
        <v>2140.4341038095235</v>
      </c>
      <c r="K95" s="128">
        <f>IFERROR(lifespans_all!L94*DTE_mission_minutes!L16,"-")</f>
        <v>2140.4341038095235</v>
      </c>
      <c r="L95" s="128">
        <f>IFERROR(lifespans_all!M94*DTE_mission_minutes!M16,"-")</f>
        <v>2140.4341038095235</v>
      </c>
      <c r="M95" s="128">
        <f>IFERROR(lifespans_all!N94*DTE_mission_minutes!N16,"-")</f>
        <v>2140.4341038095235</v>
      </c>
      <c r="N95" s="128">
        <f>IFERROR(lifespans_all!O94*DTE_mission_minutes!O16,"-")</f>
        <v>2140.4341038095235</v>
      </c>
      <c r="O95" s="128">
        <f>IFERROR(lifespans_all!P94*DTE_mission_minutes!P16,"-")</f>
        <v>2140.4341038095235</v>
      </c>
      <c r="P95" s="128">
        <f>IFERROR(lifespans_all!Q94*DTE_mission_minutes!Q16,"-")</f>
        <v>2140.4341038095235</v>
      </c>
      <c r="Q95" s="128">
        <f>IFERROR(lifespans_all!R94*DTE_mission_minutes!R16,"-")</f>
        <v>2140.4341038095235</v>
      </c>
      <c r="R95" s="128">
        <f>IFERROR(lifespans_all!S94*DTE_mission_minutes!S16,"-")</f>
        <v>2140.4341038095235</v>
      </c>
      <c r="S95" s="128">
        <f>IFERROR(lifespans_all!T94*DTE_mission_minutes!T16,"-")</f>
        <v>2140.4341038095235</v>
      </c>
      <c r="T95" s="128">
        <f>IFERROR(lifespans_all!U94*DTE_mission_minutes!U16,"-")</f>
        <v>2140.4341038095235</v>
      </c>
      <c r="U95" s="128">
        <f>IFERROR(lifespans_all!V94*DTE_mission_minutes!V16,"-")</f>
        <v>2140.4341038095235</v>
      </c>
      <c r="V95" s="128">
        <f>IFERROR(lifespans_all!W94*DTE_mission_minutes!W16,"-")</f>
        <v>2140.4341038095235</v>
      </c>
    </row>
    <row r="96" spans="1:22" x14ac:dyDescent="0.25">
      <c r="A96" s="59" t="s">
        <v>85</v>
      </c>
      <c r="B96" s="47" t="s">
        <v>56</v>
      </c>
      <c r="C96" s="128">
        <f>IFERROR(lifespans_all!D95*DTE_mission_minutes!D17,"-")</f>
        <v>2140.4341038095235</v>
      </c>
      <c r="D96" s="128">
        <f>IFERROR(lifespans_all!E95*DTE_mission_minutes!E17,"-")</f>
        <v>2140.4341038095235</v>
      </c>
      <c r="E96" s="128">
        <f>IFERROR(lifespans_all!F95*DTE_mission_minutes!F17,"-")</f>
        <v>2140.4341038095235</v>
      </c>
      <c r="F96" s="128">
        <f>IFERROR(lifespans_all!G95*DTE_mission_minutes!G17,"-")</f>
        <v>2140.4341038095235</v>
      </c>
      <c r="G96" s="128">
        <f>IFERROR(lifespans_all!H95*DTE_mission_minutes!H17,"-")</f>
        <v>2140.4341038095235</v>
      </c>
      <c r="H96" s="128">
        <f>IFERROR(lifespans_all!I95*DTE_mission_minutes!I17,"-")</f>
        <v>2140.4341038095235</v>
      </c>
      <c r="I96" s="128">
        <f>IFERROR(lifespans_all!J95*DTE_mission_minutes!J17,"-")</f>
        <v>2140.4341038095235</v>
      </c>
      <c r="J96" s="128">
        <f>IFERROR(lifespans_all!K95*DTE_mission_minutes!K17,"-")</f>
        <v>2140.4341038095235</v>
      </c>
      <c r="K96" s="128">
        <f>IFERROR(lifespans_all!L95*DTE_mission_minutes!L17,"-")</f>
        <v>2140.4341038095235</v>
      </c>
      <c r="L96" s="128">
        <f>IFERROR(lifespans_all!M95*DTE_mission_minutes!M17,"-")</f>
        <v>2140.4341038095235</v>
      </c>
      <c r="M96" s="128">
        <f>IFERROR(lifespans_all!N95*DTE_mission_minutes!N17,"-")</f>
        <v>2140.4341038095235</v>
      </c>
      <c r="N96" s="128">
        <f>IFERROR(lifespans_all!O95*DTE_mission_minutes!O17,"-")</f>
        <v>2140.4341038095235</v>
      </c>
      <c r="O96" s="128">
        <f>IFERROR(lifespans_all!P95*DTE_mission_minutes!P17,"-")</f>
        <v>2140.4341038095235</v>
      </c>
      <c r="P96" s="128">
        <f>IFERROR(lifespans_all!Q95*DTE_mission_minutes!Q17,"-")</f>
        <v>2140.4341038095235</v>
      </c>
      <c r="Q96" s="128">
        <f>IFERROR(lifespans_all!R95*DTE_mission_minutes!R17,"-")</f>
        <v>2140.4341038095235</v>
      </c>
      <c r="R96" s="128">
        <f>IFERROR(lifespans_all!S95*DTE_mission_minutes!S17,"-")</f>
        <v>2140.4341038095235</v>
      </c>
      <c r="S96" s="128">
        <f>IFERROR(lifespans_all!T95*DTE_mission_minutes!T17,"-")</f>
        <v>2140.4341038095235</v>
      </c>
      <c r="T96" s="128">
        <f>IFERROR(lifespans_all!U95*DTE_mission_minutes!U17,"-")</f>
        <v>2140.4341038095235</v>
      </c>
      <c r="U96" s="128">
        <f>IFERROR(lifespans_all!V95*DTE_mission_minutes!V17,"-")</f>
        <v>2140.4341038095235</v>
      </c>
      <c r="V96" s="128">
        <f>IFERROR(lifespans_all!W95*DTE_mission_minutes!W17,"-")</f>
        <v>2140.4341038095235</v>
      </c>
    </row>
    <row r="97" spans="1:22" x14ac:dyDescent="0.25">
      <c r="A97" s="59" t="s">
        <v>86</v>
      </c>
      <c r="B97" s="47" t="s">
        <v>56</v>
      </c>
      <c r="C97" s="128">
        <f>IFERROR(lifespans_all!D96*DTE_mission_minutes!D18,"-")</f>
        <v>2140.4341038095235</v>
      </c>
      <c r="D97" s="128">
        <f>IFERROR(lifespans_all!E96*DTE_mission_minutes!E18,"-")</f>
        <v>2140.4341038095235</v>
      </c>
      <c r="E97" s="128">
        <f>IFERROR(lifespans_all!F96*DTE_mission_minutes!F18,"-")</f>
        <v>2140.4341038095235</v>
      </c>
      <c r="F97" s="128">
        <f>IFERROR(lifespans_all!G96*DTE_mission_minutes!G18,"-")</f>
        <v>2140.4341038095235</v>
      </c>
      <c r="G97" s="128">
        <f>IFERROR(lifespans_all!H96*DTE_mission_minutes!H18,"-")</f>
        <v>2140.4341038095235</v>
      </c>
      <c r="H97" s="128">
        <f>IFERROR(lifespans_all!I96*DTE_mission_minutes!I18,"-")</f>
        <v>2140.4341038095235</v>
      </c>
      <c r="I97" s="128">
        <f>IFERROR(lifespans_all!J96*DTE_mission_minutes!J18,"-")</f>
        <v>2140.4341038095235</v>
      </c>
      <c r="J97" s="128">
        <f>IFERROR(lifespans_all!K96*DTE_mission_minutes!K18,"-")</f>
        <v>2140.4341038095235</v>
      </c>
      <c r="K97" s="128">
        <f>IFERROR(lifespans_all!L96*DTE_mission_minutes!L18,"-")</f>
        <v>2140.4341038095235</v>
      </c>
      <c r="L97" s="128">
        <f>IFERROR(lifespans_all!M96*DTE_mission_minutes!M18,"-")</f>
        <v>2140.4341038095235</v>
      </c>
      <c r="M97" s="128">
        <f>IFERROR(lifespans_all!N96*DTE_mission_minutes!N18,"-")</f>
        <v>2140.4341038095235</v>
      </c>
      <c r="N97" s="128">
        <f>IFERROR(lifespans_all!O96*DTE_mission_minutes!O18,"-")</f>
        <v>2140.4341038095235</v>
      </c>
      <c r="O97" s="128">
        <f>IFERROR(lifespans_all!P96*DTE_mission_minutes!P18,"-")</f>
        <v>2140.4341038095235</v>
      </c>
      <c r="P97" s="128">
        <f>IFERROR(lifespans_all!Q96*DTE_mission_minutes!Q18,"-")</f>
        <v>2140.4341038095235</v>
      </c>
      <c r="Q97" s="128">
        <f>IFERROR(lifespans_all!R96*DTE_mission_minutes!R18,"-")</f>
        <v>2140.4341038095235</v>
      </c>
      <c r="R97" s="128">
        <f>IFERROR(lifespans_all!S96*DTE_mission_minutes!S18,"-")</f>
        <v>2140.4341038095235</v>
      </c>
      <c r="S97" s="128">
        <f>IFERROR(lifespans_all!T96*DTE_mission_minutes!T18,"-")</f>
        <v>2140.4341038095235</v>
      </c>
      <c r="T97" s="128">
        <f>IFERROR(lifespans_all!U96*DTE_mission_minutes!U18,"-")</f>
        <v>2140.4341038095235</v>
      </c>
      <c r="U97" s="128">
        <f>IFERROR(lifespans_all!V96*DTE_mission_minutes!V18,"-")</f>
        <v>2140.4341038095235</v>
      </c>
      <c r="V97" s="128">
        <f>IFERROR(lifespans_all!W96*DTE_mission_minutes!W18,"-")</f>
        <v>2140.4341038095235</v>
      </c>
    </row>
    <row r="98" spans="1:22" x14ac:dyDescent="0.25">
      <c r="A98" s="46" t="s">
        <v>36</v>
      </c>
      <c r="B98" s="47" t="s">
        <v>57</v>
      </c>
      <c r="C98" s="128">
        <f>IFERROR(lifespans_all!D97*DTE_mission_minutes!D19,"-")</f>
        <v>3121.1464916666664</v>
      </c>
      <c r="D98" s="128">
        <f>IFERROR(lifespans_all!E97*DTE_mission_minutes!E19,"-")</f>
        <v>3157.8943527777778</v>
      </c>
      <c r="E98" s="128">
        <f>IFERROR(lifespans_all!F97*DTE_mission_minutes!F19,"-")</f>
        <v>2937.5030555555554</v>
      </c>
      <c r="F98" s="128">
        <f>IFERROR(lifespans_all!G97*DTE_mission_minutes!G19,"-")</f>
        <v>3137.9728877777775</v>
      </c>
      <c r="G98" s="128">
        <f>IFERROR(lifespans_all!H97*DTE_mission_minutes!H19,"-")</f>
        <v>3137.9728877777775</v>
      </c>
      <c r="H98" s="128">
        <f>IFERROR(lifespans_all!I97*DTE_mission_minutes!I19,"-")</f>
        <v>3137.9728877777775</v>
      </c>
      <c r="I98" s="128">
        <f>IFERROR(lifespans_all!J97*DTE_mission_minutes!J19,"-")</f>
        <v>3137.9728877777775</v>
      </c>
      <c r="J98" s="128">
        <f>IFERROR(lifespans_all!K97*DTE_mission_minutes!K19,"-")</f>
        <v>3137.9728877777775</v>
      </c>
      <c r="K98" s="128">
        <f>IFERROR(lifespans_all!L97*DTE_mission_minutes!L19,"-")</f>
        <v>3137.9728877777775</v>
      </c>
      <c r="L98" s="128">
        <f>IFERROR(lifespans_all!M97*DTE_mission_minutes!M19,"-")</f>
        <v>3137.9728877777775</v>
      </c>
      <c r="M98" s="128">
        <f>IFERROR(lifespans_all!N97*DTE_mission_minutes!N19,"-")</f>
        <v>3137.9728877777775</v>
      </c>
      <c r="N98" s="128">
        <f>IFERROR(lifespans_all!O97*DTE_mission_minutes!O19,"-")</f>
        <v>3137.9728877777775</v>
      </c>
      <c r="O98" s="128">
        <f>IFERROR(lifespans_all!P97*DTE_mission_minutes!P19,"-")</f>
        <v>3137.9728877777775</v>
      </c>
      <c r="P98" s="128">
        <f>IFERROR(lifespans_all!Q97*DTE_mission_minutes!Q19,"-")</f>
        <v>3137.9728877777775</v>
      </c>
      <c r="Q98" s="128">
        <f>IFERROR(lifespans_all!R97*DTE_mission_minutes!R19,"-")</f>
        <v>3137.9728877777775</v>
      </c>
      <c r="R98" s="128">
        <f>IFERROR(lifespans_all!S97*DTE_mission_minutes!S19,"-")</f>
        <v>3137.9728877777775</v>
      </c>
      <c r="S98" s="128">
        <f>IFERROR(lifespans_all!T97*DTE_mission_minutes!T19,"-")</f>
        <v>3137.9728877777775</v>
      </c>
      <c r="T98" s="128">
        <f>IFERROR(lifespans_all!U97*DTE_mission_minutes!U19,"-")</f>
        <v>3137.9728877777775</v>
      </c>
      <c r="U98" s="128">
        <f>IFERROR(lifespans_all!V97*DTE_mission_minutes!V19,"-")</f>
        <v>3137.9728877777775</v>
      </c>
      <c r="V98" s="128">
        <f>IFERROR(lifespans_all!W97*DTE_mission_minutes!W19,"-")</f>
        <v>3137.9728877777775</v>
      </c>
    </row>
    <row r="99" spans="1:22" x14ac:dyDescent="0.25">
      <c r="A99" s="46" t="s">
        <v>37</v>
      </c>
      <c r="B99" s="47" t="s">
        <v>57</v>
      </c>
      <c r="C99" s="128">
        <f>IFERROR(lifespans_all!D98*DTE_mission_minutes!D20,"-")</f>
        <v>3653.0924999999997</v>
      </c>
      <c r="D99" s="128">
        <f>IFERROR(lifespans_all!E98*DTE_mission_minutes!E20,"-")</f>
        <v>3468.0533333333337</v>
      </c>
      <c r="E99" s="128">
        <f>IFERROR(lifespans_all!F98*DTE_mission_minutes!F20,"-")</f>
        <v>3224.0014777777778</v>
      </c>
      <c r="F99" s="128">
        <f>IFERROR(lifespans_all!G98*DTE_mission_minutes!G20,"-")</f>
        <v>3454.7784394444448</v>
      </c>
      <c r="G99" s="128">
        <f>IFERROR(lifespans_all!H98*DTE_mission_minutes!H20,"-")</f>
        <v>3454.7784394444448</v>
      </c>
      <c r="H99" s="128">
        <f>IFERROR(lifespans_all!I98*DTE_mission_minutes!I20,"-")</f>
        <v>0</v>
      </c>
      <c r="I99" s="128">
        <f>IFERROR(lifespans_all!J98*DTE_mission_minutes!J20,"-")</f>
        <v>0</v>
      </c>
      <c r="J99" s="128">
        <f>IFERROR(lifespans_all!K98*DTE_mission_minutes!K20,"-")</f>
        <v>0</v>
      </c>
      <c r="K99" s="128">
        <f>IFERROR(lifespans_all!L98*DTE_mission_minutes!L20,"-")</f>
        <v>0</v>
      </c>
      <c r="L99" s="128">
        <f>IFERROR(lifespans_all!M98*DTE_mission_minutes!M20,"-")</f>
        <v>0</v>
      </c>
      <c r="M99" s="128">
        <f>IFERROR(lifespans_all!N98*DTE_mission_minutes!N20,"-")</f>
        <v>0</v>
      </c>
      <c r="N99" s="128">
        <f>IFERROR(lifespans_all!O98*DTE_mission_minutes!O20,"-")</f>
        <v>0</v>
      </c>
      <c r="O99" s="128">
        <f>IFERROR(lifespans_all!P98*DTE_mission_minutes!P20,"-")</f>
        <v>0</v>
      </c>
      <c r="P99" s="128">
        <f>IFERROR(lifespans_all!Q98*DTE_mission_minutes!Q20,"-")</f>
        <v>0</v>
      </c>
      <c r="Q99" s="128">
        <f>IFERROR(lifespans_all!R98*DTE_mission_minutes!R20,"-")</f>
        <v>0</v>
      </c>
      <c r="R99" s="128">
        <f>IFERROR(lifespans_all!S98*DTE_mission_minutes!S20,"-")</f>
        <v>0</v>
      </c>
      <c r="S99" s="128">
        <f>IFERROR(lifespans_all!T98*DTE_mission_minutes!T20,"-")</f>
        <v>0</v>
      </c>
      <c r="T99" s="128">
        <f>IFERROR(lifespans_all!U98*DTE_mission_minutes!U20,"-")</f>
        <v>0</v>
      </c>
      <c r="U99" s="128">
        <f>IFERROR(lifespans_all!V98*DTE_mission_minutes!V20,"-")</f>
        <v>0</v>
      </c>
      <c r="V99" s="128">
        <f>IFERROR(lifespans_all!W98*DTE_mission_minutes!W20,"-")</f>
        <v>0</v>
      </c>
    </row>
    <row r="100" spans="1:22" x14ac:dyDescent="0.25">
      <c r="A100" s="46" t="s">
        <v>40</v>
      </c>
      <c r="B100" s="60" t="s">
        <v>58</v>
      </c>
      <c r="C100" s="128">
        <f>IFERROR(lifespans_all!D99*DTE_mission_minutes!D21,"-")</f>
        <v>0</v>
      </c>
      <c r="D100" s="128">
        <f>IFERROR(lifespans_all!E99*DTE_mission_minutes!E21,"-")</f>
        <v>0</v>
      </c>
      <c r="E100" s="128">
        <f>IFERROR(lifespans_all!F99*DTE_mission_minutes!F21,"-")</f>
        <v>0</v>
      </c>
      <c r="F100" s="128">
        <f>IFERROR(lifespans_all!G99*DTE_mission_minutes!G21,"-")</f>
        <v>0</v>
      </c>
      <c r="G100" s="128">
        <f>IFERROR(lifespans_all!H99*DTE_mission_minutes!H21,"-")</f>
        <v>0</v>
      </c>
      <c r="H100" s="128">
        <f>IFERROR(lifespans_all!I99*DTE_mission_minutes!I21,"-")</f>
        <v>0</v>
      </c>
      <c r="I100" s="128">
        <f>IFERROR(lifespans_all!J99*DTE_mission_minutes!J21,"-")</f>
        <v>0</v>
      </c>
      <c r="J100" s="128">
        <f>IFERROR(lifespans_all!K99*DTE_mission_minutes!K21,"-")</f>
        <v>0</v>
      </c>
      <c r="K100" s="128">
        <f>IFERROR(lifespans_all!L99*DTE_mission_minutes!L21,"-")</f>
        <v>0</v>
      </c>
      <c r="L100" s="128">
        <f>IFERROR(lifespans_all!M99*DTE_mission_minutes!M21,"-")</f>
        <v>0</v>
      </c>
      <c r="M100" s="128">
        <f>IFERROR(lifespans_all!N99*DTE_mission_minutes!N21,"-")</f>
        <v>0</v>
      </c>
      <c r="N100" s="128">
        <f>IFERROR(lifespans_all!O99*DTE_mission_minutes!O21,"-")</f>
        <v>0</v>
      </c>
      <c r="O100" s="128">
        <f>IFERROR(lifespans_all!P99*DTE_mission_minutes!P21,"-")</f>
        <v>0</v>
      </c>
      <c r="P100" s="128">
        <f>IFERROR(lifespans_all!Q99*DTE_mission_minutes!Q21,"-")</f>
        <v>0</v>
      </c>
      <c r="Q100" s="128">
        <f>IFERROR(lifespans_all!R99*DTE_mission_minutes!R21,"-")</f>
        <v>0</v>
      </c>
      <c r="R100" s="128">
        <f>IFERROR(lifespans_all!S99*DTE_mission_minutes!S21,"-")</f>
        <v>0</v>
      </c>
      <c r="S100" s="128">
        <f>IFERROR(lifespans_all!T99*DTE_mission_minutes!T21,"-")</f>
        <v>0</v>
      </c>
      <c r="T100" s="128">
        <f>IFERROR(lifespans_all!U99*DTE_mission_minutes!U21,"-")</f>
        <v>0</v>
      </c>
      <c r="U100" s="128">
        <f>IFERROR(lifespans_all!V99*DTE_mission_minutes!V21,"-")</f>
        <v>0</v>
      </c>
      <c r="V100" s="128">
        <f>IFERROR(lifespans_all!W99*DTE_mission_minutes!W21,"-")</f>
        <v>0</v>
      </c>
    </row>
    <row r="101" spans="1:22" x14ac:dyDescent="0.25">
      <c r="A101" s="46" t="s">
        <v>73</v>
      </c>
      <c r="B101" s="47" t="s">
        <v>57</v>
      </c>
      <c r="C101" s="128">
        <f>IFERROR(lifespans_all!D100*DTE_mission_minutes!D22,"-")</f>
        <v>133409.35004928565</v>
      </c>
      <c r="D101" s="128">
        <f>IFERROR(lifespans_all!E100*DTE_mission_minutes!E22,"-")</f>
        <v>133409.35004928565</v>
      </c>
      <c r="E101" s="128">
        <f>IFERROR(lifespans_all!F100*DTE_mission_minutes!F22,"-")</f>
        <v>133409.35004928565</v>
      </c>
      <c r="F101" s="128">
        <f>IFERROR(lifespans_all!G100*DTE_mission_minutes!G22,"-")</f>
        <v>133409.35004928565</v>
      </c>
      <c r="G101" s="128">
        <f>IFERROR(lifespans_all!H100*DTE_mission_minutes!H22,"-")</f>
        <v>133409.35004928565</v>
      </c>
      <c r="H101" s="128">
        <f>IFERROR(lifespans_all!I100*DTE_mission_minutes!I22,"-")</f>
        <v>0</v>
      </c>
      <c r="I101" s="128">
        <f>IFERROR(lifespans_all!J100*DTE_mission_minutes!J22,"-")</f>
        <v>0</v>
      </c>
      <c r="J101" s="128">
        <f>IFERROR(lifespans_all!K100*DTE_mission_minutes!K22,"-")</f>
        <v>0</v>
      </c>
      <c r="K101" s="128">
        <f>IFERROR(lifespans_all!L100*DTE_mission_minutes!L22,"-")</f>
        <v>0</v>
      </c>
      <c r="L101" s="128">
        <f>IFERROR(lifespans_all!M100*DTE_mission_minutes!M22,"-")</f>
        <v>0</v>
      </c>
      <c r="M101" s="128">
        <f>IFERROR(lifespans_all!N100*DTE_mission_minutes!N22,"-")</f>
        <v>0</v>
      </c>
      <c r="N101" s="128">
        <f>IFERROR(lifespans_all!O100*DTE_mission_minutes!O22,"-")</f>
        <v>0</v>
      </c>
      <c r="O101" s="128">
        <f>IFERROR(lifespans_all!P100*DTE_mission_minutes!P22,"-")</f>
        <v>0</v>
      </c>
      <c r="P101" s="128">
        <f>IFERROR(lifespans_all!Q100*DTE_mission_minutes!Q22,"-")</f>
        <v>0</v>
      </c>
      <c r="Q101" s="128">
        <f>IFERROR(lifespans_all!R100*DTE_mission_minutes!R22,"-")</f>
        <v>0</v>
      </c>
      <c r="R101" s="128">
        <f>IFERROR(lifespans_all!S100*DTE_mission_minutes!S22,"-")</f>
        <v>0</v>
      </c>
      <c r="S101" s="128">
        <f>IFERROR(lifespans_all!T100*DTE_mission_minutes!T22,"-")</f>
        <v>0</v>
      </c>
      <c r="T101" s="128">
        <f>IFERROR(lifespans_all!U100*DTE_mission_minutes!U22,"-")</f>
        <v>0</v>
      </c>
      <c r="U101" s="128">
        <f>IFERROR(lifespans_all!V100*DTE_mission_minutes!V22,"-")</f>
        <v>0</v>
      </c>
      <c r="V101" s="128">
        <f>IFERROR(lifespans_all!W100*DTE_mission_minutes!W22,"-")</f>
        <v>0</v>
      </c>
    </row>
    <row r="102" spans="1:22" x14ac:dyDescent="0.25">
      <c r="A102" s="46" t="s">
        <v>38</v>
      </c>
      <c r="B102" s="47" t="s">
        <v>57</v>
      </c>
      <c r="C102" s="128">
        <f>IFERROR(lifespans_all!D101*DTE_mission_minutes!D23,"-")</f>
        <v>21.986611111111113</v>
      </c>
      <c r="D102" s="128">
        <f>IFERROR(lifespans_all!E101*DTE_mission_minutes!E23,"-")</f>
        <v>1.1333333333333333</v>
      </c>
      <c r="E102" s="128">
        <f>IFERROR(lifespans_all!F101*DTE_mission_minutes!F23,"-")</f>
        <v>3.7333333333333334</v>
      </c>
      <c r="F102" s="128">
        <f>IFERROR(lifespans_all!G101*DTE_mission_minutes!G23,"-")</f>
        <v>23.303841111111115</v>
      </c>
      <c r="G102" s="128">
        <f>IFERROR(lifespans_all!H101*DTE_mission_minutes!H23,"-")</f>
        <v>0</v>
      </c>
      <c r="H102" s="128">
        <f>IFERROR(lifespans_all!I101*DTE_mission_minutes!I23,"-")</f>
        <v>0</v>
      </c>
      <c r="I102" s="128">
        <f>IFERROR(lifespans_all!J101*DTE_mission_minutes!J23,"-")</f>
        <v>0</v>
      </c>
      <c r="J102" s="128">
        <f>IFERROR(lifespans_all!K101*DTE_mission_minutes!K23,"-")</f>
        <v>0</v>
      </c>
      <c r="K102" s="128">
        <f>IFERROR(lifespans_all!L101*DTE_mission_minutes!L23,"-")</f>
        <v>0</v>
      </c>
      <c r="L102" s="128">
        <f>IFERROR(lifespans_all!M101*DTE_mission_minutes!M23,"-")</f>
        <v>0</v>
      </c>
      <c r="M102" s="128">
        <f>IFERROR(lifespans_all!N101*DTE_mission_minutes!N23,"-")</f>
        <v>0</v>
      </c>
      <c r="N102" s="128">
        <f>IFERROR(lifespans_all!O101*DTE_mission_minutes!O23,"-")</f>
        <v>0</v>
      </c>
      <c r="O102" s="128">
        <f>IFERROR(lifespans_all!P101*DTE_mission_minutes!P23,"-")</f>
        <v>0</v>
      </c>
      <c r="P102" s="128">
        <f>IFERROR(lifespans_all!Q101*DTE_mission_minutes!Q23,"-")</f>
        <v>0</v>
      </c>
      <c r="Q102" s="128">
        <f>IFERROR(lifespans_all!R101*DTE_mission_minutes!R23,"-")</f>
        <v>0</v>
      </c>
      <c r="R102" s="128">
        <f>IFERROR(lifespans_all!S101*DTE_mission_minutes!S23,"-")</f>
        <v>0</v>
      </c>
      <c r="S102" s="128">
        <f>IFERROR(lifespans_all!T101*DTE_mission_minutes!T23,"-")</f>
        <v>0</v>
      </c>
      <c r="T102" s="128">
        <f>IFERROR(lifespans_all!U101*DTE_mission_minutes!U23,"-")</f>
        <v>0</v>
      </c>
      <c r="U102" s="128">
        <f>IFERROR(lifespans_all!V101*DTE_mission_minutes!V23,"-")</f>
        <v>0</v>
      </c>
      <c r="V102" s="128">
        <f>IFERROR(lifespans_all!W101*DTE_mission_minutes!W23,"-")</f>
        <v>0</v>
      </c>
    </row>
    <row r="103" spans="1:22" x14ac:dyDescent="0.25">
      <c r="A103" s="122" t="s">
        <v>39</v>
      </c>
      <c r="B103" s="123" t="s">
        <v>59</v>
      </c>
      <c r="C103" s="128">
        <f>IFERROR(lifespans_all!D102*DTE_mission_minutes!D24,"-")</f>
        <v>7757.52</v>
      </c>
      <c r="D103" s="128">
        <f>IFERROR(lifespans_all!E102*DTE_mission_minutes!E24,"-")</f>
        <v>7884.0724999999993</v>
      </c>
      <c r="E103" s="128">
        <f>IFERROR(lifespans_all!F102*DTE_mission_minutes!F24,"-")</f>
        <v>7411.0455555555554</v>
      </c>
      <c r="F103" s="128">
        <f>IFERROR(lifespans_all!G102*DTE_mission_minutes!G24,"-")</f>
        <v>7749.4853583333334</v>
      </c>
      <c r="G103" s="128">
        <f>IFERROR(lifespans_all!H102*DTE_mission_minutes!H24,"-")</f>
        <v>7749.4853583333334</v>
      </c>
      <c r="H103" s="128">
        <f>IFERROR(lifespans_all!I102*DTE_mission_minutes!I24,"-")</f>
        <v>7749.4853583333334</v>
      </c>
      <c r="I103" s="128">
        <f>IFERROR(lifespans_all!J102*DTE_mission_minutes!J24,"-")</f>
        <v>7749.4853583333334</v>
      </c>
      <c r="J103" s="128">
        <f>IFERROR(lifespans_all!K102*DTE_mission_minutes!K24,"-")</f>
        <v>7749.4853583333334</v>
      </c>
      <c r="K103" s="128">
        <f>IFERROR(lifespans_all!L102*DTE_mission_minutes!L24,"-")</f>
        <v>7749.4853583333334</v>
      </c>
      <c r="L103" s="128">
        <f>IFERROR(lifespans_all!M102*DTE_mission_minutes!M24,"-")</f>
        <v>7749.4853583333334</v>
      </c>
      <c r="M103" s="128">
        <f>IFERROR(lifespans_all!N102*DTE_mission_minutes!N24,"-")</f>
        <v>0</v>
      </c>
      <c r="N103" s="128">
        <f>IFERROR(lifespans_all!O102*DTE_mission_minutes!O24,"-")</f>
        <v>0</v>
      </c>
      <c r="O103" s="128">
        <f>IFERROR(lifespans_all!P102*DTE_mission_minutes!P24,"-")</f>
        <v>0</v>
      </c>
      <c r="P103" s="128">
        <f>IFERROR(lifespans_all!Q102*DTE_mission_minutes!Q24,"-")</f>
        <v>0</v>
      </c>
      <c r="Q103" s="128">
        <f>IFERROR(lifespans_all!R102*DTE_mission_minutes!R24,"-")</f>
        <v>0</v>
      </c>
      <c r="R103" s="128">
        <f>IFERROR(lifespans_all!S102*DTE_mission_minutes!S24,"-")</f>
        <v>0</v>
      </c>
      <c r="S103" s="128">
        <f>IFERROR(lifespans_all!T102*DTE_mission_minutes!T24,"-")</f>
        <v>0</v>
      </c>
      <c r="T103" s="128">
        <f>IFERROR(lifespans_all!U102*DTE_mission_minutes!U24,"-")</f>
        <v>0</v>
      </c>
      <c r="U103" s="128">
        <f>IFERROR(lifespans_all!V102*DTE_mission_minutes!V24,"-")</f>
        <v>0</v>
      </c>
      <c r="V103" s="128">
        <f>IFERROR(lifespans_all!W102*DTE_mission_minutes!W24,"-")</f>
        <v>0</v>
      </c>
    </row>
    <row r="104" spans="1:22" x14ac:dyDescent="0.25">
      <c r="A104" s="46" t="s">
        <v>41</v>
      </c>
      <c r="B104" s="47" t="s">
        <v>60</v>
      </c>
      <c r="C104" s="128">
        <f>IFERROR(lifespans_all!D103*DTE_mission_minutes!D25,"-")</f>
        <v>0</v>
      </c>
      <c r="D104" s="128">
        <f>IFERROR(lifespans_all!E103*DTE_mission_minutes!E25,"-")</f>
        <v>0</v>
      </c>
      <c r="E104" s="128">
        <f>IFERROR(lifespans_all!F103*DTE_mission_minutes!F25,"-")</f>
        <v>0</v>
      </c>
      <c r="F104" s="128">
        <f>IFERROR(lifespans_all!G103*DTE_mission_minutes!G25,"-")</f>
        <v>0</v>
      </c>
      <c r="G104" s="128">
        <f>IFERROR(lifespans_all!H103*DTE_mission_minutes!H25,"-")</f>
        <v>0</v>
      </c>
      <c r="H104" s="128">
        <f>IFERROR(lifespans_all!I103*DTE_mission_minutes!I25,"-")</f>
        <v>0</v>
      </c>
      <c r="I104" s="128">
        <f>IFERROR(lifespans_all!J103*DTE_mission_minutes!J25,"-")</f>
        <v>0</v>
      </c>
      <c r="J104" s="128">
        <f>IFERROR(lifespans_all!K103*DTE_mission_minutes!K25,"-")</f>
        <v>0</v>
      </c>
      <c r="K104" s="128">
        <f>IFERROR(lifespans_all!L103*DTE_mission_minutes!L25,"-")</f>
        <v>0</v>
      </c>
      <c r="L104" s="128">
        <f>IFERROR(lifespans_all!M103*DTE_mission_minutes!M25,"-")</f>
        <v>0</v>
      </c>
      <c r="M104" s="128">
        <f>IFERROR(lifespans_all!N103*DTE_mission_minutes!N25,"-")</f>
        <v>0</v>
      </c>
      <c r="N104" s="128">
        <f>IFERROR(lifespans_all!O103*DTE_mission_minutes!O25,"-")</f>
        <v>0</v>
      </c>
      <c r="O104" s="128">
        <f>IFERROR(lifespans_all!P103*DTE_mission_minutes!P25,"-")</f>
        <v>0</v>
      </c>
      <c r="P104" s="128">
        <f>IFERROR(lifespans_all!Q103*DTE_mission_minutes!Q25,"-")</f>
        <v>0</v>
      </c>
      <c r="Q104" s="128">
        <f>IFERROR(lifespans_all!R103*DTE_mission_minutes!R25,"-")</f>
        <v>0</v>
      </c>
      <c r="R104" s="128">
        <f>IFERROR(lifespans_all!S103*DTE_mission_minutes!S25,"-")</f>
        <v>0</v>
      </c>
      <c r="S104" s="128">
        <f>IFERROR(lifespans_all!T103*DTE_mission_minutes!T25,"-")</f>
        <v>0</v>
      </c>
      <c r="T104" s="128">
        <f>IFERROR(lifespans_all!U103*DTE_mission_minutes!U25,"-")</f>
        <v>0</v>
      </c>
      <c r="U104" s="128">
        <f>IFERROR(lifespans_all!V103*DTE_mission_minutes!V25,"-")</f>
        <v>0</v>
      </c>
      <c r="V104" s="128">
        <f>IFERROR(lifespans_all!W103*DTE_mission_minutes!W25,"-")</f>
        <v>0</v>
      </c>
    </row>
    <row r="105" spans="1:22" x14ac:dyDescent="0.25">
      <c r="A105" s="46" t="s">
        <v>74</v>
      </c>
      <c r="B105" s="47" t="s">
        <v>57</v>
      </c>
      <c r="C105" s="128">
        <f>IFERROR(lifespans_all!D104*DTE_mission_minutes!D26,"-")</f>
        <v>133409.35004928565</v>
      </c>
      <c r="D105" s="128">
        <f>IFERROR(lifespans_all!E104*DTE_mission_minutes!E26,"-")</f>
        <v>0</v>
      </c>
      <c r="E105" s="128">
        <f>IFERROR(lifespans_all!F104*DTE_mission_minutes!F26,"-")</f>
        <v>0</v>
      </c>
      <c r="F105" s="128">
        <f>IFERROR(lifespans_all!G104*DTE_mission_minutes!G26,"-")</f>
        <v>0</v>
      </c>
      <c r="G105" s="128">
        <f>IFERROR(lifespans_all!H104*DTE_mission_minutes!H26,"-")</f>
        <v>0</v>
      </c>
      <c r="H105" s="128">
        <f>IFERROR(lifespans_all!I104*DTE_mission_minutes!I26,"-")</f>
        <v>0</v>
      </c>
      <c r="I105" s="128">
        <f>IFERROR(lifespans_all!J104*DTE_mission_minutes!J26,"-")</f>
        <v>0</v>
      </c>
      <c r="J105" s="128">
        <f>IFERROR(lifespans_all!K104*DTE_mission_minutes!K26,"-")</f>
        <v>0</v>
      </c>
      <c r="K105" s="128">
        <f>IFERROR(lifespans_all!L104*DTE_mission_minutes!L26,"-")</f>
        <v>0</v>
      </c>
      <c r="L105" s="128">
        <f>IFERROR(lifespans_all!M104*DTE_mission_minutes!M26,"-")</f>
        <v>0</v>
      </c>
      <c r="M105" s="128">
        <f>IFERROR(lifespans_all!N104*DTE_mission_minutes!N26,"-")</f>
        <v>0</v>
      </c>
      <c r="N105" s="128">
        <f>IFERROR(lifespans_all!O104*DTE_mission_minutes!O26,"-")</f>
        <v>0</v>
      </c>
      <c r="O105" s="128">
        <f>IFERROR(lifespans_all!P104*DTE_mission_minutes!P26,"-")</f>
        <v>0</v>
      </c>
      <c r="P105" s="128">
        <f>IFERROR(lifespans_all!Q104*DTE_mission_minutes!Q26,"-")</f>
        <v>0</v>
      </c>
      <c r="Q105" s="128">
        <f>IFERROR(lifespans_all!R104*DTE_mission_minutes!R26,"-")</f>
        <v>0</v>
      </c>
      <c r="R105" s="128">
        <f>IFERROR(lifespans_all!S104*DTE_mission_minutes!S26,"-")</f>
        <v>0</v>
      </c>
      <c r="S105" s="128">
        <f>IFERROR(lifespans_all!T104*DTE_mission_minutes!T26,"-")</f>
        <v>0</v>
      </c>
      <c r="T105" s="128">
        <f>IFERROR(lifespans_all!U104*DTE_mission_minutes!U26,"-")</f>
        <v>0</v>
      </c>
      <c r="U105" s="128">
        <f>IFERROR(lifespans_all!V104*DTE_mission_minutes!V26,"-")</f>
        <v>0</v>
      </c>
      <c r="V105" s="128">
        <f>IFERROR(lifespans_all!W104*DTE_mission_minutes!W26,"-")</f>
        <v>0</v>
      </c>
    </row>
    <row r="106" spans="1:22" x14ac:dyDescent="0.25">
      <c r="A106" s="46" t="s">
        <v>75</v>
      </c>
      <c r="B106" s="47" t="s">
        <v>57</v>
      </c>
      <c r="C106" s="128">
        <f>IFERROR(lifespans_all!D105*DTE_mission_minutes!D27,"-")</f>
        <v>133409.35004928565</v>
      </c>
      <c r="D106" s="128">
        <f>IFERROR(lifespans_all!E105*DTE_mission_minutes!E27,"-")</f>
        <v>133409.35004928565</v>
      </c>
      <c r="E106" s="128">
        <f>IFERROR(lifespans_all!F105*DTE_mission_minutes!F27,"-")</f>
        <v>133409.35004928565</v>
      </c>
      <c r="F106" s="128">
        <f>IFERROR(lifespans_all!G105*DTE_mission_minutes!G27,"-")</f>
        <v>0</v>
      </c>
      <c r="G106" s="128">
        <f>IFERROR(lifespans_all!H105*DTE_mission_minutes!H27,"-")</f>
        <v>0</v>
      </c>
      <c r="H106" s="128">
        <f>IFERROR(lifespans_all!I105*DTE_mission_minutes!I27,"-")</f>
        <v>0</v>
      </c>
      <c r="I106" s="128">
        <f>IFERROR(lifespans_all!J105*DTE_mission_minutes!J27,"-")</f>
        <v>0</v>
      </c>
      <c r="J106" s="128">
        <f>IFERROR(lifespans_all!K105*DTE_mission_minutes!K27,"-")</f>
        <v>0</v>
      </c>
      <c r="K106" s="128">
        <f>IFERROR(lifespans_all!L105*DTE_mission_minutes!L27,"-")</f>
        <v>0</v>
      </c>
      <c r="L106" s="128">
        <f>IFERROR(lifespans_all!M105*DTE_mission_minutes!M27,"-")</f>
        <v>0</v>
      </c>
      <c r="M106" s="128">
        <f>IFERROR(lifespans_all!N105*DTE_mission_minutes!N27,"-")</f>
        <v>0</v>
      </c>
      <c r="N106" s="128">
        <f>IFERROR(lifespans_all!O105*DTE_mission_minutes!O27,"-")</f>
        <v>0</v>
      </c>
      <c r="O106" s="128">
        <f>IFERROR(lifespans_all!P105*DTE_mission_minutes!P27,"-")</f>
        <v>0</v>
      </c>
      <c r="P106" s="128">
        <f>IFERROR(lifespans_all!Q105*DTE_mission_minutes!Q27,"-")</f>
        <v>0</v>
      </c>
      <c r="Q106" s="128">
        <f>IFERROR(lifespans_all!R105*DTE_mission_minutes!R27,"-")</f>
        <v>0</v>
      </c>
      <c r="R106" s="128">
        <f>IFERROR(lifespans_all!S105*DTE_mission_minutes!S27,"-")</f>
        <v>0</v>
      </c>
      <c r="S106" s="128">
        <f>IFERROR(lifespans_all!T105*DTE_mission_minutes!T27,"-")</f>
        <v>0</v>
      </c>
      <c r="T106" s="128">
        <f>IFERROR(lifespans_all!U105*DTE_mission_minutes!U27,"-")</f>
        <v>0</v>
      </c>
      <c r="U106" s="128">
        <f>IFERROR(lifespans_all!V105*DTE_mission_minutes!V27,"-")</f>
        <v>0</v>
      </c>
      <c r="V106" s="128">
        <f>IFERROR(lifespans_all!W105*DTE_mission_minutes!W27,"-")</f>
        <v>0</v>
      </c>
    </row>
    <row r="107" spans="1:22" x14ac:dyDescent="0.25">
      <c r="A107" s="46" t="s">
        <v>76</v>
      </c>
      <c r="B107" s="47" t="s">
        <v>57</v>
      </c>
      <c r="C107" s="128">
        <f>IFERROR(lifespans_all!D106*DTE_mission_minutes!D28,"-")</f>
        <v>133409.35004928565</v>
      </c>
      <c r="D107" s="128">
        <f>IFERROR(lifespans_all!E106*DTE_mission_minutes!E28,"-")</f>
        <v>133409.35004928565</v>
      </c>
      <c r="E107" s="128">
        <f>IFERROR(lifespans_all!F106*DTE_mission_minutes!F28,"-")</f>
        <v>133409.35004928565</v>
      </c>
      <c r="F107" s="128">
        <f>IFERROR(lifespans_all!G106*DTE_mission_minutes!G28,"-")</f>
        <v>133409.35004928565</v>
      </c>
      <c r="G107" s="128">
        <f>IFERROR(lifespans_all!H106*DTE_mission_minutes!H28,"-")</f>
        <v>133409.35004928565</v>
      </c>
      <c r="H107" s="128">
        <f>IFERROR(lifespans_all!I106*DTE_mission_minutes!I28,"-")</f>
        <v>133409.35004928565</v>
      </c>
      <c r="I107" s="128">
        <f>IFERROR(lifespans_all!J106*DTE_mission_minutes!J28,"-")</f>
        <v>0</v>
      </c>
      <c r="J107" s="128">
        <f>IFERROR(lifespans_all!K106*DTE_mission_minutes!K28,"-")</f>
        <v>0</v>
      </c>
      <c r="K107" s="128">
        <f>IFERROR(lifespans_all!L106*DTE_mission_minutes!L28,"-")</f>
        <v>0</v>
      </c>
      <c r="L107" s="128">
        <f>IFERROR(lifespans_all!M106*DTE_mission_minutes!M28,"-")</f>
        <v>0</v>
      </c>
      <c r="M107" s="128">
        <f>IFERROR(lifespans_all!N106*DTE_mission_minutes!N28,"-")</f>
        <v>0</v>
      </c>
      <c r="N107" s="128">
        <f>IFERROR(lifespans_all!O106*DTE_mission_minutes!O28,"-")</f>
        <v>0</v>
      </c>
      <c r="O107" s="128">
        <f>IFERROR(lifespans_all!P106*DTE_mission_minutes!P28,"-")</f>
        <v>0</v>
      </c>
      <c r="P107" s="128">
        <f>IFERROR(lifespans_all!Q106*DTE_mission_minutes!Q28,"-")</f>
        <v>0</v>
      </c>
      <c r="Q107" s="128">
        <f>IFERROR(lifespans_all!R106*DTE_mission_minutes!R28,"-")</f>
        <v>0</v>
      </c>
      <c r="R107" s="128">
        <f>IFERROR(lifespans_all!S106*DTE_mission_minutes!S28,"-")</f>
        <v>0</v>
      </c>
      <c r="S107" s="128">
        <f>IFERROR(lifespans_all!T106*DTE_mission_minutes!T28,"-")</f>
        <v>0</v>
      </c>
      <c r="T107" s="128">
        <f>IFERROR(lifespans_all!U106*DTE_mission_minutes!U28,"-")</f>
        <v>0</v>
      </c>
      <c r="U107" s="128">
        <f>IFERROR(lifespans_all!V106*DTE_mission_minutes!V28,"-")</f>
        <v>0</v>
      </c>
      <c r="V107" s="128">
        <f>IFERROR(lifespans_all!W106*DTE_mission_minutes!W28,"-")</f>
        <v>0</v>
      </c>
    </row>
    <row r="108" spans="1:22" x14ac:dyDescent="0.25">
      <c r="A108" s="46" t="s">
        <v>42</v>
      </c>
      <c r="B108" s="54" t="s">
        <v>61</v>
      </c>
      <c r="C108" s="128">
        <f>IFERROR(lifespans_all!D107*DTE_mission_minutes!D29,"-")</f>
        <v>89453.837836666688</v>
      </c>
      <c r="D108" s="128">
        <f>IFERROR(lifespans_all!E107*DTE_mission_minutes!E29,"-")</f>
        <v>89453.837836666688</v>
      </c>
      <c r="E108" s="128">
        <f>IFERROR(lifespans_all!F107*DTE_mission_minutes!F29,"-")</f>
        <v>89453.837836666688</v>
      </c>
      <c r="F108" s="128">
        <f>IFERROR(lifespans_all!G107*DTE_mission_minutes!G29,"-")</f>
        <v>89453.837836666688</v>
      </c>
      <c r="G108" s="128">
        <f>IFERROR(lifespans_all!H107*DTE_mission_minutes!H29,"-")</f>
        <v>89453.837836666688</v>
      </c>
      <c r="H108" s="128">
        <f>IFERROR(lifespans_all!I107*DTE_mission_minutes!I29,"-")</f>
        <v>89453.837836666688</v>
      </c>
      <c r="I108" s="128">
        <f>IFERROR(lifespans_all!J107*DTE_mission_minutes!J29,"-")</f>
        <v>89453.837836666688</v>
      </c>
      <c r="J108" s="128">
        <f>IFERROR(lifespans_all!K107*DTE_mission_minutes!K29,"-")</f>
        <v>89453.837836666688</v>
      </c>
      <c r="K108" s="128">
        <f>IFERROR(lifespans_all!L107*DTE_mission_minutes!L29,"-")</f>
        <v>89453.837836666688</v>
      </c>
      <c r="L108" s="128">
        <f>IFERROR(lifespans_all!M107*DTE_mission_minutes!M29,"-")</f>
        <v>89453.837836666688</v>
      </c>
      <c r="M108" s="128">
        <f>IFERROR(lifespans_all!N107*DTE_mission_minutes!N29,"-")</f>
        <v>89453.837836666688</v>
      </c>
      <c r="N108" s="128">
        <f>IFERROR(lifespans_all!O107*DTE_mission_minutes!O29,"-")</f>
        <v>89453.837836666688</v>
      </c>
      <c r="O108" s="128">
        <f>IFERROR(lifespans_all!P107*DTE_mission_minutes!P29,"-")</f>
        <v>89453.837836666688</v>
      </c>
      <c r="P108" s="128">
        <f>IFERROR(lifespans_all!Q107*DTE_mission_minutes!Q29,"-")</f>
        <v>89453.837836666688</v>
      </c>
      <c r="Q108" s="128">
        <f>IFERROR(lifespans_all!R107*DTE_mission_minutes!R29,"-")</f>
        <v>89453.837836666688</v>
      </c>
      <c r="R108" s="128">
        <f>IFERROR(lifespans_all!S107*DTE_mission_minutes!S29,"-")</f>
        <v>89453.837836666688</v>
      </c>
      <c r="S108" s="128">
        <f>IFERROR(lifespans_all!T107*DTE_mission_minutes!T29,"-")</f>
        <v>89453.837836666688</v>
      </c>
      <c r="T108" s="128">
        <f>IFERROR(lifespans_all!U107*DTE_mission_minutes!U29,"-")</f>
        <v>89453.837836666688</v>
      </c>
      <c r="U108" s="128">
        <f>IFERROR(lifespans_all!V107*DTE_mission_minutes!V29,"-")</f>
        <v>89453.837836666688</v>
      </c>
      <c r="V108" s="128">
        <f>IFERROR(lifespans_all!W107*DTE_mission_minutes!W29,"-")</f>
        <v>89453.837836666688</v>
      </c>
    </row>
    <row r="109" spans="1:22" x14ac:dyDescent="0.25">
      <c r="A109" s="46" t="s">
        <v>77</v>
      </c>
      <c r="B109" s="54" t="s">
        <v>58</v>
      </c>
      <c r="C109" s="128">
        <f>IFERROR(lifespans_all!D108*DTE_mission_minutes!D30,"-")</f>
        <v>721.11352444444435</v>
      </c>
      <c r="D109" s="128">
        <f>IFERROR(lifespans_all!E108*DTE_mission_minutes!E30,"-")</f>
        <v>721.11352444444435</v>
      </c>
      <c r="E109" s="128">
        <f>IFERROR(lifespans_all!F108*DTE_mission_minutes!F30,"-")</f>
        <v>721.11352444444435</v>
      </c>
      <c r="F109" s="128">
        <f>IFERROR(lifespans_all!G108*DTE_mission_minutes!G30,"-")</f>
        <v>721.11352444444435</v>
      </c>
      <c r="G109" s="128">
        <f>IFERROR(lifespans_all!H108*DTE_mission_minutes!H30,"-")</f>
        <v>721.11352444444435</v>
      </c>
      <c r="H109" s="128">
        <f>IFERROR(lifespans_all!I108*DTE_mission_minutes!I30,"-")</f>
        <v>721.11352444444435</v>
      </c>
      <c r="I109" s="128">
        <f>IFERROR(lifespans_all!J108*DTE_mission_minutes!J30,"-")</f>
        <v>721.11352444444435</v>
      </c>
      <c r="J109" s="128">
        <f>IFERROR(lifespans_all!K108*DTE_mission_minutes!K30,"-")</f>
        <v>721.11352444444435</v>
      </c>
      <c r="K109" s="128">
        <f>IFERROR(lifespans_all!L108*DTE_mission_minutes!L30,"-")</f>
        <v>721.11352444444435</v>
      </c>
      <c r="L109" s="128">
        <f>IFERROR(lifespans_all!M108*DTE_mission_minutes!M30,"-")</f>
        <v>721.11352444444435</v>
      </c>
      <c r="M109" s="128">
        <f>IFERROR(lifespans_all!N108*DTE_mission_minutes!N30,"-")</f>
        <v>721.11352444444435</v>
      </c>
      <c r="N109" s="128">
        <f>IFERROR(lifespans_all!O108*DTE_mission_minutes!O30,"-")</f>
        <v>721.11352444444435</v>
      </c>
      <c r="O109" s="128">
        <f>IFERROR(lifespans_all!P108*DTE_mission_minutes!P30,"-")</f>
        <v>721.11352444444435</v>
      </c>
      <c r="P109" s="128">
        <f>IFERROR(lifespans_all!Q108*DTE_mission_minutes!Q30,"-")</f>
        <v>721.11352444444435</v>
      </c>
      <c r="Q109" s="128">
        <f>IFERROR(lifespans_all!R108*DTE_mission_minutes!R30,"-")</f>
        <v>721.11352444444435</v>
      </c>
      <c r="R109" s="128">
        <f>IFERROR(lifespans_all!S108*DTE_mission_minutes!S30,"-")</f>
        <v>721.11352444444435</v>
      </c>
      <c r="S109" s="128">
        <f>IFERROR(lifespans_all!T108*DTE_mission_minutes!T30,"-")</f>
        <v>721.11352444444435</v>
      </c>
      <c r="T109" s="128">
        <f>IFERROR(lifespans_all!U108*DTE_mission_minutes!U30,"-")</f>
        <v>721.11352444444435</v>
      </c>
      <c r="U109" s="128">
        <f>IFERROR(lifespans_all!V108*DTE_mission_minutes!V30,"-")</f>
        <v>721.11352444444435</v>
      </c>
      <c r="V109" s="128">
        <f>IFERROR(lifespans_all!W108*DTE_mission_minutes!W30,"-")</f>
        <v>721.11352444444435</v>
      </c>
    </row>
    <row r="110" spans="1:22" x14ac:dyDescent="0.25">
      <c r="A110" s="46" t="s">
        <v>87</v>
      </c>
      <c r="B110" s="47" t="s">
        <v>56</v>
      </c>
      <c r="C110" s="128">
        <f>IFERROR(lifespans_all!D109*DTE_mission_minutes!D31,"-")</f>
        <v>221.29177222222222</v>
      </c>
      <c r="D110" s="128">
        <f>IFERROR(lifespans_all!E109*DTE_mission_minutes!E31,"-")</f>
        <v>244.03194444444446</v>
      </c>
      <c r="E110" s="128">
        <f>IFERROR(lifespans_all!F109*DTE_mission_minutes!F31,"-")</f>
        <v>0</v>
      </c>
      <c r="F110" s="128">
        <f>IFERROR(lifespans_all!G109*DTE_mission_minutes!G31,"-")</f>
        <v>0</v>
      </c>
      <c r="G110" s="128">
        <f>IFERROR(lifespans_all!H109*DTE_mission_minutes!H31,"-")</f>
        <v>0</v>
      </c>
      <c r="H110" s="128">
        <f>IFERROR(lifespans_all!I109*DTE_mission_minutes!I31,"-")</f>
        <v>0</v>
      </c>
      <c r="I110" s="128">
        <f>IFERROR(lifespans_all!J109*DTE_mission_minutes!J31,"-")</f>
        <v>0</v>
      </c>
      <c r="J110" s="128">
        <f>IFERROR(lifespans_all!K109*DTE_mission_minutes!K31,"-")</f>
        <v>0</v>
      </c>
      <c r="K110" s="128">
        <f>IFERROR(lifespans_all!L109*DTE_mission_minutes!L31,"-")</f>
        <v>0</v>
      </c>
      <c r="L110" s="128">
        <f>IFERROR(lifespans_all!M109*DTE_mission_minutes!M31,"-")</f>
        <v>0</v>
      </c>
      <c r="M110" s="128">
        <f>IFERROR(lifespans_all!N109*DTE_mission_minutes!N31,"-")</f>
        <v>0</v>
      </c>
      <c r="N110" s="128">
        <f>IFERROR(lifespans_all!O109*DTE_mission_minutes!O31,"-")</f>
        <v>0</v>
      </c>
      <c r="O110" s="128">
        <f>IFERROR(lifespans_all!P109*DTE_mission_minutes!P31,"-")</f>
        <v>0</v>
      </c>
      <c r="P110" s="128">
        <f>IFERROR(lifespans_all!Q109*DTE_mission_minutes!Q31,"-")</f>
        <v>0</v>
      </c>
      <c r="Q110" s="128">
        <f>IFERROR(lifespans_all!R109*DTE_mission_minutes!R31,"-")</f>
        <v>0</v>
      </c>
      <c r="R110" s="128">
        <f>IFERROR(lifespans_all!S109*DTE_mission_minutes!S31,"-")</f>
        <v>0</v>
      </c>
      <c r="S110" s="128">
        <f>IFERROR(lifespans_all!T109*DTE_mission_minutes!T31,"-")</f>
        <v>0</v>
      </c>
      <c r="T110" s="128">
        <f>IFERROR(lifespans_all!U109*DTE_mission_minutes!U31,"-")</f>
        <v>0</v>
      </c>
      <c r="U110" s="128">
        <f>IFERROR(lifespans_all!V109*DTE_mission_minutes!V31,"-")</f>
        <v>0</v>
      </c>
      <c r="V110" s="128">
        <f>IFERROR(lifespans_all!W109*DTE_mission_minutes!W31,"-")</f>
        <v>0</v>
      </c>
    </row>
    <row r="111" spans="1:22" x14ac:dyDescent="0.25">
      <c r="A111" s="46" t="s">
        <v>43</v>
      </c>
      <c r="B111" s="54" t="s">
        <v>61</v>
      </c>
      <c r="C111" s="128">
        <f>IFERROR(lifespans_all!D110*DTE_mission_minutes!D32,"-")</f>
        <v>64.996111111111119</v>
      </c>
      <c r="D111" s="128">
        <f>IFERROR(lifespans_all!E110*DTE_mission_minutes!E32,"-")</f>
        <v>0</v>
      </c>
      <c r="E111" s="128">
        <f>IFERROR(lifespans_all!F110*DTE_mission_minutes!F32,"-")</f>
        <v>0</v>
      </c>
      <c r="F111" s="128">
        <f>IFERROR(lifespans_all!G110*DTE_mission_minutes!G32,"-")</f>
        <v>0</v>
      </c>
      <c r="G111" s="128">
        <f>IFERROR(lifespans_all!H110*DTE_mission_minutes!H32,"-")</f>
        <v>0</v>
      </c>
      <c r="H111" s="128">
        <f>IFERROR(lifespans_all!I110*DTE_mission_minutes!I32,"-")</f>
        <v>0</v>
      </c>
      <c r="I111" s="128">
        <f>IFERROR(lifespans_all!J110*DTE_mission_minutes!J32,"-")</f>
        <v>0</v>
      </c>
      <c r="J111" s="128">
        <f>IFERROR(lifespans_all!K110*DTE_mission_minutes!K32,"-")</f>
        <v>0</v>
      </c>
      <c r="K111" s="128">
        <f>IFERROR(lifespans_all!L110*DTE_mission_minutes!L32,"-")</f>
        <v>0</v>
      </c>
      <c r="L111" s="128">
        <f>IFERROR(lifespans_all!M110*DTE_mission_minutes!M32,"-")</f>
        <v>0</v>
      </c>
      <c r="M111" s="128">
        <f>IFERROR(lifespans_all!N110*DTE_mission_minutes!N32,"-")</f>
        <v>0</v>
      </c>
      <c r="N111" s="128">
        <f>IFERROR(lifespans_all!O110*DTE_mission_minutes!O32,"-")</f>
        <v>0</v>
      </c>
      <c r="O111" s="128">
        <f>IFERROR(lifespans_all!P110*DTE_mission_minutes!P32,"-")</f>
        <v>0</v>
      </c>
      <c r="P111" s="128">
        <f>IFERROR(lifespans_all!Q110*DTE_mission_minutes!Q32,"-")</f>
        <v>0</v>
      </c>
      <c r="Q111" s="128">
        <f>IFERROR(lifespans_all!R110*DTE_mission_minutes!R32,"-")</f>
        <v>0</v>
      </c>
      <c r="R111" s="128">
        <f>IFERROR(lifespans_all!S110*DTE_mission_minutes!S32,"-")</f>
        <v>0</v>
      </c>
      <c r="S111" s="128">
        <f>IFERROR(lifespans_all!T110*DTE_mission_minutes!T32,"-")</f>
        <v>0</v>
      </c>
      <c r="T111" s="128">
        <f>IFERROR(lifespans_all!U110*DTE_mission_minutes!U32,"-")</f>
        <v>0</v>
      </c>
      <c r="U111" s="128">
        <f>IFERROR(lifespans_all!V110*DTE_mission_minutes!V32,"-")</f>
        <v>0</v>
      </c>
      <c r="V111" s="128">
        <f>IFERROR(lifespans_all!W110*DTE_mission_minutes!W32,"-")</f>
        <v>0</v>
      </c>
    </row>
    <row r="112" spans="1:22" x14ac:dyDescent="0.25">
      <c r="A112" s="46" t="s">
        <v>55</v>
      </c>
      <c r="B112" s="47" t="s">
        <v>57</v>
      </c>
      <c r="C112" s="128">
        <f>IFERROR(lifespans_all!D111*DTE_mission_minutes!D33,"-")</f>
        <v>575.81194444444441</v>
      </c>
      <c r="D112" s="128">
        <f>IFERROR(lifespans_all!E111*DTE_mission_minutes!E33,"-")</f>
        <v>580.59861111111104</v>
      </c>
      <c r="E112" s="128">
        <f>IFERROR(lifespans_all!F111*DTE_mission_minutes!F33,"-")</f>
        <v>499.24888888888893</v>
      </c>
      <c r="F112" s="128">
        <f>IFERROR(lifespans_all!G111*DTE_mission_minutes!G33,"-")</f>
        <v>565.82727777777768</v>
      </c>
      <c r="G112" s="128">
        <f>IFERROR(lifespans_all!H111*DTE_mission_minutes!H33,"-")</f>
        <v>0</v>
      </c>
      <c r="H112" s="128">
        <f>IFERROR(lifespans_all!I111*DTE_mission_minutes!I33,"-")</f>
        <v>0</v>
      </c>
      <c r="I112" s="128">
        <f>IFERROR(lifespans_all!J111*DTE_mission_minutes!J33,"-")</f>
        <v>0</v>
      </c>
      <c r="J112" s="128">
        <f>IFERROR(lifespans_all!K111*DTE_mission_minutes!K33,"-")</f>
        <v>0</v>
      </c>
      <c r="K112" s="128">
        <f>IFERROR(lifespans_all!L111*DTE_mission_minutes!L33,"-")</f>
        <v>0</v>
      </c>
      <c r="L112" s="128">
        <f>IFERROR(lifespans_all!M111*DTE_mission_minutes!M33,"-")</f>
        <v>0</v>
      </c>
      <c r="M112" s="128">
        <f>IFERROR(lifespans_all!N111*DTE_mission_minutes!N33,"-")</f>
        <v>0</v>
      </c>
      <c r="N112" s="128">
        <f>IFERROR(lifespans_all!O111*DTE_mission_minutes!O33,"-")</f>
        <v>0</v>
      </c>
      <c r="O112" s="128">
        <f>IFERROR(lifespans_all!P111*DTE_mission_minutes!P33,"-")</f>
        <v>0</v>
      </c>
      <c r="P112" s="128">
        <f>IFERROR(lifespans_all!Q111*DTE_mission_minutes!Q33,"-")</f>
        <v>0</v>
      </c>
      <c r="Q112" s="128">
        <f>IFERROR(lifespans_all!R111*DTE_mission_minutes!R33,"-")</f>
        <v>0</v>
      </c>
      <c r="R112" s="128">
        <f>IFERROR(lifespans_all!S111*DTE_mission_minutes!S33,"-")</f>
        <v>0</v>
      </c>
      <c r="S112" s="128">
        <f>IFERROR(lifespans_all!T111*DTE_mission_minutes!T33,"-")</f>
        <v>0</v>
      </c>
      <c r="T112" s="128">
        <f>IFERROR(lifespans_all!U111*DTE_mission_minutes!U33,"-")</f>
        <v>0</v>
      </c>
      <c r="U112" s="128">
        <f>IFERROR(lifespans_all!V111*DTE_mission_minutes!V33,"-")</f>
        <v>0</v>
      </c>
      <c r="V112" s="128">
        <f>IFERROR(lifespans_all!W111*DTE_mission_minutes!W33,"-")</f>
        <v>0</v>
      </c>
    </row>
    <row r="113" spans="1:22" x14ac:dyDescent="0.25">
      <c r="A113" s="46" t="s">
        <v>44</v>
      </c>
      <c r="B113" s="46"/>
      <c r="C113" s="128" t="str">
        <f>IFERROR(lifespans_all!D112*DTE_mission_minutes!D34,"-")</f>
        <v>-</v>
      </c>
      <c r="D113" s="128" t="str">
        <f>IFERROR(lifespans_all!E112*DTE_mission_minutes!E34,"-")</f>
        <v>-</v>
      </c>
      <c r="E113" s="128" t="str">
        <f>IFERROR(lifespans_all!F112*DTE_mission_minutes!F34,"-")</f>
        <v>-</v>
      </c>
      <c r="F113" s="128" t="str">
        <f>IFERROR(lifespans_all!G112*DTE_mission_minutes!G34,"-")</f>
        <v>-</v>
      </c>
      <c r="G113" s="128" t="str">
        <f>IFERROR(lifespans_all!H112*DTE_mission_minutes!H34,"-")</f>
        <v>-</v>
      </c>
      <c r="H113" s="128" t="str">
        <f>IFERROR(lifespans_all!I112*DTE_mission_minutes!I34,"-")</f>
        <v>-</v>
      </c>
      <c r="I113" s="128" t="str">
        <f>IFERROR(lifespans_all!J112*DTE_mission_minutes!J34,"-")</f>
        <v>-</v>
      </c>
      <c r="J113" s="128" t="str">
        <f>IFERROR(lifespans_all!K112*DTE_mission_minutes!K34,"-")</f>
        <v>-</v>
      </c>
      <c r="K113" s="128" t="str">
        <f>IFERROR(lifespans_all!L112*DTE_mission_minutes!L34,"-")</f>
        <v>-</v>
      </c>
      <c r="L113" s="128" t="str">
        <f>IFERROR(lifespans_all!M112*DTE_mission_minutes!M34,"-")</f>
        <v>-</v>
      </c>
      <c r="M113" s="128" t="str">
        <f>IFERROR(lifespans_all!N112*DTE_mission_minutes!N34,"-")</f>
        <v>-</v>
      </c>
      <c r="N113" s="128" t="str">
        <f>IFERROR(lifespans_all!O112*DTE_mission_minutes!O34,"-")</f>
        <v>-</v>
      </c>
      <c r="O113" s="128" t="str">
        <f>IFERROR(lifespans_all!P112*DTE_mission_minutes!P34,"-")</f>
        <v>-</v>
      </c>
      <c r="P113" s="128" t="str">
        <f>IFERROR(lifespans_all!Q112*DTE_mission_minutes!Q34,"-")</f>
        <v>-</v>
      </c>
      <c r="Q113" s="128" t="str">
        <f>IFERROR(lifespans_all!R112*DTE_mission_minutes!R34,"-")</f>
        <v>-</v>
      </c>
      <c r="R113" s="128" t="str">
        <f>IFERROR(lifespans_all!S112*DTE_mission_minutes!S34,"-")</f>
        <v>-</v>
      </c>
      <c r="S113" s="128" t="str">
        <f>IFERROR(lifespans_all!T112*DTE_mission_minutes!T34,"-")</f>
        <v>-</v>
      </c>
      <c r="T113" s="128" t="str">
        <f>IFERROR(lifespans_all!U112*DTE_mission_minutes!U34,"-")</f>
        <v>-</v>
      </c>
      <c r="U113" s="128" t="str">
        <f>IFERROR(lifespans_all!V112*DTE_mission_minutes!V34,"-")</f>
        <v>-</v>
      </c>
      <c r="V113" s="128" t="str">
        <f>IFERROR(lifespans_all!W112*DTE_mission_minutes!W34,"-")</f>
        <v>-</v>
      </c>
    </row>
    <row r="114" spans="1:22" x14ac:dyDescent="0.25">
      <c r="A114" s="46" t="s">
        <v>78</v>
      </c>
      <c r="B114" s="47" t="s">
        <v>57</v>
      </c>
      <c r="C114" s="128">
        <f>IFERROR(lifespans_all!D113*DTE_mission_minutes!D35,"-")</f>
        <v>64.579722222222216</v>
      </c>
      <c r="D114" s="128">
        <f>IFERROR(lifespans_all!E113*DTE_mission_minutes!E35,"-")</f>
        <v>56.487941666666664</v>
      </c>
      <c r="E114" s="128">
        <f>IFERROR(lifespans_all!F113*DTE_mission_minutes!F35,"-")</f>
        <v>49.259444444444441</v>
      </c>
      <c r="F114" s="128">
        <f>IFERROR(lifespans_all!G113*DTE_mission_minutes!G35,"-")</f>
        <v>60.035777777777774</v>
      </c>
      <c r="G114" s="128">
        <f>IFERROR(lifespans_all!H113*DTE_mission_minutes!H35,"-")</f>
        <v>60.035777777777774</v>
      </c>
      <c r="H114" s="128">
        <f>IFERROR(lifespans_all!I113*DTE_mission_minutes!I35,"-")</f>
        <v>0</v>
      </c>
      <c r="I114" s="128">
        <f>IFERROR(lifespans_all!J113*DTE_mission_minutes!J35,"-")</f>
        <v>0</v>
      </c>
      <c r="J114" s="128">
        <f>IFERROR(lifespans_all!K113*DTE_mission_minutes!K35,"-")</f>
        <v>0</v>
      </c>
      <c r="K114" s="128">
        <f>IFERROR(lifespans_all!L113*DTE_mission_minutes!L35,"-")</f>
        <v>0</v>
      </c>
      <c r="L114" s="128">
        <f>IFERROR(lifespans_all!M113*DTE_mission_minutes!M35,"-")</f>
        <v>0</v>
      </c>
      <c r="M114" s="128">
        <f>IFERROR(lifespans_all!N113*DTE_mission_minutes!N35,"-")</f>
        <v>0</v>
      </c>
      <c r="N114" s="128">
        <f>IFERROR(lifespans_all!O113*DTE_mission_minutes!O35,"-")</f>
        <v>0</v>
      </c>
      <c r="O114" s="128">
        <f>IFERROR(lifespans_all!P113*DTE_mission_minutes!P35,"-")</f>
        <v>0</v>
      </c>
      <c r="P114" s="128">
        <f>IFERROR(lifespans_all!Q113*DTE_mission_minutes!Q35,"-")</f>
        <v>0</v>
      </c>
      <c r="Q114" s="128">
        <f>IFERROR(lifespans_all!R113*DTE_mission_minutes!R35,"-")</f>
        <v>0</v>
      </c>
      <c r="R114" s="128">
        <f>IFERROR(lifespans_all!S113*DTE_mission_minutes!S35,"-")</f>
        <v>0</v>
      </c>
      <c r="S114" s="128">
        <f>IFERROR(lifespans_all!T113*DTE_mission_minutes!T35,"-")</f>
        <v>0</v>
      </c>
      <c r="T114" s="128">
        <f>IFERROR(lifespans_all!U113*DTE_mission_minutes!U35,"-")</f>
        <v>0</v>
      </c>
      <c r="U114" s="128">
        <f>IFERROR(lifespans_all!V113*DTE_mission_minutes!V35,"-")</f>
        <v>0</v>
      </c>
      <c r="V114" s="128">
        <f>IFERROR(lifespans_all!W113*DTE_mission_minutes!W35,"-")</f>
        <v>0</v>
      </c>
    </row>
    <row r="115" spans="1:22" x14ac:dyDescent="0.25">
      <c r="A115" s="46" t="s">
        <v>45</v>
      </c>
      <c r="B115" s="47" t="s">
        <v>57</v>
      </c>
      <c r="C115" s="128">
        <f>IFERROR(lifespans_all!D114*DTE_mission_minutes!D36,"-")</f>
        <v>133409.35004928565</v>
      </c>
      <c r="D115" s="128">
        <f>IFERROR(lifespans_all!E114*DTE_mission_minutes!E36,"-")</f>
        <v>133409.35004928565</v>
      </c>
      <c r="E115" s="128">
        <f>IFERROR(lifespans_all!F114*DTE_mission_minutes!F36,"-")</f>
        <v>133409.35004928565</v>
      </c>
      <c r="F115" s="128">
        <f>IFERROR(lifespans_all!G114*DTE_mission_minutes!G36,"-")</f>
        <v>0</v>
      </c>
      <c r="G115" s="128">
        <f>IFERROR(lifespans_all!H114*DTE_mission_minutes!H36,"-")</f>
        <v>0</v>
      </c>
      <c r="H115" s="128">
        <f>IFERROR(lifespans_all!I114*DTE_mission_minutes!I36,"-")</f>
        <v>0</v>
      </c>
      <c r="I115" s="128">
        <f>IFERROR(lifespans_all!J114*DTE_mission_minutes!J36,"-")</f>
        <v>0</v>
      </c>
      <c r="J115" s="128">
        <f>IFERROR(lifespans_all!K114*DTE_mission_minutes!K36,"-")</f>
        <v>0</v>
      </c>
      <c r="K115" s="128">
        <f>IFERROR(lifespans_all!L114*DTE_mission_minutes!L36,"-")</f>
        <v>0</v>
      </c>
      <c r="L115" s="128">
        <f>IFERROR(lifespans_all!M114*DTE_mission_minutes!M36,"-")</f>
        <v>0</v>
      </c>
      <c r="M115" s="128">
        <f>IFERROR(lifespans_all!N114*DTE_mission_minutes!N36,"-")</f>
        <v>0</v>
      </c>
      <c r="N115" s="128">
        <f>IFERROR(lifespans_all!O114*DTE_mission_minutes!O36,"-")</f>
        <v>0</v>
      </c>
      <c r="O115" s="128">
        <f>IFERROR(lifespans_all!P114*DTE_mission_minutes!P36,"-")</f>
        <v>0</v>
      </c>
      <c r="P115" s="128">
        <f>IFERROR(lifespans_all!Q114*DTE_mission_minutes!Q36,"-")</f>
        <v>0</v>
      </c>
      <c r="Q115" s="128">
        <f>IFERROR(lifespans_all!R114*DTE_mission_minutes!R36,"-")</f>
        <v>0</v>
      </c>
      <c r="R115" s="128">
        <f>IFERROR(lifespans_all!S114*DTE_mission_minutes!S36,"-")</f>
        <v>0</v>
      </c>
      <c r="S115" s="128">
        <f>IFERROR(lifespans_all!T114*DTE_mission_minutes!T36,"-")</f>
        <v>0</v>
      </c>
      <c r="T115" s="128">
        <f>IFERROR(lifespans_all!U114*DTE_mission_minutes!U36,"-")</f>
        <v>0</v>
      </c>
      <c r="U115" s="128">
        <f>IFERROR(lifespans_all!V114*DTE_mission_minutes!V36,"-")</f>
        <v>0</v>
      </c>
      <c r="V115" s="128">
        <f>IFERROR(lifespans_all!W114*DTE_mission_minutes!W36,"-")</f>
        <v>0</v>
      </c>
    </row>
    <row r="116" spans="1:22" x14ac:dyDescent="0.25">
      <c r="A116" s="46" t="s">
        <v>46</v>
      </c>
      <c r="B116" s="54" t="s">
        <v>59</v>
      </c>
      <c r="C116" s="128">
        <f>IFERROR(lifespans_all!D115*DTE_mission_minutes!D37,"-")</f>
        <v>171572.29579277776</v>
      </c>
      <c r="D116" s="128">
        <f>IFERROR(lifespans_all!E115*DTE_mission_minutes!E37,"-")</f>
        <v>171572.29579277776</v>
      </c>
      <c r="E116" s="128">
        <f>IFERROR(lifespans_all!F115*DTE_mission_minutes!F37,"-")</f>
        <v>171572.29579277776</v>
      </c>
      <c r="F116" s="128">
        <f>IFERROR(lifespans_all!G115*DTE_mission_minutes!G37,"-")</f>
        <v>171572.29579277776</v>
      </c>
      <c r="G116" s="128">
        <f>IFERROR(lifespans_all!H115*DTE_mission_minutes!H37,"-")</f>
        <v>171572.29579277776</v>
      </c>
      <c r="H116" s="128">
        <f>IFERROR(lifespans_all!I115*DTE_mission_minutes!I37,"-")</f>
        <v>171572.29579277776</v>
      </c>
      <c r="I116" s="128">
        <f>IFERROR(lifespans_all!J115*DTE_mission_minutes!J37,"-")</f>
        <v>171572.29579277776</v>
      </c>
      <c r="J116" s="128">
        <f>IFERROR(lifespans_all!K115*DTE_mission_minutes!K37,"-")</f>
        <v>171572.29579277776</v>
      </c>
      <c r="K116" s="128">
        <f>IFERROR(lifespans_all!L115*DTE_mission_minutes!L37,"-")</f>
        <v>171572.29579277776</v>
      </c>
      <c r="L116" s="128">
        <f>IFERROR(lifespans_all!M115*DTE_mission_minutes!M37,"-")</f>
        <v>171572.29579277776</v>
      </c>
      <c r="M116" s="128">
        <f>IFERROR(lifespans_all!N115*DTE_mission_minutes!N37,"-")</f>
        <v>171572.29579277776</v>
      </c>
      <c r="N116" s="128">
        <f>IFERROR(lifespans_all!O115*DTE_mission_minutes!O37,"-")</f>
        <v>171572.29579277776</v>
      </c>
      <c r="O116" s="128">
        <f>IFERROR(lifespans_all!P115*DTE_mission_minutes!P37,"-")</f>
        <v>171572.29579277776</v>
      </c>
      <c r="P116" s="128">
        <f>IFERROR(lifespans_all!Q115*DTE_mission_minutes!Q37,"-")</f>
        <v>171572.29579277776</v>
      </c>
      <c r="Q116" s="128">
        <f>IFERROR(lifespans_all!R115*DTE_mission_minutes!R37,"-")</f>
        <v>171572.29579277776</v>
      </c>
      <c r="R116" s="128">
        <f>IFERROR(lifespans_all!S115*DTE_mission_minutes!S37,"-")</f>
        <v>171572.29579277776</v>
      </c>
      <c r="S116" s="128">
        <f>IFERROR(lifespans_all!T115*DTE_mission_minutes!T37,"-")</f>
        <v>171572.29579277776</v>
      </c>
      <c r="T116" s="128">
        <f>IFERROR(lifespans_all!U115*DTE_mission_minutes!U37,"-")</f>
        <v>171572.29579277776</v>
      </c>
      <c r="U116" s="128">
        <f>IFERROR(lifespans_all!V115*DTE_mission_minutes!V37,"-")</f>
        <v>171572.29579277776</v>
      </c>
      <c r="V116" s="128">
        <f>IFERROR(lifespans_all!W115*DTE_mission_minutes!W37,"-")</f>
        <v>171572.29579277776</v>
      </c>
    </row>
    <row r="117" spans="1:22" x14ac:dyDescent="0.25">
      <c r="A117" s="46" t="s">
        <v>47</v>
      </c>
      <c r="B117" s="55" t="s">
        <v>64</v>
      </c>
      <c r="C117" s="128" t="str">
        <f>IFERROR(lifespans_all!D116*DTE_mission_minutes!D38,"-")</f>
        <v>-</v>
      </c>
      <c r="D117" s="128" t="str">
        <f>IFERROR(lifespans_all!E116*DTE_mission_minutes!E38,"-")</f>
        <v>-</v>
      </c>
      <c r="E117" s="128" t="str">
        <f>IFERROR(lifespans_all!F116*DTE_mission_minutes!F38,"-")</f>
        <v>-</v>
      </c>
      <c r="F117" s="128" t="str">
        <f>IFERROR(lifespans_all!G116*DTE_mission_minutes!G38,"-")</f>
        <v>-</v>
      </c>
      <c r="G117" s="128" t="str">
        <f>IFERROR(lifespans_all!H116*DTE_mission_minutes!H38,"-")</f>
        <v>-</v>
      </c>
      <c r="H117" s="128" t="str">
        <f>IFERROR(lifespans_all!I116*DTE_mission_minutes!I38,"-")</f>
        <v>-</v>
      </c>
      <c r="I117" s="128" t="str">
        <f>IFERROR(lifespans_all!J116*DTE_mission_minutes!J38,"-")</f>
        <v>-</v>
      </c>
      <c r="J117" s="128" t="str">
        <f>IFERROR(lifespans_all!K116*DTE_mission_minutes!K38,"-")</f>
        <v>-</v>
      </c>
      <c r="K117" s="128" t="str">
        <f>IFERROR(lifespans_all!L116*DTE_mission_minutes!L38,"-")</f>
        <v>-</v>
      </c>
      <c r="L117" s="128" t="str">
        <f>IFERROR(lifespans_all!M116*DTE_mission_minutes!M38,"-")</f>
        <v>-</v>
      </c>
      <c r="M117" s="128" t="str">
        <f>IFERROR(lifespans_all!N116*DTE_mission_minutes!N38,"-")</f>
        <v>-</v>
      </c>
      <c r="N117" s="128" t="str">
        <f>IFERROR(lifespans_all!O116*DTE_mission_minutes!O38,"-")</f>
        <v>-</v>
      </c>
      <c r="O117" s="128" t="str">
        <f>IFERROR(lifespans_all!P116*DTE_mission_minutes!P38,"-")</f>
        <v>-</v>
      </c>
      <c r="P117" s="128" t="str">
        <f>IFERROR(lifespans_all!Q116*DTE_mission_minutes!Q38,"-")</f>
        <v>-</v>
      </c>
      <c r="Q117" s="128" t="str">
        <f>IFERROR(lifespans_all!R116*DTE_mission_minutes!R38,"-")</f>
        <v>-</v>
      </c>
      <c r="R117" s="128" t="str">
        <f>IFERROR(lifespans_all!S116*DTE_mission_minutes!S38,"-")</f>
        <v>-</v>
      </c>
      <c r="S117" s="128" t="str">
        <f>IFERROR(lifespans_all!T116*DTE_mission_minutes!T38,"-")</f>
        <v>-</v>
      </c>
      <c r="T117" s="128" t="str">
        <f>IFERROR(lifespans_all!U116*DTE_mission_minutes!U38,"-")</f>
        <v>-</v>
      </c>
      <c r="U117" s="128" t="str">
        <f>IFERROR(lifespans_all!V116*DTE_mission_minutes!V38,"-")</f>
        <v>-</v>
      </c>
      <c r="V117" s="128" t="str">
        <f>IFERROR(lifespans_all!W116*DTE_mission_minutes!W38,"-")</f>
        <v>-</v>
      </c>
    </row>
    <row r="118" spans="1:22" x14ac:dyDescent="0.25">
      <c r="A118" s="46" t="s">
        <v>48</v>
      </c>
      <c r="B118" s="55" t="s">
        <v>64</v>
      </c>
      <c r="C118" s="128" t="str">
        <f>IFERROR(lifespans_all!D117*DTE_mission_minutes!D39,"-")</f>
        <v>-</v>
      </c>
      <c r="D118" s="128" t="str">
        <f>IFERROR(lifespans_all!E117*DTE_mission_minutes!E39,"-")</f>
        <v>-</v>
      </c>
      <c r="E118" s="128" t="str">
        <f>IFERROR(lifespans_all!F117*DTE_mission_minutes!F39,"-")</f>
        <v>-</v>
      </c>
      <c r="F118" s="128" t="str">
        <f>IFERROR(lifespans_all!G117*DTE_mission_minutes!G39,"-")</f>
        <v>-</v>
      </c>
      <c r="G118" s="128" t="str">
        <f>IFERROR(lifespans_all!H117*DTE_mission_minutes!H39,"-")</f>
        <v>-</v>
      </c>
      <c r="H118" s="128" t="str">
        <f>IFERROR(lifespans_all!I117*DTE_mission_minutes!I39,"-")</f>
        <v>-</v>
      </c>
      <c r="I118" s="128" t="str">
        <f>IFERROR(lifespans_all!J117*DTE_mission_minutes!J39,"-")</f>
        <v>-</v>
      </c>
      <c r="J118" s="128" t="str">
        <f>IFERROR(lifespans_all!K117*DTE_mission_minutes!K39,"-")</f>
        <v>-</v>
      </c>
      <c r="K118" s="128" t="str">
        <f>IFERROR(lifespans_all!L117*DTE_mission_minutes!L39,"-")</f>
        <v>-</v>
      </c>
      <c r="L118" s="128" t="str">
        <f>IFERROR(lifespans_all!M117*DTE_mission_minutes!M39,"-")</f>
        <v>-</v>
      </c>
      <c r="M118" s="128" t="str">
        <f>IFERROR(lifespans_all!N117*DTE_mission_minutes!N39,"-")</f>
        <v>-</v>
      </c>
      <c r="N118" s="128" t="str">
        <f>IFERROR(lifespans_all!O117*DTE_mission_minutes!O39,"-")</f>
        <v>-</v>
      </c>
      <c r="O118" s="128" t="str">
        <f>IFERROR(lifespans_all!P117*DTE_mission_minutes!P39,"-")</f>
        <v>-</v>
      </c>
      <c r="P118" s="128" t="str">
        <f>IFERROR(lifespans_all!Q117*DTE_mission_minutes!Q39,"-")</f>
        <v>-</v>
      </c>
      <c r="Q118" s="128" t="str">
        <f>IFERROR(lifespans_all!R117*DTE_mission_minutes!R39,"-")</f>
        <v>-</v>
      </c>
      <c r="R118" s="128" t="str">
        <f>IFERROR(lifespans_all!S117*DTE_mission_minutes!S39,"-")</f>
        <v>-</v>
      </c>
      <c r="S118" s="128" t="str">
        <f>IFERROR(lifespans_all!T117*DTE_mission_minutes!T39,"-")</f>
        <v>-</v>
      </c>
      <c r="T118" s="128" t="str">
        <f>IFERROR(lifespans_all!U117*DTE_mission_minutes!U39,"-")</f>
        <v>-</v>
      </c>
      <c r="U118" s="128" t="str">
        <f>IFERROR(lifespans_all!V117*DTE_mission_minutes!V39,"-")</f>
        <v>-</v>
      </c>
      <c r="V118" s="128" t="str">
        <f>IFERROR(lifespans_all!W117*DTE_mission_minutes!W39,"-")</f>
        <v>-</v>
      </c>
    </row>
    <row r="119" spans="1:22" x14ac:dyDescent="0.25">
      <c r="A119" s="46" t="s">
        <v>49</v>
      </c>
      <c r="B119" s="47" t="s">
        <v>57</v>
      </c>
      <c r="C119" s="128">
        <f>IFERROR(lifespans_all!D118*DTE_mission_minutes!D40,"-")</f>
        <v>0</v>
      </c>
      <c r="D119" s="128">
        <f>IFERROR(lifespans_all!E118*DTE_mission_minutes!E40,"-")</f>
        <v>0</v>
      </c>
      <c r="E119" s="128">
        <f>IFERROR(lifespans_all!F118*DTE_mission_minutes!F40,"-")</f>
        <v>0</v>
      </c>
      <c r="F119" s="128">
        <f>IFERROR(lifespans_all!G118*DTE_mission_minutes!G40,"-")</f>
        <v>0</v>
      </c>
      <c r="G119" s="128">
        <f>IFERROR(lifespans_all!H118*DTE_mission_minutes!H40,"-")</f>
        <v>0</v>
      </c>
      <c r="H119" s="128">
        <f>IFERROR(lifespans_all!I118*DTE_mission_minutes!I40,"-")</f>
        <v>0</v>
      </c>
      <c r="I119" s="128">
        <f>IFERROR(lifespans_all!J118*DTE_mission_minutes!J40,"-")</f>
        <v>0</v>
      </c>
      <c r="J119" s="128">
        <f>IFERROR(lifespans_all!K118*DTE_mission_minutes!K40,"-")</f>
        <v>0</v>
      </c>
      <c r="K119" s="128">
        <f>IFERROR(lifespans_all!L118*DTE_mission_minutes!L40,"-")</f>
        <v>0</v>
      </c>
      <c r="L119" s="128">
        <f>IFERROR(lifespans_all!M118*DTE_mission_minutes!M40,"-")</f>
        <v>0</v>
      </c>
      <c r="M119" s="128">
        <f>IFERROR(lifespans_all!N118*DTE_mission_minutes!N40,"-")</f>
        <v>0</v>
      </c>
      <c r="N119" s="128">
        <f>IFERROR(lifespans_all!O118*DTE_mission_minutes!O40,"-")</f>
        <v>0</v>
      </c>
      <c r="O119" s="128">
        <f>IFERROR(lifespans_all!P118*DTE_mission_minutes!P40,"-")</f>
        <v>0</v>
      </c>
      <c r="P119" s="128">
        <f>IFERROR(lifespans_all!Q118*DTE_mission_minutes!Q40,"-")</f>
        <v>0</v>
      </c>
      <c r="Q119" s="128">
        <f>IFERROR(lifespans_all!R118*DTE_mission_minutes!R40,"-")</f>
        <v>0</v>
      </c>
      <c r="R119" s="128">
        <f>IFERROR(lifespans_all!S118*DTE_mission_minutes!S40,"-")</f>
        <v>0</v>
      </c>
      <c r="S119" s="128">
        <f>IFERROR(lifespans_all!T118*DTE_mission_minutes!T40,"-")</f>
        <v>0</v>
      </c>
      <c r="T119" s="128">
        <f>IFERROR(lifespans_all!U118*DTE_mission_minutes!U40,"-")</f>
        <v>0</v>
      </c>
      <c r="U119" s="128">
        <f>IFERROR(lifespans_all!V118*DTE_mission_minutes!V40,"-")</f>
        <v>0</v>
      </c>
      <c r="V119" s="128">
        <f>IFERROR(lifespans_all!W118*DTE_mission_minutes!W40,"-")</f>
        <v>0</v>
      </c>
    </row>
    <row r="120" spans="1:22" x14ac:dyDescent="0.25">
      <c r="A120" s="46" t="s">
        <v>50</v>
      </c>
      <c r="B120" s="54" t="s">
        <v>61</v>
      </c>
      <c r="C120" s="128">
        <f>IFERROR(lifespans_all!D119*DTE_mission_minutes!D41,"-")</f>
        <v>1321.6547222222223</v>
      </c>
      <c r="D120" s="128">
        <f>IFERROR(lifespans_all!E119*DTE_mission_minutes!E41,"-")</f>
        <v>1450.1822222222222</v>
      </c>
      <c r="E120" s="128">
        <f>IFERROR(lifespans_all!F119*DTE_mission_minutes!F41,"-")</f>
        <v>1386.2452777777776</v>
      </c>
      <c r="F120" s="128">
        <f>IFERROR(lifespans_all!G119*DTE_mission_minutes!G41,"-")</f>
        <v>1393.7255555555555</v>
      </c>
      <c r="G120" s="128">
        <f>IFERROR(lifespans_all!H119*DTE_mission_minutes!H41,"-")</f>
        <v>1393.7255555555555</v>
      </c>
      <c r="H120" s="128">
        <f>IFERROR(lifespans_all!I119*DTE_mission_minutes!I41,"-")</f>
        <v>0</v>
      </c>
      <c r="I120" s="128">
        <f>IFERROR(lifespans_all!J119*DTE_mission_minutes!J41,"-")</f>
        <v>0</v>
      </c>
      <c r="J120" s="128">
        <f>IFERROR(lifespans_all!K119*DTE_mission_minutes!K41,"-")</f>
        <v>0</v>
      </c>
      <c r="K120" s="128">
        <f>IFERROR(lifespans_all!L119*DTE_mission_minutes!L41,"-")</f>
        <v>0</v>
      </c>
      <c r="L120" s="128">
        <f>IFERROR(lifespans_all!M119*DTE_mission_minutes!M41,"-")</f>
        <v>0</v>
      </c>
      <c r="M120" s="128">
        <f>IFERROR(lifespans_all!N119*DTE_mission_minutes!N41,"-")</f>
        <v>0</v>
      </c>
      <c r="N120" s="128">
        <f>IFERROR(lifespans_all!O119*DTE_mission_minutes!O41,"-")</f>
        <v>0</v>
      </c>
      <c r="O120" s="128">
        <f>IFERROR(lifespans_all!P119*DTE_mission_minutes!P41,"-")</f>
        <v>0</v>
      </c>
      <c r="P120" s="128">
        <f>IFERROR(lifespans_all!Q119*DTE_mission_minutes!Q41,"-")</f>
        <v>0</v>
      </c>
      <c r="Q120" s="128">
        <f>IFERROR(lifespans_all!R119*DTE_mission_minutes!R41,"-")</f>
        <v>0</v>
      </c>
      <c r="R120" s="128">
        <f>IFERROR(lifespans_all!S119*DTE_mission_minutes!S41,"-")</f>
        <v>0</v>
      </c>
      <c r="S120" s="128">
        <f>IFERROR(lifespans_all!T119*DTE_mission_minutes!T41,"-")</f>
        <v>0</v>
      </c>
      <c r="T120" s="128">
        <f>IFERROR(lifespans_all!U119*DTE_mission_minutes!U41,"-")</f>
        <v>0</v>
      </c>
      <c r="U120" s="128">
        <f>IFERROR(lifespans_all!V119*DTE_mission_minutes!V41,"-")</f>
        <v>0</v>
      </c>
      <c r="V120" s="128">
        <f>IFERROR(lifespans_all!W119*DTE_mission_minutes!W41,"-")</f>
        <v>0</v>
      </c>
    </row>
    <row r="121" spans="1:22" x14ac:dyDescent="0.25">
      <c r="A121" s="46" t="s">
        <v>79</v>
      </c>
      <c r="B121" s="54" t="s">
        <v>59</v>
      </c>
      <c r="C121" s="128">
        <f>IFERROR(lifespans_all!D120*DTE_mission_minutes!D42,"-")</f>
        <v>171572.29579277776</v>
      </c>
      <c r="D121" s="128">
        <f>IFERROR(lifespans_all!E120*DTE_mission_minutes!E42,"-")</f>
        <v>171572.29579277776</v>
      </c>
      <c r="E121" s="128">
        <f>IFERROR(lifespans_all!F120*DTE_mission_minutes!F42,"-")</f>
        <v>171572.29579277776</v>
      </c>
      <c r="F121" s="128">
        <f>IFERROR(lifespans_all!G120*DTE_mission_minutes!G42,"-")</f>
        <v>171572.29579277776</v>
      </c>
      <c r="G121" s="128">
        <f>IFERROR(lifespans_all!H120*DTE_mission_minutes!H42,"-")</f>
        <v>171572.29579277776</v>
      </c>
      <c r="H121" s="128">
        <f>IFERROR(lifespans_all!I120*DTE_mission_minutes!I42,"-")</f>
        <v>171572.29579277776</v>
      </c>
      <c r="I121" s="128">
        <f>IFERROR(lifespans_all!J120*DTE_mission_minutes!J42,"-")</f>
        <v>171572.29579277776</v>
      </c>
      <c r="J121" s="128">
        <f>IFERROR(lifespans_all!K120*DTE_mission_minutes!K42,"-")</f>
        <v>171572.29579277776</v>
      </c>
      <c r="K121" s="128">
        <f>IFERROR(lifespans_all!L120*DTE_mission_minutes!L42,"-")</f>
        <v>171572.29579277776</v>
      </c>
      <c r="L121" s="128">
        <f>IFERROR(lifespans_all!M120*DTE_mission_minutes!M42,"-")</f>
        <v>171572.29579277776</v>
      </c>
      <c r="M121" s="128">
        <f>IFERROR(lifespans_all!N120*DTE_mission_minutes!N42,"-")</f>
        <v>171572.29579277776</v>
      </c>
      <c r="N121" s="128">
        <f>IFERROR(lifespans_all!O120*DTE_mission_minutes!O42,"-")</f>
        <v>171572.29579277776</v>
      </c>
      <c r="O121" s="128">
        <f>IFERROR(lifespans_all!P120*DTE_mission_minutes!P42,"-")</f>
        <v>171572.29579277776</v>
      </c>
      <c r="P121" s="128">
        <f>IFERROR(lifespans_all!Q120*DTE_mission_minutes!Q42,"-")</f>
        <v>171572.29579277776</v>
      </c>
      <c r="Q121" s="128">
        <f>IFERROR(lifespans_all!R120*DTE_mission_minutes!R42,"-")</f>
        <v>171572.29579277776</v>
      </c>
      <c r="R121" s="128">
        <f>IFERROR(lifespans_all!S120*DTE_mission_minutes!S42,"-")</f>
        <v>171572.29579277776</v>
      </c>
      <c r="S121" s="128">
        <f>IFERROR(lifespans_all!T120*DTE_mission_minutes!T42,"-")</f>
        <v>171572.29579277776</v>
      </c>
      <c r="T121" s="128">
        <f>IFERROR(lifespans_all!U120*DTE_mission_minutes!U42,"-")</f>
        <v>171572.29579277776</v>
      </c>
      <c r="U121" s="128">
        <f>IFERROR(lifespans_all!V120*DTE_mission_minutes!V42,"-")</f>
        <v>171572.29579277776</v>
      </c>
      <c r="V121" s="128">
        <f>IFERROR(lifespans_all!W120*DTE_mission_minutes!W42,"-")</f>
        <v>171572.29579277776</v>
      </c>
    </row>
    <row r="122" spans="1:22" x14ac:dyDescent="0.25">
      <c r="A122" s="46" t="s">
        <v>80</v>
      </c>
      <c r="B122" s="47" t="s">
        <v>62</v>
      </c>
      <c r="C122" s="128" t="str">
        <f>IFERROR(lifespans_all!D121*DTE_mission_minutes!D43,"-")</f>
        <v>-</v>
      </c>
      <c r="D122" s="128" t="str">
        <f>IFERROR(lifespans_all!E121*DTE_mission_minutes!E43,"-")</f>
        <v>-</v>
      </c>
      <c r="E122" s="128" t="str">
        <f>IFERROR(lifespans_all!F121*DTE_mission_minutes!F43,"-")</f>
        <v>-</v>
      </c>
      <c r="F122" s="128" t="str">
        <f>IFERROR(lifespans_all!G121*DTE_mission_minutes!G43,"-")</f>
        <v>-</v>
      </c>
      <c r="G122" s="128" t="str">
        <f>IFERROR(lifespans_all!H121*DTE_mission_minutes!H43,"-")</f>
        <v>-</v>
      </c>
      <c r="H122" s="128" t="str">
        <f>IFERROR(lifespans_all!I121*DTE_mission_minutes!I43,"-")</f>
        <v>-</v>
      </c>
      <c r="I122" s="128" t="str">
        <f>IFERROR(lifespans_all!J121*DTE_mission_minutes!J43,"-")</f>
        <v>-</v>
      </c>
      <c r="J122" s="128" t="str">
        <f>IFERROR(lifespans_all!K121*DTE_mission_minutes!K43,"-")</f>
        <v>-</v>
      </c>
      <c r="K122" s="128" t="str">
        <f>IFERROR(lifespans_all!L121*DTE_mission_minutes!L43,"-")</f>
        <v>-</v>
      </c>
      <c r="L122" s="128" t="str">
        <f>IFERROR(lifespans_all!M121*DTE_mission_minutes!M43,"-")</f>
        <v>-</v>
      </c>
      <c r="M122" s="128" t="str">
        <f>IFERROR(lifespans_all!N121*DTE_mission_minutes!N43,"-")</f>
        <v>-</v>
      </c>
      <c r="N122" s="128" t="str">
        <f>IFERROR(lifespans_all!O121*DTE_mission_minutes!O43,"-")</f>
        <v>-</v>
      </c>
      <c r="O122" s="128" t="str">
        <f>IFERROR(lifespans_all!P121*DTE_mission_minutes!P43,"-")</f>
        <v>-</v>
      </c>
      <c r="P122" s="128" t="str">
        <f>IFERROR(lifespans_all!Q121*DTE_mission_minutes!Q43,"-")</f>
        <v>-</v>
      </c>
      <c r="Q122" s="128" t="str">
        <f>IFERROR(lifespans_all!R121*DTE_mission_minutes!R43,"-")</f>
        <v>-</v>
      </c>
      <c r="R122" s="128" t="str">
        <f>IFERROR(lifespans_all!S121*DTE_mission_minutes!S43,"-")</f>
        <v>-</v>
      </c>
      <c r="S122" s="128" t="str">
        <f>IFERROR(lifespans_all!T121*DTE_mission_minutes!T43,"-")</f>
        <v>-</v>
      </c>
      <c r="T122" s="128" t="str">
        <f>IFERROR(lifespans_all!U121*DTE_mission_minutes!U43,"-")</f>
        <v>-</v>
      </c>
      <c r="U122" s="128" t="str">
        <f>IFERROR(lifespans_all!V121*DTE_mission_minutes!V43,"-")</f>
        <v>-</v>
      </c>
      <c r="V122" s="128" t="str">
        <f>IFERROR(lifespans_all!W121*DTE_mission_minutes!W43,"-")</f>
        <v>-</v>
      </c>
    </row>
    <row r="123" spans="1:22" x14ac:dyDescent="0.25">
      <c r="A123" s="46" t="s">
        <v>81</v>
      </c>
      <c r="B123" s="47" t="s">
        <v>57</v>
      </c>
      <c r="C123" s="128">
        <f>IFERROR(lifespans_all!D122*DTE_mission_minutes!D44,"-")</f>
        <v>3017.8666666666668</v>
      </c>
      <c r="D123" s="128">
        <f>IFERROR(lifespans_all!E122*DTE_mission_minutes!E44,"-")</f>
        <v>3078.4611111111108</v>
      </c>
      <c r="E123" s="128">
        <f>IFERROR(lifespans_all!F122*DTE_mission_minutes!F44,"-")</f>
        <v>2765.7895222222219</v>
      </c>
      <c r="F123" s="128">
        <f>IFERROR(lifespans_all!G122*DTE_mission_minutes!G44,"-")</f>
        <v>3000.2460561111111</v>
      </c>
      <c r="G123" s="128">
        <f>IFERROR(lifespans_all!H122*DTE_mission_minutes!H44,"-")</f>
        <v>3000.2460561111111</v>
      </c>
      <c r="H123" s="128">
        <f>IFERROR(lifespans_all!I122*DTE_mission_minutes!I44,"-")</f>
        <v>3000.2460561111111</v>
      </c>
      <c r="I123" s="128">
        <f>IFERROR(lifespans_all!J122*DTE_mission_minutes!J44,"-")</f>
        <v>3000.2460561111111</v>
      </c>
      <c r="J123" s="128">
        <f>IFERROR(lifespans_all!K122*DTE_mission_minutes!K44,"-")</f>
        <v>0</v>
      </c>
      <c r="K123" s="128">
        <f>IFERROR(lifespans_all!L122*DTE_mission_minutes!L44,"-")</f>
        <v>0</v>
      </c>
      <c r="L123" s="128">
        <f>IFERROR(lifespans_all!M122*DTE_mission_minutes!M44,"-")</f>
        <v>0</v>
      </c>
      <c r="M123" s="128">
        <f>IFERROR(lifespans_all!N122*DTE_mission_minutes!N44,"-")</f>
        <v>0</v>
      </c>
      <c r="N123" s="128">
        <f>IFERROR(lifespans_all!O122*DTE_mission_minutes!O44,"-")</f>
        <v>0</v>
      </c>
      <c r="O123" s="128">
        <f>IFERROR(lifespans_all!P122*DTE_mission_minutes!P44,"-")</f>
        <v>0</v>
      </c>
      <c r="P123" s="128">
        <f>IFERROR(lifespans_all!Q122*DTE_mission_minutes!Q44,"-")</f>
        <v>0</v>
      </c>
      <c r="Q123" s="128">
        <f>IFERROR(lifespans_all!R122*DTE_mission_minutes!R44,"-")</f>
        <v>0</v>
      </c>
      <c r="R123" s="128">
        <f>IFERROR(lifespans_all!S122*DTE_mission_minutes!S44,"-")</f>
        <v>0</v>
      </c>
      <c r="S123" s="128">
        <f>IFERROR(lifespans_all!T122*DTE_mission_minutes!T44,"-")</f>
        <v>0</v>
      </c>
      <c r="T123" s="128">
        <f>IFERROR(lifespans_all!U122*DTE_mission_minutes!U44,"-")</f>
        <v>0</v>
      </c>
      <c r="U123" s="128">
        <f>IFERROR(lifespans_all!V122*DTE_mission_minutes!V44,"-")</f>
        <v>0</v>
      </c>
      <c r="V123" s="128">
        <f>IFERROR(lifespans_all!W122*DTE_mission_minutes!W44,"-")</f>
        <v>0</v>
      </c>
    </row>
    <row r="124" spans="1:22" x14ac:dyDescent="0.25">
      <c r="A124" s="46" t="s">
        <v>51</v>
      </c>
      <c r="B124" s="47" t="s">
        <v>56</v>
      </c>
      <c r="C124" s="128">
        <f>IFERROR(lifespans_all!D123*DTE_mission_minutes!D45,"-")</f>
        <v>2140.4341038095235</v>
      </c>
      <c r="D124" s="128">
        <f>IFERROR(lifespans_all!E123*DTE_mission_minutes!E45,"-")</f>
        <v>2140.4341038095235</v>
      </c>
      <c r="E124" s="128">
        <f>IFERROR(lifespans_all!F123*DTE_mission_minutes!F45,"-")</f>
        <v>0</v>
      </c>
      <c r="F124" s="128">
        <f>IFERROR(lifespans_all!G123*DTE_mission_minutes!G45,"-")</f>
        <v>0</v>
      </c>
      <c r="G124" s="128">
        <f>IFERROR(lifespans_all!H123*DTE_mission_minutes!H45,"-")</f>
        <v>0</v>
      </c>
      <c r="H124" s="128">
        <f>IFERROR(lifespans_all!I123*DTE_mission_minutes!I45,"-")</f>
        <v>0</v>
      </c>
      <c r="I124" s="128">
        <f>IFERROR(lifespans_all!J123*DTE_mission_minutes!J45,"-")</f>
        <v>0</v>
      </c>
      <c r="J124" s="128">
        <f>IFERROR(lifespans_all!K123*DTE_mission_minutes!K45,"-")</f>
        <v>0</v>
      </c>
      <c r="K124" s="128">
        <f>IFERROR(lifespans_all!L123*DTE_mission_minutes!L45,"-")</f>
        <v>0</v>
      </c>
      <c r="L124" s="128">
        <f>IFERROR(lifespans_all!M123*DTE_mission_minutes!M45,"-")</f>
        <v>0</v>
      </c>
      <c r="M124" s="128">
        <f>IFERROR(lifespans_all!N123*DTE_mission_minutes!N45,"-")</f>
        <v>0</v>
      </c>
      <c r="N124" s="128">
        <f>IFERROR(lifespans_all!O123*DTE_mission_minutes!O45,"-")</f>
        <v>0</v>
      </c>
      <c r="O124" s="128">
        <f>IFERROR(lifespans_all!P123*DTE_mission_minutes!P45,"-")</f>
        <v>0</v>
      </c>
      <c r="P124" s="128">
        <f>IFERROR(lifespans_all!Q123*DTE_mission_minutes!Q45,"-")</f>
        <v>0</v>
      </c>
      <c r="Q124" s="128">
        <f>IFERROR(lifespans_all!R123*DTE_mission_minutes!R45,"-")</f>
        <v>0</v>
      </c>
      <c r="R124" s="128">
        <f>IFERROR(lifespans_all!S123*DTE_mission_minutes!S45,"-")</f>
        <v>0</v>
      </c>
      <c r="S124" s="128">
        <f>IFERROR(lifespans_all!T123*DTE_mission_minutes!T45,"-")</f>
        <v>0</v>
      </c>
      <c r="T124" s="128">
        <f>IFERROR(lifespans_all!U123*DTE_mission_minutes!U45,"-")</f>
        <v>0</v>
      </c>
      <c r="U124" s="128">
        <f>IFERROR(lifespans_all!V123*DTE_mission_minutes!V45,"-")</f>
        <v>0</v>
      </c>
      <c r="V124" s="128">
        <f>IFERROR(lifespans_all!W123*DTE_mission_minutes!W45,"-")</f>
        <v>0</v>
      </c>
    </row>
    <row r="125" spans="1:22" x14ac:dyDescent="0.25">
      <c r="A125" s="46" t="s">
        <v>52</v>
      </c>
      <c r="B125" s="47" t="s">
        <v>56</v>
      </c>
      <c r="C125" s="128">
        <f>IFERROR(lifespans_all!D124*DTE_mission_minutes!D46,"-")</f>
        <v>2140.4341038095235</v>
      </c>
      <c r="D125" s="128">
        <f>IFERROR(lifespans_all!E124*DTE_mission_minutes!E46,"-")</f>
        <v>2140.4341038095235</v>
      </c>
      <c r="E125" s="128">
        <f>IFERROR(lifespans_all!F124*DTE_mission_minutes!F46,"-")</f>
        <v>0</v>
      </c>
      <c r="F125" s="128">
        <f>IFERROR(lifespans_all!G124*DTE_mission_minutes!G46,"-")</f>
        <v>0</v>
      </c>
      <c r="G125" s="128">
        <f>IFERROR(lifespans_all!H124*DTE_mission_minutes!H46,"-")</f>
        <v>0</v>
      </c>
      <c r="H125" s="128">
        <f>IFERROR(lifespans_all!I124*DTE_mission_minutes!I46,"-")</f>
        <v>0</v>
      </c>
      <c r="I125" s="128">
        <f>IFERROR(lifespans_all!J124*DTE_mission_minutes!J46,"-")</f>
        <v>0</v>
      </c>
      <c r="J125" s="128">
        <f>IFERROR(lifespans_all!K124*DTE_mission_minutes!K46,"-")</f>
        <v>0</v>
      </c>
      <c r="K125" s="128">
        <f>IFERROR(lifespans_all!L124*DTE_mission_minutes!L46,"-")</f>
        <v>0</v>
      </c>
      <c r="L125" s="128">
        <f>IFERROR(lifespans_all!M124*DTE_mission_minutes!M46,"-")</f>
        <v>0</v>
      </c>
      <c r="M125" s="128">
        <f>IFERROR(lifespans_all!N124*DTE_mission_minutes!N46,"-")</f>
        <v>0</v>
      </c>
      <c r="N125" s="128">
        <f>IFERROR(lifespans_all!O124*DTE_mission_minutes!O46,"-")</f>
        <v>0</v>
      </c>
      <c r="O125" s="128">
        <f>IFERROR(lifespans_all!P124*DTE_mission_minutes!P46,"-")</f>
        <v>0</v>
      </c>
      <c r="P125" s="128">
        <f>IFERROR(lifespans_all!Q124*DTE_mission_minutes!Q46,"-")</f>
        <v>0</v>
      </c>
      <c r="Q125" s="128">
        <f>IFERROR(lifespans_all!R124*DTE_mission_minutes!R46,"-")</f>
        <v>0</v>
      </c>
      <c r="R125" s="128">
        <f>IFERROR(lifespans_all!S124*DTE_mission_minutes!S46,"-")</f>
        <v>0</v>
      </c>
      <c r="S125" s="128">
        <f>IFERROR(lifespans_all!T124*DTE_mission_minutes!T46,"-")</f>
        <v>0</v>
      </c>
      <c r="T125" s="128">
        <f>IFERROR(lifespans_all!U124*DTE_mission_minutes!U46,"-")</f>
        <v>0</v>
      </c>
      <c r="U125" s="128">
        <f>IFERROR(lifespans_all!V124*DTE_mission_minutes!V46,"-")</f>
        <v>0</v>
      </c>
      <c r="V125" s="128">
        <f>IFERROR(lifespans_all!W124*DTE_mission_minutes!W46,"-")</f>
        <v>0</v>
      </c>
    </row>
    <row r="126" spans="1:22" x14ac:dyDescent="0.25">
      <c r="A126" s="46" t="s">
        <v>53</v>
      </c>
      <c r="B126" s="47" t="s">
        <v>56</v>
      </c>
      <c r="C126" s="128">
        <f>IFERROR(lifespans_all!D125*DTE_mission_minutes!D47,"-")</f>
        <v>2140.4341038095235</v>
      </c>
      <c r="D126" s="128">
        <f>IFERROR(lifespans_all!E125*DTE_mission_minutes!E47,"-")</f>
        <v>2140.4341038095235</v>
      </c>
      <c r="E126" s="128">
        <f>IFERROR(lifespans_all!F125*DTE_mission_minutes!F47,"-")</f>
        <v>0</v>
      </c>
      <c r="F126" s="128">
        <f>IFERROR(lifespans_all!G125*DTE_mission_minutes!G47,"-")</f>
        <v>0</v>
      </c>
      <c r="G126" s="128">
        <f>IFERROR(lifespans_all!H125*DTE_mission_minutes!H47,"-")</f>
        <v>0</v>
      </c>
      <c r="H126" s="128">
        <f>IFERROR(lifespans_all!I125*DTE_mission_minutes!I47,"-")</f>
        <v>0</v>
      </c>
      <c r="I126" s="128">
        <f>IFERROR(lifespans_all!J125*DTE_mission_minutes!J47,"-")</f>
        <v>0</v>
      </c>
      <c r="J126" s="128">
        <f>IFERROR(lifespans_all!K125*DTE_mission_minutes!K47,"-")</f>
        <v>0</v>
      </c>
      <c r="K126" s="128">
        <f>IFERROR(lifespans_all!L125*DTE_mission_minutes!L47,"-")</f>
        <v>0</v>
      </c>
      <c r="L126" s="128">
        <f>IFERROR(lifespans_all!M125*DTE_mission_minutes!M47,"-")</f>
        <v>0</v>
      </c>
      <c r="M126" s="128">
        <f>IFERROR(lifespans_all!N125*DTE_mission_minutes!N47,"-")</f>
        <v>0</v>
      </c>
      <c r="N126" s="128">
        <f>IFERROR(lifespans_all!O125*DTE_mission_minutes!O47,"-")</f>
        <v>0</v>
      </c>
      <c r="O126" s="128">
        <f>IFERROR(lifespans_all!P125*DTE_mission_minutes!P47,"-")</f>
        <v>0</v>
      </c>
      <c r="P126" s="128">
        <f>IFERROR(lifespans_all!Q125*DTE_mission_minutes!Q47,"-")</f>
        <v>0</v>
      </c>
      <c r="Q126" s="128">
        <f>IFERROR(lifespans_all!R125*DTE_mission_minutes!R47,"-")</f>
        <v>0</v>
      </c>
      <c r="R126" s="128">
        <f>IFERROR(lifespans_all!S125*DTE_mission_minutes!S47,"-")</f>
        <v>0</v>
      </c>
      <c r="S126" s="128">
        <f>IFERROR(lifespans_all!T125*DTE_mission_minutes!T47,"-")</f>
        <v>0</v>
      </c>
      <c r="T126" s="128">
        <f>IFERROR(lifespans_all!U125*DTE_mission_minutes!U47,"-")</f>
        <v>0</v>
      </c>
      <c r="U126" s="128">
        <f>IFERROR(lifespans_all!V125*DTE_mission_minutes!V47,"-")</f>
        <v>0</v>
      </c>
      <c r="V126" s="128">
        <f>IFERROR(lifespans_all!W125*DTE_mission_minutes!W47,"-")</f>
        <v>0</v>
      </c>
    </row>
    <row r="127" spans="1:22" x14ac:dyDescent="0.25">
      <c r="A127" s="46" t="s">
        <v>54</v>
      </c>
      <c r="B127" s="47" t="s">
        <v>57</v>
      </c>
      <c r="C127" s="128">
        <f>IFERROR(lifespans_all!D126*DTE_mission_minutes!D48,"-")</f>
        <v>133409.35004928565</v>
      </c>
      <c r="D127" s="128">
        <f>IFERROR(lifespans_all!E126*DTE_mission_minutes!E48,"-")</f>
        <v>0</v>
      </c>
      <c r="E127" s="128">
        <f>IFERROR(lifespans_all!F126*DTE_mission_minutes!F48,"-")</f>
        <v>0</v>
      </c>
      <c r="F127" s="128">
        <f>IFERROR(lifespans_all!G126*DTE_mission_minutes!G48,"-")</f>
        <v>0</v>
      </c>
      <c r="G127" s="128">
        <f>IFERROR(lifespans_all!H126*DTE_mission_minutes!H48,"-")</f>
        <v>0</v>
      </c>
      <c r="H127" s="128">
        <f>IFERROR(lifespans_all!I126*DTE_mission_minutes!I48,"-")</f>
        <v>0</v>
      </c>
      <c r="I127" s="128">
        <f>IFERROR(lifespans_all!J126*DTE_mission_minutes!J48,"-")</f>
        <v>0</v>
      </c>
      <c r="J127" s="128">
        <f>IFERROR(lifespans_all!K126*DTE_mission_minutes!K48,"-")</f>
        <v>0</v>
      </c>
      <c r="K127" s="128">
        <f>IFERROR(lifespans_all!L126*DTE_mission_minutes!L48,"-")</f>
        <v>0</v>
      </c>
      <c r="L127" s="128">
        <f>IFERROR(lifespans_all!M126*DTE_mission_minutes!M48,"-")</f>
        <v>0</v>
      </c>
      <c r="M127" s="128">
        <f>IFERROR(lifespans_all!N126*DTE_mission_minutes!N48,"-")</f>
        <v>0</v>
      </c>
      <c r="N127" s="128">
        <f>IFERROR(lifespans_all!O126*DTE_mission_minutes!O48,"-")</f>
        <v>0</v>
      </c>
      <c r="O127" s="128">
        <f>IFERROR(lifespans_all!P126*DTE_mission_minutes!P48,"-")</f>
        <v>0</v>
      </c>
      <c r="P127" s="128">
        <f>IFERROR(lifespans_all!Q126*DTE_mission_minutes!Q48,"-")</f>
        <v>0</v>
      </c>
      <c r="Q127" s="128">
        <f>IFERROR(lifespans_all!R126*DTE_mission_minutes!R48,"-")</f>
        <v>0</v>
      </c>
      <c r="R127" s="128">
        <f>IFERROR(lifespans_all!S126*DTE_mission_minutes!S48,"-")</f>
        <v>0</v>
      </c>
      <c r="S127" s="128">
        <f>IFERROR(lifespans_all!T126*DTE_mission_minutes!T48,"-")</f>
        <v>0</v>
      </c>
      <c r="T127" s="128">
        <f>IFERROR(lifespans_all!U126*DTE_mission_minutes!U48,"-")</f>
        <v>0</v>
      </c>
      <c r="U127" s="128">
        <f>IFERROR(lifespans_all!V126*DTE_mission_minutes!V48,"-")</f>
        <v>0</v>
      </c>
      <c r="V127" s="128">
        <f>IFERROR(lifespans_all!W126*DTE_mission_minutes!W48,"-")</f>
        <v>0</v>
      </c>
    </row>
    <row r="128" spans="1:22" x14ac:dyDescent="0.25">
      <c r="A128" s="38" t="str">
        <f t="shared" ref="A128:B135" si="14">A49</f>
        <v>New</v>
      </c>
      <c r="B128" s="38" t="str">
        <f t="shared" si="14"/>
        <v>Human Space Flight</v>
      </c>
      <c r="C128" s="128">
        <f>IFERROR((lifespans_all!D127*DTE_mission_minutes!D49)*POWER(1+(Settings!$C$31/100),C$1-2021),"-")</f>
        <v>68628.918317111107</v>
      </c>
      <c r="D128" s="128">
        <f>IFERROR((lifespans_all!E127*DTE_mission_minutes!E49)*POWER(1+(Settings!$C$31/100),D$1-2021),"-")</f>
        <v>140002.99336690665</v>
      </c>
      <c r="E128" s="128">
        <f>IFERROR((lifespans_all!F127*DTE_mission_minutes!F49)*POWER(1+(Settings!$C$31/100),E$1-2021),"-")</f>
        <v>214204.57985136719</v>
      </c>
      <c r="F128" s="128">
        <f>IFERROR((lifespans_all!G127*DTE_mission_minutes!G49)*POWER(1+(Settings!$C$31/100),F$1-2021),"-")</f>
        <v>291318.22859785933</v>
      </c>
      <c r="G128" s="128">
        <f>IFERROR((lifespans_all!H127*DTE_mission_minutes!H49)*POWER(1+(Settings!$C$31/100),G$1-2021),"-")</f>
        <v>371430.74146227067</v>
      </c>
      <c r="H128" s="128">
        <f>IFERROR((lifespans_all!I127*DTE_mission_minutes!I49)*POWER(1+(Settings!$C$31/100),H$1-2021),"-")</f>
        <v>454631.22754981933</v>
      </c>
      <c r="I128" s="128">
        <f>IFERROR((lifespans_all!J127*DTE_mission_minutes!J49)*POWER(1+(Settings!$C$31/100),I$1-2021),"-")</f>
        <v>541011.16078428505</v>
      </c>
      <c r="J128" s="128">
        <f>IFERROR((lifespans_all!K127*DTE_mission_minutes!K49)*POWER(1+(Settings!$C$31/100),J$1-2021),"-")</f>
        <v>630664.43885710917</v>
      </c>
      <c r="K128" s="128">
        <f>IFERROR((lifespans_all!L127*DTE_mission_minutes!L49)*POWER(1+(Settings!$C$31/100),K$1-2021),"-")</f>
        <v>723687.44358853286</v>
      </c>
      <c r="L128" s="128">
        <f>IFERROR((lifespans_all!M127*DTE_mission_minutes!M49)*POWER(1+(Settings!$C$31/100),L$1-2021),"-")</f>
        <v>820179.1027336705</v>
      </c>
      <c r="M128" s="128">
        <f>IFERROR((lifespans_all!N127*DTE_mission_minutes!N49)*POWER(1+(Settings!$C$31/100),M$1-2021),"-")</f>
        <v>1254874.0271825162</v>
      </c>
      <c r="N128" s="128">
        <f>IFERROR((lifespans_all!O127*DTE_mission_minutes!O49)*POWER(1+(Settings!$C$31/100),N$1-2021),"-")</f>
        <v>1279971.5077261662</v>
      </c>
      <c r="O128" s="128">
        <f>IFERROR((lifespans_all!P127*DTE_mission_minutes!P49)*POWER(1+(Settings!$C$31/100),O$1-2021),"-")</f>
        <v>1305570.9378806897</v>
      </c>
      <c r="P128" s="128">
        <f>IFERROR((lifespans_all!Q127*DTE_mission_minutes!Q49)*POWER(1+(Settings!$C$31/100),P$1-2021),"-")</f>
        <v>1331682.3566383035</v>
      </c>
      <c r="Q128" s="128">
        <f>IFERROR((lifespans_all!R127*DTE_mission_minutes!R49)*POWER(1+(Settings!$C$31/100),Q$1-2021),"-")</f>
        <v>1358316.0037710697</v>
      </c>
      <c r="R128" s="128">
        <f>IFERROR((lifespans_all!S127*DTE_mission_minutes!S49)*POWER(1+(Settings!$C$31/100),R$1-2021),"-")</f>
        <v>1385482.3238464906</v>
      </c>
      <c r="S128" s="128">
        <f>IFERROR((lifespans_all!T127*DTE_mission_minutes!T49)*POWER(1+(Settings!$C$31/100),S$1-2021),"-")</f>
        <v>1413191.9703234208</v>
      </c>
      <c r="T128" s="128">
        <f>IFERROR((lifespans_all!U127*DTE_mission_minutes!U49)*POWER(1+(Settings!$C$31/100),T$1-2021),"-")</f>
        <v>1441455.8097298893</v>
      </c>
      <c r="U128" s="128">
        <f>IFERROR((lifespans_all!V127*DTE_mission_minutes!V49)*POWER(1+(Settings!$C$31/100),U$1-2021),"-")</f>
        <v>1470284.9259244869</v>
      </c>
      <c r="V128" s="128">
        <f>IFERROR((lifespans_all!W127*DTE_mission_minutes!W49)*POWER(1+(Settings!$C$31/100),V$1-2021),"-")</f>
        <v>1499690.6244429767</v>
      </c>
    </row>
    <row r="129" spans="1:22" x14ac:dyDescent="0.25">
      <c r="A129" s="38" t="str">
        <f t="shared" si="14"/>
        <v>New</v>
      </c>
      <c r="B129" s="38" t="str">
        <f t="shared" si="14"/>
        <v>Near Earth Robotic - LEO Science</v>
      </c>
      <c r="C129" s="128">
        <f>IFERROR((lifespans_all!D128*DTE_mission_minutes!D50)*POWER(1+(Settings!$C$31/100),C$1-2021),"-")</f>
        <v>37039.768056666668</v>
      </c>
      <c r="D129" s="128">
        <f>IFERROR((lifespans_all!E128*DTE_mission_minutes!E50)*POWER(1+(Settings!$C$31/100),D$1-2021),"-")</f>
        <v>123040.7022152</v>
      </c>
      <c r="E129" s="128">
        <f>IFERROR((lifespans_all!F128*DTE_mission_minutes!F50)*POWER(1+(Settings!$C$31/100),E$1-2021),"-")</f>
        <v>163062.00045129596</v>
      </c>
      <c r="F129" s="128">
        <f>IFERROR((lifespans_all!G128*DTE_mission_minutes!G50)*POWER(1+(Settings!$C$31/100),F$1-2021),"-")</f>
        <v>299680.5433812362</v>
      </c>
      <c r="G129" s="128">
        <f>IFERROR((lifespans_all!H128*DTE_mission_minutes!H50)*POWER(1+(Settings!$C$31/100),G$1-2021),"-")</f>
        <v>432557.76544650132</v>
      </c>
      <c r="H129" s="128">
        <f>IFERROR((lifespans_all!I128*DTE_mission_minutes!I50)*POWER(1+(Settings!$C$31/100),H$1-2021),"-")</f>
        <v>570630.20417702454</v>
      </c>
      <c r="I129" s="128">
        <f>IFERROR((lifespans_all!J128*DTE_mission_minutes!J50)*POWER(1+(Settings!$C$31/100),I$1-2021),"-")</f>
        <v>714052.51735059021</v>
      </c>
      <c r="J129" s="128">
        <f>IFERROR((lifespans_all!K128*DTE_mission_minutes!K50)*POWER(1+(Settings!$C$31/100),J$1-2021),"-")</f>
        <v>832381.2202258308</v>
      </c>
      <c r="K129" s="128">
        <f>IFERROR((lifespans_all!L128*DTE_mission_minutes!L50)*POWER(1+(Settings!$C$31/100),K$1-2021),"-")</f>
        <v>892728.85869220353</v>
      </c>
      <c r="L129" s="128">
        <f>IFERROR((lifespans_all!M128*DTE_mission_minutes!M50)*POWER(1+(Settings!$C$31/100),L$1-2021),"-")</f>
        <v>955157.45020914078</v>
      </c>
      <c r="M129" s="128">
        <f>IFERROR((lifespans_all!N128*DTE_mission_minutes!N50)*POWER(1+(Settings!$C$31/100),M$1-2021),"-")</f>
        <v>974260.59921332356</v>
      </c>
      <c r="N129" s="128">
        <f>IFERROR((lifespans_all!O128*DTE_mission_minutes!O50)*POWER(1+(Settings!$C$31/100),N$1-2021),"-")</f>
        <v>993745.81119758985</v>
      </c>
      <c r="O129" s="128">
        <f>IFERROR((lifespans_all!P128*DTE_mission_minutes!P50)*POWER(1+(Settings!$C$31/100),O$1-2021),"-")</f>
        <v>1013620.7274215418</v>
      </c>
      <c r="P129" s="128">
        <f>IFERROR((lifespans_all!Q128*DTE_mission_minutes!Q50)*POWER(1+(Settings!$C$31/100),P$1-2021),"-")</f>
        <v>1033893.1419699726</v>
      </c>
      <c r="Q129" s="128">
        <f>IFERROR((lifespans_all!R128*DTE_mission_minutes!R50)*POWER(1+(Settings!$C$31/100),Q$1-2021),"-")</f>
        <v>1054571.0048093721</v>
      </c>
      <c r="R129" s="128">
        <f>IFERROR((lifespans_all!S128*DTE_mission_minutes!S50)*POWER(1+(Settings!$C$31/100),R$1-2021),"-")</f>
        <v>1075662.4249055593</v>
      </c>
      <c r="S129" s="128">
        <f>IFERROR((lifespans_all!T128*DTE_mission_minutes!T50)*POWER(1+(Settings!$C$31/100),S$1-2021),"-")</f>
        <v>1097175.6734036708</v>
      </c>
      <c r="T129" s="128">
        <f>IFERROR((lifespans_all!U128*DTE_mission_minutes!U50)*POWER(1+(Settings!$C$31/100),T$1-2021),"-")</f>
        <v>1119119.1868717442</v>
      </c>
      <c r="U129" s="128">
        <f>IFERROR((lifespans_all!V128*DTE_mission_minutes!V50)*POWER(1+(Settings!$C$31/100),U$1-2021),"-")</f>
        <v>1141501.5706091791</v>
      </c>
      <c r="V129" s="128">
        <f>IFERROR((lifespans_all!W128*DTE_mission_minutes!W50)*POWER(1+(Settings!$C$31/100),V$1-2021),"-")</f>
        <v>1164331.6020213626</v>
      </c>
    </row>
    <row r="130" spans="1:22" x14ac:dyDescent="0.25">
      <c r="A130" s="38" t="str">
        <f t="shared" si="14"/>
        <v>New</v>
      </c>
      <c r="B130" s="38" t="str">
        <f t="shared" si="14"/>
        <v>Near Earth Robotic - GEO and Near Earth</v>
      </c>
      <c r="C130" s="128">
        <f>IFERROR((lifespans_all!D129*DTE_mission_minutes!D51)*POWER(1+(Settings!$C$31/100),C$1-2021),"-")</f>
        <v>1070.2170519047618</v>
      </c>
      <c r="D130" s="128">
        <f>IFERROR((lifespans_all!E129*DTE_mission_minutes!E51)*POWER(1+(Settings!$C$31/100),D$1-2021),"-")</f>
        <v>2183.2427858857141</v>
      </c>
      <c r="E130" s="128">
        <f>IFERROR((lifespans_all!F129*DTE_mission_minutes!F51)*POWER(1+(Settings!$C$31/100),E$1-2021),"-")</f>
        <v>12247.992028818857</v>
      </c>
      <c r="F130" s="128">
        <f>IFERROR((lifespans_all!G129*DTE_mission_minutes!G51)*POWER(1+(Settings!$C$31/100),F$1-2021),"-")</f>
        <v>13628.67476661298</v>
      </c>
      <c r="G130" s="128">
        <f>IFERROR((lifespans_all!H129*DTE_mission_minutes!H51)*POWER(1+(Settings!$C$31/100),G$1-2021),"-")</f>
        <v>15059.685617107343</v>
      </c>
      <c r="H130" s="128">
        <f>IFERROR((lifespans_all!I129*DTE_mission_minutes!I51)*POWER(1+(Settings!$C$31/100),H$1-2021),"-")</f>
        <v>16542.485431714838</v>
      </c>
      <c r="I130" s="128">
        <f>IFERROR((lifespans_all!J129*DTE_mission_minutes!J51)*POWER(1+(Settings!$C$31/100),I$1-2021),"-")</f>
        <v>18078.573364659787</v>
      </c>
      <c r="J130" s="128">
        <f>IFERROR((lifespans_all!K129*DTE_mission_minutes!K51)*POWER(1+(Settings!$C$31/100),J$1-2021),"-")</f>
        <v>19669.487820749844</v>
      </c>
      <c r="K130" s="128">
        <f>IFERROR((lifespans_all!L129*DTE_mission_minutes!L51)*POWER(1+(Settings!$C$31/100),K$1-2021),"-")</f>
        <v>21316.807425737643</v>
      </c>
      <c r="L130" s="128">
        <f>IFERROR((lifespans_all!M129*DTE_mission_minutes!M51)*POWER(1+(Settings!$C$31/100),L$1-2021),"-")</f>
        <v>23022.152019796657</v>
      </c>
      <c r="M130" s="128">
        <f>IFERROR((lifespans_all!N129*DTE_mission_minutes!N51)*POWER(1+(Settings!$C$31/100),M$1-2021),"-")</f>
        <v>23482.595060192591</v>
      </c>
      <c r="N130" s="128">
        <f>IFERROR((lifespans_all!O129*DTE_mission_minutes!O51)*POWER(1+(Settings!$C$31/100),N$1-2021),"-")</f>
        <v>23952.246961396439</v>
      </c>
      <c r="O130" s="128">
        <f>IFERROR((lifespans_all!P129*DTE_mission_minutes!P51)*POWER(1+(Settings!$C$31/100),O$1-2021),"-")</f>
        <v>24431.291900624368</v>
      </c>
      <c r="P130" s="128">
        <f>IFERROR((lifespans_all!Q129*DTE_mission_minutes!Q51)*POWER(1+(Settings!$C$31/100),P$1-2021),"-")</f>
        <v>24919.917738636857</v>
      </c>
      <c r="Q130" s="128">
        <f>IFERROR((lifespans_all!R129*DTE_mission_minutes!R51)*POWER(1+(Settings!$C$31/100),Q$1-2021),"-")</f>
        <v>25418.316093409594</v>
      </c>
      <c r="R130" s="128">
        <f>IFERROR((lifespans_all!S129*DTE_mission_minutes!S51)*POWER(1+(Settings!$C$31/100),R$1-2021),"-")</f>
        <v>25926.682415277781</v>
      </c>
      <c r="S130" s="128">
        <f>IFERROR((lifespans_all!T129*DTE_mission_minutes!T51)*POWER(1+(Settings!$C$31/100),S$1-2021),"-")</f>
        <v>26445.216063583339</v>
      </c>
      <c r="T130" s="128">
        <f>IFERROR((lifespans_all!U129*DTE_mission_minutes!U51)*POWER(1+(Settings!$C$31/100),T$1-2021),"-")</f>
        <v>26974.12038485501</v>
      </c>
      <c r="U130" s="128">
        <f>IFERROR((lifespans_all!V129*DTE_mission_minutes!V51)*POWER(1+(Settings!$C$31/100),U$1-2021),"-")</f>
        <v>27513.602792552105</v>
      </c>
      <c r="V130" s="128">
        <f>IFERROR((lifespans_all!W129*DTE_mission_minutes!W51)*POWER(1+(Settings!$C$31/100),V$1-2021),"-")</f>
        <v>28063.874848403149</v>
      </c>
    </row>
    <row r="131" spans="1:22" x14ac:dyDescent="0.25">
      <c r="A131" s="38" t="str">
        <f t="shared" si="14"/>
        <v>New</v>
      </c>
      <c r="B131" s="38" t="str">
        <f t="shared" si="14"/>
        <v>Deep Space Robotic</v>
      </c>
      <c r="C131" s="128" t="str">
        <f>IFERROR((lifespans_all!D130*DTE_mission_minutes!D52)*POWER(1+(Settings!$C$31/100),C$1-2021),"-")</f>
        <v>-</v>
      </c>
      <c r="D131" s="128" t="str">
        <f>IFERROR((lifespans_all!E130*DTE_mission_minutes!E52)*POWER(1+(Settings!$C$31/100),D$1-2021),"-")</f>
        <v>-</v>
      </c>
      <c r="E131" s="128" t="str">
        <f>IFERROR((lifespans_all!F130*DTE_mission_minutes!F52)*POWER(1+(Settings!$C$31/100),E$1-2021),"-")</f>
        <v>-</v>
      </c>
      <c r="F131" s="128" t="str">
        <f>IFERROR((lifespans_all!G130*DTE_mission_minutes!G52)*POWER(1+(Settings!$C$31/100),F$1-2021),"-")</f>
        <v>-</v>
      </c>
      <c r="G131" s="128" t="str">
        <f>IFERROR((lifespans_all!H130*DTE_mission_minutes!H52)*POWER(1+(Settings!$C$31/100),G$1-2021),"-")</f>
        <v>-</v>
      </c>
      <c r="H131" s="128" t="str">
        <f>IFERROR((lifespans_all!I130*DTE_mission_minutes!I52)*POWER(1+(Settings!$C$31/100),H$1-2021),"-")</f>
        <v>-</v>
      </c>
      <c r="I131" s="128" t="str">
        <f>IFERROR((lifespans_all!J130*DTE_mission_minutes!J52)*POWER(1+(Settings!$C$31/100),I$1-2021),"-")</f>
        <v>-</v>
      </c>
      <c r="J131" s="128" t="str">
        <f>IFERROR((lifespans_all!K130*DTE_mission_minutes!K52)*POWER(1+(Settings!$C$31/100),J$1-2021),"-")</f>
        <v>-</v>
      </c>
      <c r="K131" s="128" t="str">
        <f>IFERROR((lifespans_all!L130*DTE_mission_minutes!L52)*POWER(1+(Settings!$C$31/100),K$1-2021),"-")</f>
        <v>-</v>
      </c>
      <c r="L131" s="128" t="str">
        <f>IFERROR((lifespans_all!M130*DTE_mission_minutes!M52)*POWER(1+(Settings!$C$31/100),L$1-2021),"-")</f>
        <v>-</v>
      </c>
      <c r="M131" s="128" t="str">
        <f>IFERROR((lifespans_all!N130*DTE_mission_minutes!N52)*POWER(1+(Settings!$C$31/100),M$1-2021),"-")</f>
        <v>-</v>
      </c>
      <c r="N131" s="128" t="str">
        <f>IFERROR((lifespans_all!O130*DTE_mission_minutes!O52)*POWER(1+(Settings!$C$31/100),N$1-2021),"-")</f>
        <v>-</v>
      </c>
      <c r="O131" s="128" t="str">
        <f>IFERROR((lifespans_all!P130*DTE_mission_minutes!P52)*POWER(1+(Settings!$C$31/100),O$1-2021),"-")</f>
        <v>-</v>
      </c>
      <c r="P131" s="128" t="str">
        <f>IFERROR((lifespans_all!Q130*DTE_mission_minutes!Q52)*POWER(1+(Settings!$C$31/100),P$1-2021),"-")</f>
        <v>-</v>
      </c>
      <c r="Q131" s="128" t="str">
        <f>IFERROR((lifespans_all!R130*DTE_mission_minutes!R52)*POWER(1+(Settings!$C$31/100),Q$1-2021),"-")</f>
        <v>-</v>
      </c>
      <c r="R131" s="128" t="str">
        <f>IFERROR((lifespans_all!S130*DTE_mission_minutes!S52)*POWER(1+(Settings!$C$31/100),R$1-2021),"-")</f>
        <v>-</v>
      </c>
      <c r="S131" s="128" t="str">
        <f>IFERROR((lifespans_all!T130*DTE_mission_minutes!T52)*POWER(1+(Settings!$C$31/100),S$1-2021),"-")</f>
        <v>-</v>
      </c>
      <c r="T131" s="128" t="str">
        <f>IFERROR((lifespans_all!U130*DTE_mission_minutes!U52)*POWER(1+(Settings!$C$31/100),T$1-2021),"-")</f>
        <v>-</v>
      </c>
      <c r="U131" s="128" t="str">
        <f>IFERROR((lifespans_all!V130*DTE_mission_minutes!V52)*POWER(1+(Settings!$C$31/100),U$1-2021),"-")</f>
        <v>-</v>
      </c>
      <c r="V131" s="128" t="str">
        <f>IFERROR((lifespans_all!W130*DTE_mission_minutes!W52)*POWER(1+(Settings!$C$31/100),V$1-2021),"-")</f>
        <v>-</v>
      </c>
    </row>
    <row r="132" spans="1:22" x14ac:dyDescent="0.25">
      <c r="A132" s="38" t="str">
        <f t="shared" si="14"/>
        <v>New</v>
      </c>
      <c r="B132" s="38" t="str">
        <f t="shared" si="14"/>
        <v>Near Earth Robotic - Low Latency &amp; Complex Needs</v>
      </c>
      <c r="C132" s="128">
        <f>IFERROR((lifespans_all!D131*DTE_mission_minutes!D53)*POWER(1+(Settings!$C$31/100),C$1-2021),"-")</f>
        <v>0</v>
      </c>
      <c r="D132" s="128">
        <f>IFERROR((lifespans_all!E131*DTE_mission_minutes!E53)*POWER(1+(Settings!$C$31/100),D$1-2021),"-")</f>
        <v>0</v>
      </c>
      <c r="E132" s="128">
        <f>IFERROR((lifespans_all!F131*DTE_mission_minutes!F53)*POWER(1+(Settings!$C$31/100),E$1-2021),"-")</f>
        <v>0</v>
      </c>
      <c r="F132" s="128">
        <f>IFERROR((lifespans_all!G131*DTE_mission_minutes!G53)*POWER(1+(Settings!$C$31/100),F$1-2021),"-")</f>
        <v>0</v>
      </c>
      <c r="G132" s="128">
        <f>IFERROR((lifespans_all!H131*DTE_mission_minutes!H53)*POWER(1+(Settings!$C$31/100),G$1-2021),"-")</f>
        <v>0</v>
      </c>
      <c r="H132" s="128">
        <f>IFERROR((lifespans_all!I131*DTE_mission_minutes!I53)*POWER(1+(Settings!$C$31/100),H$1-2021),"-")</f>
        <v>0</v>
      </c>
      <c r="I132" s="128">
        <f>IFERROR((lifespans_all!J131*DTE_mission_minutes!J53)*POWER(1+(Settings!$C$31/100),I$1-2021),"-")</f>
        <v>0</v>
      </c>
      <c r="J132" s="128">
        <f>IFERROR((lifespans_all!K131*DTE_mission_minutes!K53)*POWER(1+(Settings!$C$31/100),J$1-2021),"-")</f>
        <v>0</v>
      </c>
      <c r="K132" s="128">
        <f>IFERROR((lifespans_all!L131*DTE_mission_minutes!L53)*POWER(1+(Settings!$C$31/100),K$1-2021),"-")</f>
        <v>0</v>
      </c>
      <c r="L132" s="128">
        <f>IFERROR((lifespans_all!M131*DTE_mission_minutes!M53)*POWER(1+(Settings!$C$31/100),L$1-2021),"-")</f>
        <v>0</v>
      </c>
      <c r="M132" s="128">
        <f>IFERROR((lifespans_all!N131*DTE_mission_minutes!N53)*POWER(1+(Settings!$C$31/100),M$1-2021),"-")</f>
        <v>0</v>
      </c>
      <c r="N132" s="128">
        <f>IFERROR((lifespans_all!O131*DTE_mission_minutes!O53)*POWER(1+(Settings!$C$31/100),N$1-2021),"-")</f>
        <v>0</v>
      </c>
      <c r="O132" s="128">
        <f>IFERROR((lifespans_all!P131*DTE_mission_minutes!P53)*POWER(1+(Settings!$C$31/100),O$1-2021),"-")</f>
        <v>0</v>
      </c>
      <c r="P132" s="128">
        <f>IFERROR((lifespans_all!Q131*DTE_mission_minutes!Q53)*POWER(1+(Settings!$C$31/100),P$1-2021),"-")</f>
        <v>0</v>
      </c>
      <c r="Q132" s="128">
        <f>IFERROR((lifespans_all!R131*DTE_mission_minutes!R53)*POWER(1+(Settings!$C$31/100),Q$1-2021),"-")</f>
        <v>0</v>
      </c>
      <c r="R132" s="128">
        <f>IFERROR((lifespans_all!S131*DTE_mission_minutes!S53)*POWER(1+(Settings!$C$31/100),R$1-2021),"-")</f>
        <v>0</v>
      </c>
      <c r="S132" s="128">
        <f>IFERROR((lifespans_all!T131*DTE_mission_minutes!T53)*POWER(1+(Settings!$C$31/100),S$1-2021),"-")</f>
        <v>0</v>
      </c>
      <c r="T132" s="128">
        <f>IFERROR((lifespans_all!U131*DTE_mission_minutes!U53)*POWER(1+(Settings!$C$31/100),T$1-2021),"-")</f>
        <v>0</v>
      </c>
      <c r="U132" s="128">
        <f>IFERROR((lifespans_all!V131*DTE_mission_minutes!V53)*POWER(1+(Settings!$C$31/100),U$1-2021),"-")</f>
        <v>0</v>
      </c>
      <c r="V132" s="128">
        <f>IFERROR((lifespans_all!W131*DTE_mission_minutes!W53)*POWER(1+(Settings!$C$31/100),V$1-2021),"-")</f>
        <v>0</v>
      </c>
    </row>
    <row r="133" spans="1:22" x14ac:dyDescent="0.25">
      <c r="A133" s="38" t="str">
        <f t="shared" si="14"/>
        <v>New</v>
      </c>
      <c r="B133" s="38" t="str">
        <f t="shared" si="14"/>
        <v>Mission Operations</v>
      </c>
      <c r="C133" s="128" t="str">
        <f>IFERROR((lifespans_all!D132*DTE_mission_minutes!D54)*POWER(1+(Settings!$C$31/100),C$1-2021),"-")</f>
        <v>-</v>
      </c>
      <c r="D133" s="128" t="str">
        <f>IFERROR((lifespans_all!E132*DTE_mission_minutes!E54)*POWER(1+(Settings!$C$31/100),D$1-2021),"-")</f>
        <v>-</v>
      </c>
      <c r="E133" s="128" t="str">
        <f>IFERROR((lifespans_all!F132*DTE_mission_minutes!F54)*POWER(1+(Settings!$C$31/100),E$1-2021),"-")</f>
        <v>-</v>
      </c>
      <c r="F133" s="128" t="str">
        <f>IFERROR((lifespans_all!G132*DTE_mission_minutes!G54)*POWER(1+(Settings!$C$31/100),F$1-2021),"-")</f>
        <v>-</v>
      </c>
      <c r="G133" s="128" t="str">
        <f>IFERROR((lifespans_all!H132*DTE_mission_minutes!H54)*POWER(1+(Settings!$C$31/100),G$1-2021),"-")</f>
        <v>-</v>
      </c>
      <c r="H133" s="128" t="str">
        <f>IFERROR((lifespans_all!I132*DTE_mission_minutes!I54)*POWER(1+(Settings!$C$31/100),H$1-2021),"-")</f>
        <v>-</v>
      </c>
      <c r="I133" s="128" t="str">
        <f>IFERROR((lifespans_all!J132*DTE_mission_minutes!J54)*POWER(1+(Settings!$C$31/100),I$1-2021),"-")</f>
        <v>-</v>
      </c>
      <c r="J133" s="128" t="str">
        <f>IFERROR((lifespans_all!K132*DTE_mission_minutes!K54)*POWER(1+(Settings!$C$31/100),J$1-2021),"-")</f>
        <v>-</v>
      </c>
      <c r="K133" s="128" t="str">
        <f>IFERROR((lifespans_all!L132*DTE_mission_minutes!L54)*POWER(1+(Settings!$C$31/100),K$1-2021),"-")</f>
        <v>-</v>
      </c>
      <c r="L133" s="128" t="str">
        <f>IFERROR((lifespans_all!M132*DTE_mission_minutes!M54)*POWER(1+(Settings!$C$31/100),L$1-2021),"-")</f>
        <v>-</v>
      </c>
      <c r="M133" s="128" t="str">
        <f>IFERROR((lifespans_all!N132*DTE_mission_minutes!N54)*POWER(1+(Settings!$C$31/100),M$1-2021),"-")</f>
        <v>-</v>
      </c>
      <c r="N133" s="128" t="str">
        <f>IFERROR((lifespans_all!O132*DTE_mission_minutes!O54)*POWER(1+(Settings!$C$31/100),N$1-2021),"-")</f>
        <v>-</v>
      </c>
      <c r="O133" s="128" t="str">
        <f>IFERROR((lifespans_all!P132*DTE_mission_minutes!P54)*POWER(1+(Settings!$C$31/100),O$1-2021),"-")</f>
        <v>-</v>
      </c>
      <c r="P133" s="128" t="str">
        <f>IFERROR((lifespans_all!Q132*DTE_mission_minutes!Q54)*POWER(1+(Settings!$C$31/100),P$1-2021),"-")</f>
        <v>-</v>
      </c>
      <c r="Q133" s="128" t="str">
        <f>IFERROR((lifespans_all!R132*DTE_mission_minutes!R54)*POWER(1+(Settings!$C$31/100),Q$1-2021),"-")</f>
        <v>-</v>
      </c>
      <c r="R133" s="128" t="str">
        <f>IFERROR((lifespans_all!S132*DTE_mission_minutes!S54)*POWER(1+(Settings!$C$31/100),R$1-2021),"-")</f>
        <v>-</v>
      </c>
      <c r="S133" s="128" t="str">
        <f>IFERROR((lifespans_all!T132*DTE_mission_minutes!T54)*POWER(1+(Settings!$C$31/100),S$1-2021),"-")</f>
        <v>-</v>
      </c>
      <c r="T133" s="128" t="str">
        <f>IFERROR((lifespans_all!U132*DTE_mission_minutes!U54)*POWER(1+(Settings!$C$31/100),T$1-2021),"-")</f>
        <v>-</v>
      </c>
      <c r="U133" s="128" t="str">
        <f>IFERROR((lifespans_all!V132*DTE_mission_minutes!V54)*POWER(1+(Settings!$C$31/100),U$1-2021),"-")</f>
        <v>-</v>
      </c>
      <c r="V133" s="128" t="str">
        <f>IFERROR((lifespans_all!W132*DTE_mission_minutes!W54)*POWER(1+(Settings!$C$31/100),V$1-2021),"-")</f>
        <v>-</v>
      </c>
    </row>
    <row r="134" spans="1:22" x14ac:dyDescent="0.25">
      <c r="A134" s="38" t="str">
        <f t="shared" si="14"/>
        <v>New</v>
      </c>
      <c r="B134" s="38" t="str">
        <f t="shared" si="14"/>
        <v>Launch Events</v>
      </c>
      <c r="C134" s="128">
        <f>IFERROR((lifespans_all!D133*DTE_mission_minutes!D55)*POWER(1+(Settings!$C$31/100),C$1-2021),"-")</f>
        <v>288.44540977777774</v>
      </c>
      <c r="D134" s="128">
        <f>IFERROR((lifespans_all!E133*DTE_mission_minutes!E55)*POWER(1+(Settings!$C$31/100),D$1-2021),"-")</f>
        <v>588.42863594666665</v>
      </c>
      <c r="E134" s="128">
        <f>IFERROR((lifespans_all!F133*DTE_mission_minutes!F55)*POWER(1+(Settings!$C$31/100),E$1-2021),"-")</f>
        <v>900.29581299840004</v>
      </c>
      <c r="F134" s="128">
        <f>IFERROR((lifespans_all!G133*DTE_mission_minutes!G55)*POWER(1+(Settings!$C$31/100),F$1-2021),"-")</f>
        <v>1224.4023056778237</v>
      </c>
      <c r="G134" s="128">
        <f>IFERROR((lifespans_all!H133*DTE_mission_minutes!H55)*POWER(1+(Settings!$C$31/100),G$1-2021),"-")</f>
        <v>2341.6694096088381</v>
      </c>
      <c r="H134" s="128">
        <f>IFERROR((lifespans_all!I133*DTE_mission_minutes!I55)*POWER(1+(Settings!$C$31/100),H$1-2021),"-")</f>
        <v>2706.9698375078169</v>
      </c>
      <c r="I134" s="128">
        <f>IFERROR((lifespans_all!J133*DTE_mission_minutes!J55)*POWER(1+(Settings!$C$31/100),I$1-2021),"-")</f>
        <v>3085.9456147589112</v>
      </c>
      <c r="J134" s="128">
        <f>IFERROR((lifespans_all!K133*DTE_mission_minutes!K55)*POWER(1+(Settings!$C$31/100),J$1-2021),"-")</f>
        <v>3478.9976351650453</v>
      </c>
      <c r="K134" s="128">
        <f>IFERROR((lifespans_all!L133*DTE_mission_minutes!L55)*POWER(1+(Settings!$C$31/100),K$1-2021),"-")</f>
        <v>3886.5373581415229</v>
      </c>
      <c r="L134" s="128">
        <f>IFERROR((lifespans_all!M133*DTE_mission_minutes!M55)*POWER(1+(Settings!$C$31/100),L$1-2021),"-")</f>
        <v>4308.9870709829929</v>
      </c>
      <c r="M134" s="128">
        <f>IFERROR((lifespans_all!N133*DTE_mission_minutes!N55)*POWER(1+(Settings!$C$31/100),M$1-2021),"-")</f>
        <v>4395.1668124026528</v>
      </c>
      <c r="N134" s="128">
        <f>IFERROR((lifespans_all!O133*DTE_mission_minutes!O55)*POWER(1+(Settings!$C$31/100),N$1-2021),"-")</f>
        <v>4483.0701486507051</v>
      </c>
      <c r="O134" s="128">
        <f>IFERROR((lifespans_all!P133*DTE_mission_minutes!P55)*POWER(1+(Settings!$C$31/100),O$1-2021),"-")</f>
        <v>4572.7315516237195</v>
      </c>
      <c r="P134" s="128">
        <f>IFERROR((lifespans_all!Q133*DTE_mission_minutes!Q55)*POWER(1+(Settings!$C$31/100),P$1-2021),"-")</f>
        <v>4664.1861826561944</v>
      </c>
      <c r="Q134" s="128">
        <f>IFERROR((lifespans_all!R133*DTE_mission_minutes!R55)*POWER(1+(Settings!$C$31/100),Q$1-2021),"-")</f>
        <v>4757.4699063093185</v>
      </c>
      <c r="R134" s="128">
        <f>IFERROR((lifespans_all!S133*DTE_mission_minutes!S55)*POWER(1+(Settings!$C$31/100),R$1-2021),"-")</f>
        <v>4852.6193044355032</v>
      </c>
      <c r="S134" s="128">
        <f>IFERROR((lifespans_all!T133*DTE_mission_minutes!T55)*POWER(1+(Settings!$C$31/100),S$1-2021),"-")</f>
        <v>4949.6716905242147</v>
      </c>
      <c r="T134" s="128">
        <f>IFERROR((lifespans_all!U133*DTE_mission_minutes!U55)*POWER(1+(Settings!$C$31/100),T$1-2021),"-")</f>
        <v>5048.6651243346987</v>
      </c>
      <c r="U134" s="128">
        <f>IFERROR((lifespans_all!V133*DTE_mission_minutes!V55)*POWER(1+(Settings!$C$31/100),U$1-2021),"-")</f>
        <v>5149.6384268213924</v>
      </c>
      <c r="V134" s="128">
        <f>IFERROR((lifespans_all!W133*DTE_mission_minutes!W55)*POWER(1+(Settings!$C$31/100),V$1-2021),"-")</f>
        <v>5252.6311953578197</v>
      </c>
    </row>
    <row r="135" spans="1:22" x14ac:dyDescent="0.25">
      <c r="A135" s="38" t="str">
        <f t="shared" si="14"/>
        <v>New</v>
      </c>
      <c r="B135" s="38" t="str">
        <f t="shared" si="14"/>
        <v>Terrestrial &amp; Aerial</v>
      </c>
      <c r="C135" s="128">
        <f>IFERROR((lifespans_all!D134*DTE_mission_minutes!D56)*POWER(1+(Settings!$C$31/100),C$1-2021),"-")</f>
        <v>17890.76756733334</v>
      </c>
      <c r="D135" s="128">
        <f>IFERROR((lifespans_all!E134*DTE_mission_minutes!E56)*POWER(1+(Settings!$C$31/100),D$1-2021),"-")</f>
        <v>127740.08043076003</v>
      </c>
      <c r="E135" s="128">
        <f>IFERROR((lifespans_all!F134*DTE_mission_minutes!F56)*POWER(1+(Settings!$C$31/100),E$1-2021),"-")</f>
        <v>148908.43661642887</v>
      </c>
      <c r="F135" s="128">
        <f>IFERROR((lifespans_all!G134*DTE_mission_minutes!G56)*POWER(1+(Settings!$C$31/100),F$1-2021),"-")</f>
        <v>170872.43101735209</v>
      </c>
      <c r="G135" s="128">
        <f>IFERROR((lifespans_all!H134*DTE_mission_minutes!H56)*POWER(1+(Settings!$C$31/100),G$1-2021),"-")</f>
        <v>193655.4218196657</v>
      </c>
      <c r="H135" s="128">
        <f>IFERROR((lifespans_all!I134*DTE_mission_minutes!I56)*POWER(1+(Settings!$C$31/100),H$1-2021),"-")</f>
        <v>316045.64840969449</v>
      </c>
      <c r="I135" s="128">
        <f>IFERROR((lifespans_all!J134*DTE_mission_minutes!J56)*POWER(1+(Settings!$C$31/100),I$1-2021),"-")</f>
        <v>342514.47146400635</v>
      </c>
      <c r="J135" s="128">
        <f>IFERROR((lifespans_all!K134*DTE_mission_minutes!K56)*POWER(1+(Settings!$C$31/100),J$1-2021),"-")</f>
        <v>369915.62918112671</v>
      </c>
      <c r="K135" s="128">
        <f>IFERROR((lifespans_all!L134*DTE_mission_minutes!L56)*POWER(1+(Settings!$C$31/100),K$1-2021),"-")</f>
        <v>398275.82741834648</v>
      </c>
      <c r="L135" s="128">
        <f>IFERROR((lifespans_all!M134*DTE_mission_minutes!M56)*POWER(1+(Settings!$C$31/100),L$1-2021),"-")</f>
        <v>427622.46733338258</v>
      </c>
      <c r="M135" s="128">
        <f>IFERROR((lifespans_all!N134*DTE_mission_minutes!N56)*POWER(1+(Settings!$C$31/100),M$1-2021),"-")</f>
        <v>436174.91668005026</v>
      </c>
      <c r="N135" s="128">
        <f>IFERROR((lifespans_all!O134*DTE_mission_minutes!O56)*POWER(1+(Settings!$C$31/100),N$1-2021),"-")</f>
        <v>444898.41501365119</v>
      </c>
      <c r="O135" s="128">
        <f>IFERROR((lifespans_all!P134*DTE_mission_minutes!P56)*POWER(1+(Settings!$C$31/100),O$1-2021),"-")</f>
        <v>453796.38331392431</v>
      </c>
      <c r="P135" s="128">
        <f>IFERROR((lifespans_all!Q134*DTE_mission_minutes!Q56)*POWER(1+(Settings!$C$31/100),P$1-2021),"-")</f>
        <v>462872.31098020275</v>
      </c>
      <c r="Q135" s="128">
        <f>IFERROR((lifespans_all!R134*DTE_mission_minutes!R56)*POWER(1+(Settings!$C$31/100),Q$1-2021),"-")</f>
        <v>472129.75719980686</v>
      </c>
      <c r="R135" s="128">
        <f>IFERROR((lifespans_all!S134*DTE_mission_minutes!S56)*POWER(1+(Settings!$C$31/100),R$1-2021),"-")</f>
        <v>481572.35234380286</v>
      </c>
      <c r="S135" s="128">
        <f>IFERROR((lifespans_all!T134*DTE_mission_minutes!T56)*POWER(1+(Settings!$C$31/100),S$1-2021),"-")</f>
        <v>491203.79939067899</v>
      </c>
      <c r="T135" s="128">
        <f>IFERROR((lifespans_all!U134*DTE_mission_minutes!U56)*POWER(1+(Settings!$C$31/100),T$1-2021),"-")</f>
        <v>501027.87537849264</v>
      </c>
      <c r="U135" s="128">
        <f>IFERROR((lifespans_all!V134*DTE_mission_minutes!V56)*POWER(1+(Settings!$C$31/100),U$1-2021),"-")</f>
        <v>511048.43288606242</v>
      </c>
      <c r="V135" s="128">
        <f>IFERROR((lifespans_all!W134*DTE_mission_minutes!W56)*POWER(1+(Settings!$C$31/100),V$1-2021),"-")</f>
        <v>521269.40154378366</v>
      </c>
    </row>
    <row r="136" spans="1:22" x14ac:dyDescent="0.25">
      <c r="C136" s="3"/>
      <c r="D136" s="3"/>
      <c r="E136" s="3"/>
      <c r="F136" s="3"/>
      <c r="G136" s="3"/>
      <c r="H136" s="3"/>
      <c r="I136" s="3"/>
      <c r="J136" s="3"/>
      <c r="K136" s="3"/>
      <c r="L136" s="3"/>
      <c r="M136" s="3"/>
      <c r="N136" s="3"/>
      <c r="O136" s="3"/>
      <c r="P136" s="3"/>
      <c r="Q136" s="3"/>
      <c r="R136" s="3"/>
      <c r="S136" s="3"/>
      <c r="T136" s="3"/>
      <c r="U136" s="3"/>
      <c r="V136" s="3"/>
    </row>
    <row r="137" spans="1:22" x14ac:dyDescent="0.25">
      <c r="C137" s="40">
        <f t="shared" ref="C137:V137" si="15">SUM(C81:C135)</f>
        <v>1877408.8307144598</v>
      </c>
      <c r="D137" s="40">
        <f t="shared" si="15"/>
        <v>1877901.3468450163</v>
      </c>
      <c r="E137" s="40">
        <f t="shared" si="15"/>
        <v>1880227.6602966236</v>
      </c>
      <c r="F137" s="40">
        <f t="shared" si="15"/>
        <v>1854198.4237369923</v>
      </c>
      <c r="G137" s="40">
        <f t="shared" si="15"/>
        <v>2090231.6915022968</v>
      </c>
      <c r="H137" s="40">
        <f t="shared" si="15"/>
        <v>2297425.0533308405</v>
      </c>
      <c r="I137" s="40">
        <f t="shared" si="15"/>
        <v>2420437.7075652047</v>
      </c>
      <c r="J137" s="40">
        <f t="shared" si="15"/>
        <v>2654007.9613046637</v>
      </c>
      <c r="K137" s="40">
        <f t="shared" si="15"/>
        <v>2837793.6620676448</v>
      </c>
      <c r="L137" s="40">
        <f t="shared" si="15"/>
        <v>3028188.3469516556</v>
      </c>
      <c r="M137" s="40">
        <f t="shared" si="15"/>
        <v>3482464.4658048339</v>
      </c>
      <c r="N137" s="40">
        <f t="shared" si="15"/>
        <v>3536328.2119038035</v>
      </c>
      <c r="O137" s="40">
        <f t="shared" si="15"/>
        <v>3591269.2329247538</v>
      </c>
      <c r="P137" s="40">
        <f t="shared" si="15"/>
        <v>3647309.0743661211</v>
      </c>
      <c r="Q137" s="40">
        <f t="shared" si="15"/>
        <v>3704469.7126363162</v>
      </c>
      <c r="R137" s="40">
        <f t="shared" si="15"/>
        <v>3762773.5636719144</v>
      </c>
      <c r="S137" s="40">
        <f t="shared" si="15"/>
        <v>3822243.4917282267</v>
      </c>
      <c r="T137" s="40">
        <f t="shared" si="15"/>
        <v>3882902.8183456655</v>
      </c>
      <c r="U137" s="40">
        <f t="shared" si="15"/>
        <v>3944775.3314954508</v>
      </c>
      <c r="V137" s="40">
        <f t="shared" si="15"/>
        <v>4007885.294908233</v>
      </c>
    </row>
    <row r="139" spans="1:22" ht="14.4" thickBot="1" x14ac:dyDescent="0.3">
      <c r="B139" s="3" t="s">
        <v>95</v>
      </c>
      <c r="L139" s="67"/>
      <c r="M139" s="67"/>
    </row>
    <row r="140" spans="1:22" x14ac:dyDescent="0.25">
      <c r="B140" s="75" t="s">
        <v>102</v>
      </c>
      <c r="C140" s="95">
        <f>C80</f>
        <v>2021</v>
      </c>
      <c r="D140" s="95">
        <f t="shared" ref="D140:V140" si="16">D80</f>
        <v>2022</v>
      </c>
      <c r="E140" s="95">
        <f t="shared" si="16"/>
        <v>2023</v>
      </c>
      <c r="F140" s="95">
        <f t="shared" si="16"/>
        <v>2024</v>
      </c>
      <c r="G140" s="95">
        <f t="shared" si="16"/>
        <v>2025</v>
      </c>
      <c r="H140" s="95">
        <f t="shared" si="16"/>
        <v>2026</v>
      </c>
      <c r="I140" s="95">
        <f t="shared" si="16"/>
        <v>2027</v>
      </c>
      <c r="J140" s="95">
        <f t="shared" si="16"/>
        <v>2028</v>
      </c>
      <c r="K140" s="95">
        <f t="shared" si="16"/>
        <v>2029</v>
      </c>
      <c r="L140" s="95">
        <f t="shared" si="16"/>
        <v>2030</v>
      </c>
      <c r="M140" s="95">
        <f t="shared" si="16"/>
        <v>2031</v>
      </c>
      <c r="N140" s="95">
        <f t="shared" si="16"/>
        <v>2032</v>
      </c>
      <c r="O140" s="95">
        <f t="shared" si="16"/>
        <v>2033</v>
      </c>
      <c r="P140" s="95">
        <f t="shared" si="16"/>
        <v>2034</v>
      </c>
      <c r="Q140" s="95">
        <f t="shared" si="16"/>
        <v>2035</v>
      </c>
      <c r="R140" s="95">
        <f t="shared" si="16"/>
        <v>2036</v>
      </c>
      <c r="S140" s="95">
        <f t="shared" si="16"/>
        <v>2037</v>
      </c>
      <c r="T140" s="95">
        <f t="shared" si="16"/>
        <v>2038</v>
      </c>
      <c r="U140" s="95">
        <f t="shared" si="16"/>
        <v>2039</v>
      </c>
      <c r="V140" s="95">
        <f t="shared" si="16"/>
        <v>2040</v>
      </c>
    </row>
    <row r="141" spans="1:22" x14ac:dyDescent="0.25">
      <c r="B141" s="50" t="s">
        <v>59</v>
      </c>
      <c r="C141" s="51">
        <f>SUMIF($B81:$B135,$B141,C$81:C$135)</f>
        <v>763854.18731877778</v>
      </c>
      <c r="D141" s="51">
        <f t="shared" ref="D141:V141" si="17">SUMIF($B81:$B135,$B141,D$81:D$135)</f>
        <v>834955.64795190666</v>
      </c>
      <c r="E141" s="51">
        <f t="shared" si="17"/>
        <v>907909.04718914488</v>
      </c>
      <c r="F141" s="51">
        <f t="shared" si="17"/>
        <v>986228.43849730375</v>
      </c>
      <c r="G141" s="51">
        <f t="shared" si="17"/>
        <v>1066340.9513617151</v>
      </c>
      <c r="H141" s="51">
        <f t="shared" si="17"/>
        <v>1149541.4374492636</v>
      </c>
      <c r="I141" s="51">
        <f t="shared" si="17"/>
        <v>1235921.3706837294</v>
      </c>
      <c r="J141" s="51">
        <f t="shared" si="17"/>
        <v>1325574.6487565534</v>
      </c>
      <c r="K141" s="51">
        <f t="shared" si="17"/>
        <v>1418597.6534879771</v>
      </c>
      <c r="L141" s="51">
        <f t="shared" si="17"/>
        <v>1515089.3126331149</v>
      </c>
      <c r="M141" s="51">
        <f t="shared" si="17"/>
        <v>1941163.2103536273</v>
      </c>
      <c r="N141" s="51">
        <f t="shared" si="17"/>
        <v>1966260.6908972771</v>
      </c>
      <c r="O141" s="51">
        <f t="shared" si="17"/>
        <v>1991860.1210518009</v>
      </c>
      <c r="P141" s="51">
        <f t="shared" si="17"/>
        <v>2017971.5398094147</v>
      </c>
      <c r="Q141" s="51">
        <f t="shared" si="17"/>
        <v>2044605.1869421806</v>
      </c>
      <c r="R141" s="51">
        <f t="shared" si="17"/>
        <v>2071771.5070176017</v>
      </c>
      <c r="S141" s="51">
        <f t="shared" si="17"/>
        <v>2099481.1534945318</v>
      </c>
      <c r="T141" s="51">
        <f t="shared" si="17"/>
        <v>2127744.9929010002</v>
      </c>
      <c r="U141" s="51">
        <f t="shared" si="17"/>
        <v>2156574.1090955981</v>
      </c>
      <c r="V141" s="51">
        <f t="shared" si="17"/>
        <v>2185979.8076140876</v>
      </c>
    </row>
    <row r="142" spans="1:22" x14ac:dyDescent="0.25">
      <c r="B142" s="50" t="s">
        <v>57</v>
      </c>
      <c r="C142" s="51">
        <f>SUMIF($B81:$B135,$B142,C$81:C$135)</f>
        <v>986279.4678849997</v>
      </c>
      <c r="D142" s="51">
        <f t="shared" ref="D142:V142" si="18">SUMIF($B81:$B135,$B142,D$81:D$135)</f>
        <v>804413.26370885037</v>
      </c>
      <c r="E142" s="51">
        <f t="shared" si="18"/>
        <v>709092.30414843862</v>
      </c>
      <c r="F142" s="51">
        <f t="shared" si="18"/>
        <v>580965.3061598076</v>
      </c>
      <c r="G142" s="51">
        <f t="shared" si="18"/>
        <v>711590.23294118373</v>
      </c>
      <c r="H142" s="51">
        <f t="shared" si="18"/>
        <v>712738.50740519911</v>
      </c>
      <c r="I142" s="51">
        <f t="shared" si="18"/>
        <v>720987.34164059022</v>
      </c>
      <c r="J142" s="51">
        <f t="shared" si="18"/>
        <v>835519.19311360852</v>
      </c>
      <c r="K142" s="51">
        <f t="shared" si="18"/>
        <v>895866.83157998126</v>
      </c>
      <c r="L142" s="51">
        <f t="shared" si="18"/>
        <v>958295.4230969185</v>
      </c>
      <c r="M142" s="51">
        <f t="shared" si="18"/>
        <v>977398.57210110128</v>
      </c>
      <c r="N142" s="51">
        <f t="shared" si="18"/>
        <v>996883.78408536757</v>
      </c>
      <c r="O142" s="51">
        <f t="shared" si="18"/>
        <v>1016758.7003093195</v>
      </c>
      <c r="P142" s="51">
        <f t="shared" si="18"/>
        <v>1037031.1148577504</v>
      </c>
      <c r="Q142" s="51">
        <f t="shared" si="18"/>
        <v>1057708.9776971499</v>
      </c>
      <c r="R142" s="51">
        <f t="shared" si="18"/>
        <v>1078800.397793337</v>
      </c>
      <c r="S142" s="51">
        <f t="shared" si="18"/>
        <v>1100313.6462914485</v>
      </c>
      <c r="T142" s="51">
        <f t="shared" si="18"/>
        <v>1122257.159759522</v>
      </c>
      <c r="U142" s="51">
        <f t="shared" si="18"/>
        <v>1144639.5434969568</v>
      </c>
      <c r="V142" s="51">
        <f t="shared" si="18"/>
        <v>1167469.5749091404</v>
      </c>
    </row>
    <row r="143" spans="1:22" x14ac:dyDescent="0.25">
      <c r="B143" s="50" t="s">
        <v>56</v>
      </c>
      <c r="C143" s="51">
        <f>SUMIF($B81:$B135,$B143,C$81:C$135)</f>
        <v>16274.547550793646</v>
      </c>
      <c r="D143" s="51">
        <f t="shared" ref="D143:V143" si="19">SUMIF($B81:$B135,$B143,D$81:D$135)</f>
        <v>17410.313456996824</v>
      </c>
      <c r="E143" s="51">
        <f t="shared" si="19"/>
        <v>20809.728444056949</v>
      </c>
      <c r="F143" s="51">
        <f t="shared" si="19"/>
        <v>22190.411181851072</v>
      </c>
      <c r="G143" s="51">
        <f t="shared" si="19"/>
        <v>23621.422032345436</v>
      </c>
      <c r="H143" s="51">
        <f t="shared" si="19"/>
        <v>25104.221846952933</v>
      </c>
      <c r="I143" s="51">
        <f t="shared" si="19"/>
        <v>26640.309779897882</v>
      </c>
      <c r="J143" s="51">
        <f t="shared" si="19"/>
        <v>28231.224235987938</v>
      </c>
      <c r="K143" s="51">
        <f t="shared" si="19"/>
        <v>29878.543840975737</v>
      </c>
      <c r="L143" s="51">
        <f t="shared" si="19"/>
        <v>31583.888435034751</v>
      </c>
      <c r="M143" s="51">
        <f t="shared" si="19"/>
        <v>32044.331475430685</v>
      </c>
      <c r="N143" s="51">
        <f t="shared" si="19"/>
        <v>32513.983376634533</v>
      </c>
      <c r="O143" s="51">
        <f t="shared" si="19"/>
        <v>32993.028315862466</v>
      </c>
      <c r="P143" s="51">
        <f t="shared" si="19"/>
        <v>33481.654153874952</v>
      </c>
      <c r="Q143" s="51">
        <f t="shared" si="19"/>
        <v>33980.052508647685</v>
      </c>
      <c r="R143" s="51">
        <f t="shared" si="19"/>
        <v>34488.418830515875</v>
      </c>
      <c r="S143" s="51">
        <f t="shared" si="19"/>
        <v>35006.952478821433</v>
      </c>
      <c r="T143" s="51">
        <f t="shared" si="19"/>
        <v>35535.856800093105</v>
      </c>
      <c r="U143" s="51">
        <f t="shared" si="19"/>
        <v>36075.339207790195</v>
      </c>
      <c r="V143" s="51">
        <f t="shared" si="19"/>
        <v>36625.611263641244</v>
      </c>
    </row>
    <row r="144" spans="1:22" x14ac:dyDescent="0.25">
      <c r="B144" s="50" t="s">
        <v>100</v>
      </c>
      <c r="C144" s="51">
        <f>SUMIF($B81:$B135,$B144,C$81:C$135)</f>
        <v>0</v>
      </c>
      <c r="D144" s="51">
        <f t="shared" ref="D144:V144" si="20">SUMIF($B81:$B135,$B144,D$81:D$135)</f>
        <v>0</v>
      </c>
      <c r="E144" s="51">
        <f t="shared" si="20"/>
        <v>0</v>
      </c>
      <c r="F144" s="51">
        <f t="shared" si="20"/>
        <v>0</v>
      </c>
      <c r="G144" s="51">
        <f t="shared" si="20"/>
        <v>0</v>
      </c>
      <c r="H144" s="51">
        <f>SUMIF($B81:$B135,$B144,H$81:H$135)</f>
        <v>0</v>
      </c>
      <c r="I144" s="51">
        <f t="shared" si="20"/>
        <v>0</v>
      </c>
      <c r="J144" s="51">
        <f t="shared" si="20"/>
        <v>0</v>
      </c>
      <c r="K144" s="51">
        <f t="shared" si="20"/>
        <v>0</v>
      </c>
      <c r="L144" s="51">
        <f t="shared" si="20"/>
        <v>0</v>
      </c>
      <c r="M144" s="51">
        <f t="shared" si="20"/>
        <v>0</v>
      </c>
      <c r="N144" s="51">
        <f t="shared" si="20"/>
        <v>0</v>
      </c>
      <c r="O144" s="51">
        <f t="shared" si="20"/>
        <v>0</v>
      </c>
      <c r="P144" s="51">
        <f t="shared" si="20"/>
        <v>0</v>
      </c>
      <c r="Q144" s="51">
        <f t="shared" si="20"/>
        <v>0</v>
      </c>
      <c r="R144" s="51">
        <f t="shared" si="20"/>
        <v>0</v>
      </c>
      <c r="S144" s="51">
        <f t="shared" si="20"/>
        <v>0</v>
      </c>
      <c r="T144" s="51">
        <f t="shared" si="20"/>
        <v>0</v>
      </c>
      <c r="U144" s="51">
        <f t="shared" si="20"/>
        <v>0</v>
      </c>
      <c r="V144" s="51">
        <f t="shared" si="20"/>
        <v>0</v>
      </c>
    </row>
    <row r="145" spans="1:22" x14ac:dyDescent="0.25">
      <c r="B145" s="50" t="s">
        <v>60</v>
      </c>
      <c r="C145" s="51">
        <f>SUMIF($B81:$B135,$B145,C$81:C$135)</f>
        <v>0</v>
      </c>
      <c r="D145" s="51">
        <f t="shared" ref="D145:V145" si="21">SUMIF($B81:$B135,$B145,D$81:D$135)</f>
        <v>0</v>
      </c>
      <c r="E145" s="51">
        <f t="shared" si="21"/>
        <v>0</v>
      </c>
      <c r="F145" s="51">
        <f t="shared" si="21"/>
        <v>0</v>
      </c>
      <c r="G145" s="51">
        <f t="shared" si="21"/>
        <v>0</v>
      </c>
      <c r="H145" s="51">
        <f t="shared" si="21"/>
        <v>0</v>
      </c>
      <c r="I145" s="51">
        <f t="shared" si="21"/>
        <v>0</v>
      </c>
      <c r="J145" s="51">
        <f t="shared" si="21"/>
        <v>0</v>
      </c>
      <c r="K145" s="51">
        <f t="shared" si="21"/>
        <v>0</v>
      </c>
      <c r="L145" s="51">
        <f t="shared" si="21"/>
        <v>0</v>
      </c>
      <c r="M145" s="51">
        <f t="shared" si="21"/>
        <v>0</v>
      </c>
      <c r="N145" s="51">
        <f t="shared" si="21"/>
        <v>0</v>
      </c>
      <c r="O145" s="51">
        <f t="shared" si="21"/>
        <v>0</v>
      </c>
      <c r="P145" s="51">
        <f t="shared" si="21"/>
        <v>0</v>
      </c>
      <c r="Q145" s="51">
        <f t="shared" si="21"/>
        <v>0</v>
      </c>
      <c r="R145" s="51">
        <f t="shared" si="21"/>
        <v>0</v>
      </c>
      <c r="S145" s="51">
        <f t="shared" si="21"/>
        <v>0</v>
      </c>
      <c r="T145" s="51">
        <f t="shared" si="21"/>
        <v>0</v>
      </c>
      <c r="U145" s="51">
        <f t="shared" si="21"/>
        <v>0</v>
      </c>
      <c r="V145" s="51">
        <f t="shared" si="21"/>
        <v>0</v>
      </c>
    </row>
    <row r="146" spans="1:22" x14ac:dyDescent="0.25">
      <c r="B146" s="50" t="s">
        <v>101</v>
      </c>
      <c r="C146" s="51">
        <f>SUMIF($B81:$B135,$B146,C$81:C$135)</f>
        <v>0</v>
      </c>
      <c r="D146" s="51">
        <f t="shared" ref="D146:V146" si="22">SUMIF($B81:$B135,$B146,D$81:D$135)</f>
        <v>0</v>
      </c>
      <c r="E146" s="51">
        <f t="shared" si="22"/>
        <v>0</v>
      </c>
      <c r="F146" s="51">
        <f t="shared" si="22"/>
        <v>0</v>
      </c>
      <c r="G146" s="51">
        <f t="shared" si="22"/>
        <v>0</v>
      </c>
      <c r="H146" s="51">
        <f t="shared" si="22"/>
        <v>0</v>
      </c>
      <c r="I146" s="51">
        <f t="shared" si="22"/>
        <v>0</v>
      </c>
      <c r="J146" s="51">
        <f t="shared" si="22"/>
        <v>0</v>
      </c>
      <c r="K146" s="51">
        <f t="shared" si="22"/>
        <v>0</v>
      </c>
      <c r="L146" s="51">
        <f t="shared" si="22"/>
        <v>0</v>
      </c>
      <c r="M146" s="51">
        <f t="shared" si="22"/>
        <v>0</v>
      </c>
      <c r="N146" s="51">
        <f t="shared" si="22"/>
        <v>0</v>
      </c>
      <c r="O146" s="51">
        <f t="shared" si="22"/>
        <v>0</v>
      </c>
      <c r="P146" s="51">
        <f t="shared" si="22"/>
        <v>0</v>
      </c>
      <c r="Q146" s="51">
        <f t="shared" si="22"/>
        <v>0</v>
      </c>
      <c r="R146" s="51">
        <f t="shared" si="22"/>
        <v>0</v>
      </c>
      <c r="S146" s="51">
        <f t="shared" si="22"/>
        <v>0</v>
      </c>
      <c r="T146" s="51">
        <f t="shared" si="22"/>
        <v>0</v>
      </c>
      <c r="U146" s="51">
        <f t="shared" si="22"/>
        <v>0</v>
      </c>
      <c r="V146" s="51">
        <f t="shared" si="22"/>
        <v>0</v>
      </c>
    </row>
    <row r="147" spans="1:22" x14ac:dyDescent="0.25">
      <c r="B147" s="50" t="s">
        <v>58</v>
      </c>
      <c r="C147" s="51">
        <f>SUMIF($B81:$B135,$B147,C$81:C$135)</f>
        <v>1761.2316753333332</v>
      </c>
      <c r="D147" s="51">
        <f t="shared" ref="D147:V147" si="23">SUMIF($B81:$B135,$B147,D$81:D$135)</f>
        <v>2100.4298487244441</v>
      </c>
      <c r="E147" s="51">
        <f t="shared" si="23"/>
        <v>2360.8121729984</v>
      </c>
      <c r="F147" s="51">
        <f t="shared" si="23"/>
        <v>2702.0699917889347</v>
      </c>
      <c r="G147" s="51">
        <f t="shared" si="23"/>
        <v>3783.8964584977266</v>
      </c>
      <c r="H147" s="51">
        <f t="shared" si="23"/>
        <v>4149.1968863967058</v>
      </c>
      <c r="I147" s="51">
        <f t="shared" si="23"/>
        <v>4528.1726636477997</v>
      </c>
      <c r="J147" s="51">
        <f t="shared" si="23"/>
        <v>4921.2246840539337</v>
      </c>
      <c r="K147" s="51">
        <f t="shared" si="23"/>
        <v>5328.7644070304113</v>
      </c>
      <c r="L147" s="51">
        <f t="shared" si="23"/>
        <v>5751.2141198718818</v>
      </c>
      <c r="M147" s="51">
        <f t="shared" si="23"/>
        <v>5837.3938612915417</v>
      </c>
      <c r="N147" s="51">
        <f t="shared" si="23"/>
        <v>5925.297197539594</v>
      </c>
      <c r="O147" s="51">
        <f t="shared" si="23"/>
        <v>6014.9586005126084</v>
      </c>
      <c r="P147" s="51">
        <f t="shared" si="23"/>
        <v>6106.4132315450834</v>
      </c>
      <c r="Q147" s="51">
        <f t="shared" si="23"/>
        <v>6199.6969551982074</v>
      </c>
      <c r="R147" s="51">
        <f t="shared" si="23"/>
        <v>6294.8463533243921</v>
      </c>
      <c r="S147" s="51">
        <f t="shared" si="23"/>
        <v>6391.8987394131036</v>
      </c>
      <c r="T147" s="51">
        <f t="shared" si="23"/>
        <v>6490.8921732235876</v>
      </c>
      <c r="U147" s="51">
        <f t="shared" si="23"/>
        <v>6591.8654757102813</v>
      </c>
      <c r="V147" s="51">
        <f t="shared" si="23"/>
        <v>6694.8582442467086</v>
      </c>
    </row>
    <row r="148" spans="1:22" ht="14.4" thickBot="1" x14ac:dyDescent="0.3">
      <c r="B148" s="56" t="s">
        <v>61</v>
      </c>
      <c r="C148" s="51">
        <f>SUMIF($B81:$B135,$B148,C$81:C$135)</f>
        <v>108731.25623733336</v>
      </c>
      <c r="D148" s="51">
        <f t="shared" ref="D148:V148" si="24">SUMIF($B81:$B135,$B148,D$81:D$135)</f>
        <v>218644.10048964893</v>
      </c>
      <c r="E148" s="51">
        <f t="shared" si="24"/>
        <v>239748.51973087335</v>
      </c>
      <c r="F148" s="51">
        <f t="shared" si="24"/>
        <v>261719.99440957434</v>
      </c>
      <c r="G148" s="51">
        <f t="shared" si="24"/>
        <v>284502.98521188798</v>
      </c>
      <c r="H148" s="51">
        <f t="shared" si="24"/>
        <v>405499.48624636116</v>
      </c>
      <c r="I148" s="51">
        <f t="shared" si="24"/>
        <v>431968.30930067302</v>
      </c>
      <c r="J148" s="51">
        <f t="shared" si="24"/>
        <v>459369.46701779339</v>
      </c>
      <c r="K148" s="51">
        <f t="shared" si="24"/>
        <v>487729.66525501315</v>
      </c>
      <c r="L148" s="51">
        <f t="shared" si="24"/>
        <v>517076.30517004925</v>
      </c>
      <c r="M148" s="51">
        <f t="shared" si="24"/>
        <v>525628.75451671693</v>
      </c>
      <c r="N148" s="51">
        <f t="shared" si="24"/>
        <v>534352.25285031786</v>
      </c>
      <c r="O148" s="51">
        <f t="shared" si="24"/>
        <v>543250.22115059104</v>
      </c>
      <c r="P148" s="51">
        <f t="shared" si="24"/>
        <v>552326.14881686948</v>
      </c>
      <c r="Q148" s="51">
        <f t="shared" si="24"/>
        <v>561583.59503647359</v>
      </c>
      <c r="R148" s="51">
        <f t="shared" si="24"/>
        <v>571026.19018046954</v>
      </c>
      <c r="S148" s="51">
        <f t="shared" si="24"/>
        <v>580657.63722734572</v>
      </c>
      <c r="T148" s="51">
        <f t="shared" si="24"/>
        <v>590481.71321515937</v>
      </c>
      <c r="U148" s="51">
        <f t="shared" si="24"/>
        <v>600502.27072272915</v>
      </c>
      <c r="V148" s="51">
        <f t="shared" si="24"/>
        <v>610723.23938045034</v>
      </c>
    </row>
    <row r="149" spans="1:22" x14ac:dyDescent="0.25">
      <c r="L149" s="67"/>
      <c r="M149" s="67"/>
    </row>
    <row r="150" spans="1:22" x14ac:dyDescent="0.25">
      <c r="C150" s="40">
        <f>SUM(C141:C148)</f>
        <v>1876900.6906672379</v>
      </c>
      <c r="D150" s="40">
        <f t="shared" ref="D150:V150" si="25">SUM(D141:D148)</f>
        <v>1877523.7554561272</v>
      </c>
      <c r="E150" s="40">
        <f t="shared" si="25"/>
        <v>1879920.4116855124</v>
      </c>
      <c r="F150" s="40">
        <f t="shared" si="25"/>
        <v>1853806.2202403257</v>
      </c>
      <c r="G150" s="40">
        <f t="shared" si="25"/>
        <v>2089839.4880056297</v>
      </c>
      <c r="H150" s="40">
        <f t="shared" si="25"/>
        <v>2297032.8498341739</v>
      </c>
      <c r="I150" s="40">
        <f t="shared" si="25"/>
        <v>2420045.5040685385</v>
      </c>
      <c r="J150" s="40">
        <f t="shared" si="25"/>
        <v>2653615.7578079971</v>
      </c>
      <c r="K150" s="40">
        <f t="shared" si="25"/>
        <v>2837401.4585709777</v>
      </c>
      <c r="L150" s="131">
        <f t="shared" si="25"/>
        <v>3027796.1434549894</v>
      </c>
      <c r="M150" s="131">
        <f t="shared" si="25"/>
        <v>3482072.2623081678</v>
      </c>
      <c r="N150" s="40">
        <f t="shared" si="25"/>
        <v>3535936.0084071364</v>
      </c>
      <c r="O150" s="40">
        <f t="shared" si="25"/>
        <v>3590877.0294280867</v>
      </c>
      <c r="P150" s="40">
        <f t="shared" si="25"/>
        <v>3646916.8708694549</v>
      </c>
      <c r="Q150" s="40">
        <f t="shared" si="25"/>
        <v>3704077.50913965</v>
      </c>
      <c r="R150" s="40">
        <f t="shared" si="25"/>
        <v>3762381.3601752492</v>
      </c>
      <c r="S150" s="40">
        <f t="shared" si="25"/>
        <v>3821851.28823156</v>
      </c>
      <c r="T150" s="40">
        <f t="shared" si="25"/>
        <v>3882510.6148489984</v>
      </c>
      <c r="U150" s="40">
        <f t="shared" si="25"/>
        <v>3944383.1279987847</v>
      </c>
      <c r="V150" s="40">
        <f t="shared" si="25"/>
        <v>4007493.0914115664</v>
      </c>
    </row>
    <row r="151" spans="1:22" x14ac:dyDescent="0.25">
      <c r="C151" s="115"/>
      <c r="D151" s="115"/>
      <c r="E151" s="115"/>
      <c r="F151" s="115"/>
      <c r="G151" s="115"/>
      <c r="H151" s="115"/>
      <c r="I151" s="115"/>
      <c r="J151" s="115"/>
      <c r="K151" s="115"/>
      <c r="L151" s="130"/>
      <c r="M151" s="130"/>
      <c r="N151" s="115"/>
      <c r="O151" s="115"/>
      <c r="P151" s="115"/>
      <c r="Q151" s="115"/>
      <c r="R151" s="115"/>
      <c r="S151" s="115"/>
      <c r="T151" s="115"/>
      <c r="U151" s="115"/>
      <c r="V151" s="115"/>
    </row>
    <row r="152" spans="1:22" ht="14.4" thickBot="1" x14ac:dyDescent="0.3">
      <c r="B152" s="3" t="s">
        <v>95</v>
      </c>
      <c r="L152" s="67"/>
      <c r="M152" s="67"/>
    </row>
    <row r="153" spans="1:22" x14ac:dyDescent="0.25">
      <c r="B153" s="75" t="s">
        <v>102</v>
      </c>
      <c r="C153" s="95">
        <v>2021</v>
      </c>
      <c r="D153" s="95">
        <v>2022</v>
      </c>
      <c r="E153" s="95">
        <v>2023</v>
      </c>
      <c r="F153" s="95">
        <v>2024</v>
      </c>
      <c r="G153" s="95">
        <v>2025</v>
      </c>
      <c r="H153" s="95">
        <v>2026</v>
      </c>
      <c r="I153" s="95">
        <v>2027</v>
      </c>
      <c r="J153" s="95">
        <v>2028</v>
      </c>
      <c r="K153" s="95">
        <v>2029</v>
      </c>
      <c r="L153" s="95">
        <v>2030</v>
      </c>
      <c r="M153" s="95">
        <v>2031</v>
      </c>
      <c r="N153" s="95">
        <v>2032</v>
      </c>
      <c r="O153" s="95">
        <v>2033</v>
      </c>
      <c r="P153" s="95">
        <v>2034</v>
      </c>
      <c r="Q153" s="95">
        <v>2035</v>
      </c>
      <c r="R153" s="95">
        <v>2036</v>
      </c>
      <c r="S153" s="95">
        <v>2037</v>
      </c>
      <c r="T153" s="95">
        <v>2038</v>
      </c>
      <c r="U153" s="95">
        <v>2039</v>
      </c>
      <c r="V153" s="95">
        <v>2040</v>
      </c>
    </row>
    <row r="154" spans="1:22" x14ac:dyDescent="0.25">
      <c r="B154" s="50" t="s">
        <v>115</v>
      </c>
      <c r="C154" s="129">
        <f>SUM(C81:C127)</f>
        <v>1752490.7143116661</v>
      </c>
      <c r="D154" s="129">
        <f>SUM(D81:D127)</f>
        <v>1484345.8994103172</v>
      </c>
      <c r="E154" s="129">
        <f t="shared" ref="E154:V154" si="26">SUM(E81:E127)</f>
        <v>1340904.3555357142</v>
      </c>
      <c r="F154" s="129">
        <f t="shared" si="26"/>
        <v>1077474.1436682539</v>
      </c>
      <c r="G154" s="129">
        <f t="shared" si="26"/>
        <v>1075186.4077471427</v>
      </c>
      <c r="H154" s="129">
        <f t="shared" si="26"/>
        <v>936868.51792507921</v>
      </c>
      <c r="I154" s="129">
        <f t="shared" si="26"/>
        <v>801695.03898690466</v>
      </c>
      <c r="J154" s="129">
        <f t="shared" si="26"/>
        <v>797898.18758468248</v>
      </c>
      <c r="K154" s="129">
        <f t="shared" si="26"/>
        <v>797898.18758468248</v>
      </c>
      <c r="L154" s="129">
        <f t="shared" si="26"/>
        <v>797898.18758468248</v>
      </c>
      <c r="M154" s="129">
        <f t="shared" si="26"/>
        <v>789277.16085634916</v>
      </c>
      <c r="N154" s="129">
        <f t="shared" si="26"/>
        <v>789277.16085634916</v>
      </c>
      <c r="O154" s="129">
        <f t="shared" si="26"/>
        <v>789277.16085634916</v>
      </c>
      <c r="P154" s="129">
        <f t="shared" si="26"/>
        <v>789277.16085634916</v>
      </c>
      <c r="Q154" s="129">
        <f t="shared" si="26"/>
        <v>789277.16085634916</v>
      </c>
      <c r="R154" s="129">
        <f t="shared" si="26"/>
        <v>789277.16085634916</v>
      </c>
      <c r="S154" s="129">
        <f t="shared" si="26"/>
        <v>789277.16085634916</v>
      </c>
      <c r="T154" s="129">
        <f t="shared" si="26"/>
        <v>789277.16085634916</v>
      </c>
      <c r="U154" s="129">
        <f t="shared" si="26"/>
        <v>789277.16085634916</v>
      </c>
      <c r="V154" s="129">
        <f t="shared" si="26"/>
        <v>789277.16085634916</v>
      </c>
    </row>
    <row r="155" spans="1:22" x14ac:dyDescent="0.25">
      <c r="B155" s="50" t="s">
        <v>116</v>
      </c>
      <c r="C155" s="117">
        <f>SUM(C128:C135)</f>
        <v>124918.11640279366</v>
      </c>
      <c r="D155" s="117">
        <f>SUM(D128:D135)</f>
        <v>393555.44743469905</v>
      </c>
      <c r="E155" s="117">
        <f t="shared" ref="E155:V155" si="27">SUM(E128:E135)</f>
        <v>539323.30476090929</v>
      </c>
      <c r="F155" s="117">
        <f t="shared" si="27"/>
        <v>776724.28006873839</v>
      </c>
      <c r="G155" s="117">
        <f t="shared" si="27"/>
        <v>1015045.2837551539</v>
      </c>
      <c r="H155" s="117">
        <f t="shared" si="27"/>
        <v>1360556.5354057609</v>
      </c>
      <c r="I155" s="117">
        <f t="shared" si="27"/>
        <v>1618742.6685783002</v>
      </c>
      <c r="J155" s="117">
        <f t="shared" si="27"/>
        <v>1856109.7737199813</v>
      </c>
      <c r="K155" s="117">
        <f t="shared" si="27"/>
        <v>2039895.4744829619</v>
      </c>
      <c r="L155" s="117">
        <f t="shared" si="27"/>
        <v>2230290.1593669737</v>
      </c>
      <c r="M155" s="117">
        <f t="shared" si="27"/>
        <v>2693187.304948485</v>
      </c>
      <c r="N155" s="117">
        <f t="shared" si="27"/>
        <v>2747051.0510474546</v>
      </c>
      <c r="O155" s="117">
        <f t="shared" si="27"/>
        <v>2801992.0720684044</v>
      </c>
      <c r="P155" s="117">
        <f t="shared" si="27"/>
        <v>2858031.9135097722</v>
      </c>
      <c r="Q155" s="117">
        <f t="shared" si="27"/>
        <v>2915192.5517799668</v>
      </c>
      <c r="R155" s="117">
        <f t="shared" si="27"/>
        <v>2973496.4028155659</v>
      </c>
      <c r="S155" s="117">
        <f t="shared" si="27"/>
        <v>3032966.3308718782</v>
      </c>
      <c r="T155" s="117">
        <f t="shared" si="27"/>
        <v>3093625.6574893165</v>
      </c>
      <c r="U155" s="117">
        <f t="shared" si="27"/>
        <v>3155498.1706391014</v>
      </c>
      <c r="V155" s="117">
        <f t="shared" si="27"/>
        <v>3218608.1340518841</v>
      </c>
    </row>
    <row r="156" spans="1:22" x14ac:dyDescent="0.25">
      <c r="C156" s="130"/>
      <c r="D156" s="130"/>
      <c r="E156" s="130"/>
      <c r="F156" s="130"/>
      <c r="G156" s="130"/>
      <c r="H156" s="130"/>
      <c r="I156" s="130"/>
      <c r="J156" s="130"/>
      <c r="K156" s="130"/>
      <c r="L156" s="130"/>
      <c r="M156" s="130"/>
      <c r="N156" s="130"/>
      <c r="O156" s="130"/>
      <c r="P156" s="130"/>
      <c r="Q156" s="130"/>
      <c r="R156" s="130"/>
      <c r="S156" s="130"/>
      <c r="T156" s="130"/>
      <c r="U156" s="130"/>
      <c r="V156" s="130"/>
    </row>
    <row r="157" spans="1:22" x14ac:dyDescent="0.25">
      <c r="C157" s="40">
        <f>SUM(C154:C155)</f>
        <v>1877408.8307144598</v>
      </c>
      <c r="D157" s="40">
        <f t="shared" ref="D157:V157" si="28">SUM(D154:D155)</f>
        <v>1877901.3468450163</v>
      </c>
      <c r="E157" s="40">
        <f t="shared" si="28"/>
        <v>1880227.6602966236</v>
      </c>
      <c r="F157" s="40">
        <f t="shared" si="28"/>
        <v>1854198.4237369923</v>
      </c>
      <c r="G157" s="40">
        <f t="shared" si="28"/>
        <v>2090231.6915022966</v>
      </c>
      <c r="H157" s="40">
        <f t="shared" si="28"/>
        <v>2297425.0533308401</v>
      </c>
      <c r="I157" s="40">
        <f t="shared" si="28"/>
        <v>2420437.7075652047</v>
      </c>
      <c r="J157" s="40">
        <f t="shared" si="28"/>
        <v>2654007.9613046637</v>
      </c>
      <c r="K157" s="40">
        <f t="shared" si="28"/>
        <v>2837793.6620676443</v>
      </c>
      <c r="L157" s="40">
        <f t="shared" si="28"/>
        <v>3028188.346951656</v>
      </c>
      <c r="M157" s="40">
        <f t="shared" si="28"/>
        <v>3482464.4658048339</v>
      </c>
      <c r="N157" s="40">
        <f t="shared" si="28"/>
        <v>3536328.211903804</v>
      </c>
      <c r="O157" s="40">
        <f t="shared" si="28"/>
        <v>3591269.2329247538</v>
      </c>
      <c r="P157" s="40">
        <f t="shared" si="28"/>
        <v>3647309.0743661216</v>
      </c>
      <c r="Q157" s="40">
        <f t="shared" si="28"/>
        <v>3704469.7126363162</v>
      </c>
      <c r="R157" s="40">
        <f t="shared" si="28"/>
        <v>3762773.5636719149</v>
      </c>
      <c r="S157" s="40">
        <f t="shared" si="28"/>
        <v>3822243.4917282276</v>
      </c>
      <c r="T157" s="40">
        <f t="shared" si="28"/>
        <v>3882902.8183456659</v>
      </c>
      <c r="U157" s="40">
        <f t="shared" si="28"/>
        <v>3944775.3314954508</v>
      </c>
      <c r="V157" s="40">
        <f t="shared" si="28"/>
        <v>4007885.294908233</v>
      </c>
    </row>
    <row r="159" spans="1:22" x14ac:dyDescent="0.25">
      <c r="A159" s="44" t="s">
        <v>32</v>
      </c>
      <c r="B159" s="44"/>
      <c r="C159" s="44">
        <v>2021</v>
      </c>
      <c r="D159" s="45">
        <v>2022</v>
      </c>
      <c r="E159" s="44">
        <v>2023</v>
      </c>
      <c r="F159" s="45">
        <v>2024</v>
      </c>
      <c r="G159" s="44">
        <v>2025</v>
      </c>
      <c r="H159" s="45">
        <v>2026</v>
      </c>
      <c r="I159" s="44">
        <v>2027</v>
      </c>
      <c r="J159" s="45">
        <v>2028</v>
      </c>
      <c r="K159" s="44">
        <v>2029</v>
      </c>
      <c r="L159" s="45">
        <v>2030</v>
      </c>
      <c r="M159" s="44">
        <v>2031</v>
      </c>
      <c r="N159" s="45">
        <v>2032</v>
      </c>
      <c r="O159" s="44">
        <v>2033</v>
      </c>
      <c r="P159" s="45">
        <v>2034</v>
      </c>
      <c r="Q159" s="44">
        <v>2035</v>
      </c>
      <c r="R159" s="45">
        <v>2036</v>
      </c>
      <c r="S159" s="44">
        <v>2037</v>
      </c>
      <c r="T159" s="45">
        <v>2038</v>
      </c>
      <c r="U159" s="44">
        <v>2039</v>
      </c>
      <c r="V159" s="45">
        <v>2040</v>
      </c>
    </row>
    <row r="160" spans="1:22" x14ac:dyDescent="0.25">
      <c r="A160" s="46" t="s">
        <v>63</v>
      </c>
      <c r="B160" s="47" t="s">
        <v>57</v>
      </c>
      <c r="C160" s="128">
        <f>IFERROR(lifespans_all!D158*DTE_mission_minutes!D2,"-")</f>
        <v>133409.35004928565</v>
      </c>
      <c r="D160" s="128">
        <f>IFERROR(lifespans_all!E158*DTE_mission_minutes!E2,"-")</f>
        <v>133409.35004928565</v>
      </c>
      <c r="E160" s="128">
        <f>IFERROR(lifespans_all!F158*DTE_mission_minutes!F2,"-")</f>
        <v>0</v>
      </c>
      <c r="F160" s="128">
        <f>IFERROR(lifespans_all!G158*DTE_mission_minutes!G2,"-")</f>
        <v>0</v>
      </c>
      <c r="G160" s="128">
        <f>IFERROR(lifespans_all!H158*DTE_mission_minutes!H2,"-")</f>
        <v>0</v>
      </c>
      <c r="H160" s="128">
        <f>IFERROR(lifespans_all!I158*DTE_mission_minutes!I2,"-")</f>
        <v>0</v>
      </c>
      <c r="I160" s="128">
        <f>IFERROR(lifespans_all!J158*DTE_mission_minutes!J2,"-")</f>
        <v>0</v>
      </c>
      <c r="J160" s="128">
        <f>IFERROR(lifespans_all!K158*DTE_mission_minutes!K2,"-")</f>
        <v>0</v>
      </c>
      <c r="K160" s="128">
        <f>IFERROR(lifespans_all!L158*DTE_mission_minutes!L2,"-")</f>
        <v>0</v>
      </c>
      <c r="L160" s="128">
        <f>IFERROR(lifespans_all!M158*DTE_mission_minutes!M2,"-")</f>
        <v>0</v>
      </c>
      <c r="M160" s="128">
        <f>IFERROR(lifespans_all!N158*DTE_mission_minutes!N2,"-")</f>
        <v>0</v>
      </c>
      <c r="N160" s="128">
        <f>IFERROR(lifespans_all!O158*DTE_mission_minutes!O2,"-")</f>
        <v>0</v>
      </c>
      <c r="O160" s="128">
        <f>IFERROR(lifespans_all!P158*DTE_mission_minutes!P2,"-")</f>
        <v>0</v>
      </c>
      <c r="P160" s="128">
        <f>IFERROR(lifespans_all!Q158*DTE_mission_minutes!Q2,"-")</f>
        <v>0</v>
      </c>
      <c r="Q160" s="128">
        <f>IFERROR(lifespans_all!R158*DTE_mission_minutes!R2,"-")</f>
        <v>0</v>
      </c>
      <c r="R160" s="128">
        <f>IFERROR(lifespans_all!S158*DTE_mission_minutes!S2,"-")</f>
        <v>0</v>
      </c>
      <c r="S160" s="128">
        <f>IFERROR(lifespans_all!T158*DTE_mission_minutes!T2,"-")</f>
        <v>0</v>
      </c>
      <c r="T160" s="128">
        <f>IFERROR(lifespans_all!U158*DTE_mission_minutes!U2,"-")</f>
        <v>0</v>
      </c>
      <c r="U160" s="128">
        <f>IFERROR(lifespans_all!V158*DTE_mission_minutes!V2,"-")</f>
        <v>0</v>
      </c>
      <c r="V160" s="128">
        <f>IFERROR(lifespans_all!W158*DTE_mission_minutes!W2,"-")</f>
        <v>0</v>
      </c>
    </row>
    <row r="161" spans="1:22" x14ac:dyDescent="0.25">
      <c r="A161" s="46" t="s">
        <v>33</v>
      </c>
      <c r="B161" s="47" t="s">
        <v>57</v>
      </c>
      <c r="C161" s="128">
        <f>IFERROR(lifespans_all!D159*DTE_mission_minutes!D3,"-")</f>
        <v>2249.4702694444441</v>
      </c>
      <c r="D161" s="128">
        <f>IFERROR(lifespans_all!E159*DTE_mission_minutes!E3,"-")</f>
        <v>1189.7750000000001</v>
      </c>
      <c r="E161" s="128">
        <f>IFERROR(lifespans_all!F159*DTE_mission_minutes!F3,"-")</f>
        <v>649.57638888888891</v>
      </c>
      <c r="F161" s="128">
        <f>IFERROR(lifespans_all!G159*DTE_mission_minutes!G3,"-")</f>
        <v>1663.1641649999997</v>
      </c>
      <c r="G161" s="128">
        <f>IFERROR(lifespans_all!H159*DTE_mission_minutes!H3,"-")</f>
        <v>0</v>
      </c>
      <c r="H161" s="128">
        <f>IFERROR(lifespans_all!I159*DTE_mission_minutes!I3,"-")</f>
        <v>0</v>
      </c>
      <c r="I161" s="128">
        <f>IFERROR(lifespans_all!J159*DTE_mission_minutes!J3,"-")</f>
        <v>0</v>
      </c>
      <c r="J161" s="128">
        <f>IFERROR(lifespans_all!K159*DTE_mission_minutes!K3,"-")</f>
        <v>0</v>
      </c>
      <c r="K161" s="128">
        <f>IFERROR(lifespans_all!L159*DTE_mission_minutes!L3,"-")</f>
        <v>0</v>
      </c>
      <c r="L161" s="128">
        <f>IFERROR(lifespans_all!M159*DTE_mission_minutes!M3,"-")</f>
        <v>0</v>
      </c>
      <c r="M161" s="128">
        <f>IFERROR(lifespans_all!N159*DTE_mission_minutes!N3,"-")</f>
        <v>0</v>
      </c>
      <c r="N161" s="128">
        <f>IFERROR(lifespans_all!O159*DTE_mission_minutes!O3,"-")</f>
        <v>0</v>
      </c>
      <c r="O161" s="128">
        <f>IFERROR(lifespans_all!P159*DTE_mission_minutes!P3,"-")</f>
        <v>0</v>
      </c>
      <c r="P161" s="128">
        <f>IFERROR(lifespans_all!Q159*DTE_mission_minutes!Q3,"-")</f>
        <v>0</v>
      </c>
      <c r="Q161" s="128">
        <f>IFERROR(lifespans_all!R159*DTE_mission_minutes!R3,"-")</f>
        <v>0</v>
      </c>
      <c r="R161" s="128">
        <f>IFERROR(lifespans_all!S159*DTE_mission_minutes!S3,"-")</f>
        <v>0</v>
      </c>
      <c r="S161" s="128">
        <f>IFERROR(lifespans_all!T159*DTE_mission_minutes!T3,"-")</f>
        <v>0</v>
      </c>
      <c r="T161" s="128">
        <f>IFERROR(lifespans_all!U159*DTE_mission_minutes!U3,"-")</f>
        <v>0</v>
      </c>
      <c r="U161" s="128">
        <f>IFERROR(lifespans_all!V159*DTE_mission_minutes!V3,"-")</f>
        <v>0</v>
      </c>
      <c r="V161" s="128">
        <f>IFERROR(lifespans_all!W159*DTE_mission_minutes!W3,"-")</f>
        <v>0</v>
      </c>
    </row>
    <row r="162" spans="1:22" x14ac:dyDescent="0.25">
      <c r="A162" s="46" t="s">
        <v>65</v>
      </c>
      <c r="B162" s="47" t="s">
        <v>57</v>
      </c>
      <c r="C162" s="128">
        <f>IFERROR(lifespans_all!D160*DTE_mission_minutes!D4,"-")</f>
        <v>1151.5091666666667</v>
      </c>
      <c r="D162" s="128">
        <f>IFERROR(lifespans_all!E160*DTE_mission_minutes!E4,"-")</f>
        <v>1164.4527777777778</v>
      </c>
      <c r="E162" s="128">
        <f>IFERROR(lifespans_all!F160*DTE_mission_minutes!F4,"-")</f>
        <v>862.00805555555553</v>
      </c>
      <c r="F162" s="128">
        <f>IFERROR(lifespans_all!G160*DTE_mission_minutes!G4,"-")</f>
        <v>1093.0107777777775</v>
      </c>
      <c r="G162" s="128">
        <f>IFERROR(lifespans_all!H160*DTE_mission_minutes!H4,"-")</f>
        <v>1093.0107777777775</v>
      </c>
      <c r="H162" s="128">
        <f>IFERROR(lifespans_all!I160*DTE_mission_minutes!I4,"-")</f>
        <v>1093.0107777777775</v>
      </c>
      <c r="I162" s="128">
        <f>IFERROR(lifespans_all!J160*DTE_mission_minutes!J4,"-")</f>
        <v>0</v>
      </c>
      <c r="J162" s="128">
        <f>IFERROR(lifespans_all!K160*DTE_mission_minutes!K4,"-")</f>
        <v>0</v>
      </c>
      <c r="K162" s="128">
        <f>IFERROR(lifespans_all!L160*DTE_mission_minutes!L4,"-")</f>
        <v>0</v>
      </c>
      <c r="L162" s="128">
        <f>IFERROR(lifespans_all!M160*DTE_mission_minutes!M4,"-")</f>
        <v>0</v>
      </c>
      <c r="M162" s="128">
        <f>IFERROR(lifespans_all!N160*DTE_mission_minutes!N4,"-")</f>
        <v>0</v>
      </c>
      <c r="N162" s="128">
        <f>IFERROR(lifespans_all!O160*DTE_mission_minutes!O4,"-")</f>
        <v>0</v>
      </c>
      <c r="O162" s="128">
        <f>IFERROR(lifespans_all!P160*DTE_mission_minutes!P4,"-")</f>
        <v>0</v>
      </c>
      <c r="P162" s="128">
        <f>IFERROR(lifespans_all!Q160*DTE_mission_minutes!Q4,"-")</f>
        <v>0</v>
      </c>
      <c r="Q162" s="128">
        <f>IFERROR(lifespans_all!R160*DTE_mission_minutes!R4,"-")</f>
        <v>0</v>
      </c>
      <c r="R162" s="128">
        <f>IFERROR(lifespans_all!S160*DTE_mission_minutes!S4,"-")</f>
        <v>0</v>
      </c>
      <c r="S162" s="128">
        <f>IFERROR(lifespans_all!T160*DTE_mission_minutes!T4,"-")</f>
        <v>0</v>
      </c>
      <c r="T162" s="128">
        <f>IFERROR(lifespans_all!U160*DTE_mission_minutes!U4,"-")</f>
        <v>0</v>
      </c>
      <c r="U162" s="128">
        <f>IFERROR(lifespans_all!V160*DTE_mission_minutes!V4,"-")</f>
        <v>0</v>
      </c>
      <c r="V162" s="128">
        <f>IFERROR(lifespans_all!W160*DTE_mission_minutes!W4,"-")</f>
        <v>0</v>
      </c>
    </row>
    <row r="163" spans="1:22" x14ac:dyDescent="0.25">
      <c r="A163" s="46" t="s">
        <v>66</v>
      </c>
      <c r="B163" s="53" t="s">
        <v>59</v>
      </c>
      <c r="C163" s="128">
        <f>IFERROR(lifespans_all!D161*DTE_mission_minutes!D5,"-")</f>
        <v>171572.29579277776</v>
      </c>
      <c r="D163" s="128">
        <f>IFERROR(lifespans_all!E161*DTE_mission_minutes!E5,"-")</f>
        <v>171572.29579277776</v>
      </c>
      <c r="E163" s="128">
        <f>IFERROR(lifespans_all!F161*DTE_mission_minutes!F5,"-")</f>
        <v>171572.29579277776</v>
      </c>
      <c r="F163" s="128">
        <f>IFERROR(lifespans_all!G161*DTE_mission_minutes!G5,"-")</f>
        <v>171572.29579277776</v>
      </c>
      <c r="G163" s="128">
        <f>IFERROR(lifespans_all!H161*DTE_mission_minutes!H5,"-")</f>
        <v>171572.29579277776</v>
      </c>
      <c r="H163" s="128">
        <f>IFERROR(lifespans_all!I161*DTE_mission_minutes!I5,"-")</f>
        <v>171572.29579277776</v>
      </c>
      <c r="I163" s="128">
        <f>IFERROR(lifespans_all!J161*DTE_mission_minutes!J5,"-")</f>
        <v>171572.29579277776</v>
      </c>
      <c r="J163" s="128">
        <f>IFERROR(lifespans_all!K161*DTE_mission_minutes!K5,"-")</f>
        <v>171572.29579277776</v>
      </c>
      <c r="K163" s="128">
        <f>IFERROR(lifespans_all!L161*DTE_mission_minutes!L5,"-")</f>
        <v>171572.29579277776</v>
      </c>
      <c r="L163" s="128">
        <f>IFERROR(lifespans_all!M161*DTE_mission_minutes!M5,"-")</f>
        <v>171572.29579277776</v>
      </c>
      <c r="M163" s="128">
        <f>IFERROR(lifespans_all!N161*DTE_mission_minutes!N5,"-")</f>
        <v>171572.29579277776</v>
      </c>
      <c r="N163" s="128">
        <f>IFERROR(lifespans_all!O161*DTE_mission_minutes!O5,"-")</f>
        <v>171572.29579277776</v>
      </c>
      <c r="O163" s="128">
        <f>IFERROR(lifespans_all!P161*DTE_mission_minutes!P5,"-")</f>
        <v>171572.29579277776</v>
      </c>
      <c r="P163" s="128">
        <f>IFERROR(lifespans_all!Q161*DTE_mission_minutes!Q5,"-")</f>
        <v>171572.29579277776</v>
      </c>
      <c r="Q163" s="128">
        <f>IFERROR(lifespans_all!R161*DTE_mission_minutes!R5,"-")</f>
        <v>171572.29579277776</v>
      </c>
      <c r="R163" s="128">
        <f>IFERROR(lifespans_all!S161*DTE_mission_minutes!S5,"-")</f>
        <v>171572.29579277776</v>
      </c>
      <c r="S163" s="128">
        <f>IFERROR(lifespans_all!T161*DTE_mission_minutes!T5,"-")</f>
        <v>171572.29579277776</v>
      </c>
      <c r="T163" s="128">
        <f>IFERROR(lifespans_all!U161*DTE_mission_minutes!U5,"-")</f>
        <v>171572.29579277776</v>
      </c>
      <c r="U163" s="128">
        <f>IFERROR(lifespans_all!V161*DTE_mission_minutes!V5,"-")</f>
        <v>171572.29579277776</v>
      </c>
      <c r="V163" s="128">
        <f>IFERROR(lifespans_all!W161*DTE_mission_minutes!W5,"-")</f>
        <v>171572.29579277776</v>
      </c>
    </row>
    <row r="164" spans="1:22" x14ac:dyDescent="0.25">
      <c r="A164" s="46" t="s">
        <v>67</v>
      </c>
      <c r="B164" s="54" t="s">
        <v>58</v>
      </c>
      <c r="C164" s="128">
        <f>IFERROR(lifespans_all!D162*DTE_mission_minutes!D6,"-")</f>
        <v>30.559216666666664</v>
      </c>
      <c r="D164" s="128">
        <f>IFERROR(lifespans_all!E162*DTE_mission_minutes!E6,"-")</f>
        <v>69.774163888888879</v>
      </c>
      <c r="E164" s="128">
        <f>IFERROR(lifespans_all!F162*DTE_mission_minutes!F6,"-")</f>
        <v>18.289311111111111</v>
      </c>
      <c r="F164" s="128">
        <f>IFERROR(lifespans_all!G162*DTE_mission_minutes!G6,"-")</f>
        <v>35.440637222222215</v>
      </c>
      <c r="G164" s="128">
        <f>IFERROR(lifespans_all!H162*DTE_mission_minutes!H6,"-")</f>
        <v>0</v>
      </c>
      <c r="H164" s="128">
        <f>IFERROR(lifespans_all!I162*DTE_mission_minutes!I6,"-")</f>
        <v>0</v>
      </c>
      <c r="I164" s="128">
        <f>IFERROR(lifespans_all!J162*DTE_mission_minutes!J6,"-")</f>
        <v>0</v>
      </c>
      <c r="J164" s="128">
        <f>IFERROR(lifespans_all!K162*DTE_mission_minutes!K6,"-")</f>
        <v>0</v>
      </c>
      <c r="K164" s="128">
        <f>IFERROR(lifespans_all!L162*DTE_mission_minutes!L6,"-")</f>
        <v>0</v>
      </c>
      <c r="L164" s="128">
        <f>IFERROR(lifespans_all!M162*DTE_mission_minutes!M6,"-")</f>
        <v>0</v>
      </c>
      <c r="M164" s="128">
        <f>IFERROR(lifespans_all!N162*DTE_mission_minutes!N6,"-")</f>
        <v>0</v>
      </c>
      <c r="N164" s="128">
        <f>IFERROR(lifespans_all!O162*DTE_mission_minutes!O6,"-")</f>
        <v>0</v>
      </c>
      <c r="O164" s="128">
        <f>IFERROR(lifespans_all!P162*DTE_mission_minutes!P6,"-")</f>
        <v>0</v>
      </c>
      <c r="P164" s="128">
        <f>IFERROR(lifespans_all!Q162*DTE_mission_minutes!Q6,"-")</f>
        <v>0</v>
      </c>
      <c r="Q164" s="128">
        <f>IFERROR(lifespans_all!R162*DTE_mission_minutes!R6,"-")</f>
        <v>0</v>
      </c>
      <c r="R164" s="128">
        <f>IFERROR(lifespans_all!S162*DTE_mission_minutes!S6,"-")</f>
        <v>0</v>
      </c>
      <c r="S164" s="128">
        <f>IFERROR(lifespans_all!T162*DTE_mission_minutes!T6,"-")</f>
        <v>0</v>
      </c>
      <c r="T164" s="128">
        <f>IFERROR(lifespans_all!U162*DTE_mission_minutes!U6,"-")</f>
        <v>0</v>
      </c>
      <c r="U164" s="128">
        <f>IFERROR(lifespans_all!V162*DTE_mission_minutes!V6,"-")</f>
        <v>0</v>
      </c>
      <c r="V164" s="128">
        <f>IFERROR(lifespans_all!W162*DTE_mission_minutes!W6,"-")</f>
        <v>0</v>
      </c>
    </row>
    <row r="165" spans="1:22" x14ac:dyDescent="0.25">
      <c r="A165" s="46" t="s">
        <v>68</v>
      </c>
      <c r="B165" s="47" t="s">
        <v>57</v>
      </c>
      <c r="C165" s="128">
        <f>IFERROR(lifespans_all!D163*DTE_mission_minutes!D7,"-")</f>
        <v>667.42555555555555</v>
      </c>
      <c r="D165" s="128">
        <f>IFERROR(lifespans_all!E163*DTE_mission_minutes!E7,"-")</f>
        <v>707.53916666666669</v>
      </c>
      <c r="E165" s="128">
        <f>IFERROR(lifespans_all!F163*DTE_mission_minutes!F7,"-")</f>
        <v>608.43833333333339</v>
      </c>
      <c r="F165" s="128">
        <f>IFERROR(lifespans_all!G163*DTE_mission_minutes!G7,"-")</f>
        <v>671.11811111111115</v>
      </c>
      <c r="G165" s="128">
        <f>IFERROR(lifespans_all!H163*DTE_mission_minutes!H7,"-")</f>
        <v>671.11811111111115</v>
      </c>
      <c r="H165" s="128">
        <f>IFERROR(lifespans_all!I163*DTE_mission_minutes!I7,"-")</f>
        <v>671.11811111111115</v>
      </c>
      <c r="I165" s="128">
        <f>IFERROR(lifespans_all!J163*DTE_mission_minutes!J7,"-")</f>
        <v>0</v>
      </c>
      <c r="J165" s="128">
        <f>IFERROR(lifespans_all!K163*DTE_mission_minutes!K7,"-")</f>
        <v>0</v>
      </c>
      <c r="K165" s="128">
        <f>IFERROR(lifespans_all!L163*DTE_mission_minutes!L7,"-")</f>
        <v>0</v>
      </c>
      <c r="L165" s="128">
        <f>IFERROR(lifespans_all!M163*DTE_mission_minutes!M7,"-")</f>
        <v>0</v>
      </c>
      <c r="M165" s="128">
        <f>IFERROR(lifespans_all!N163*DTE_mission_minutes!N7,"-")</f>
        <v>0</v>
      </c>
      <c r="N165" s="128">
        <f>IFERROR(lifespans_all!O163*DTE_mission_minutes!O7,"-")</f>
        <v>0</v>
      </c>
      <c r="O165" s="128">
        <f>IFERROR(lifespans_all!P163*DTE_mission_minutes!P7,"-")</f>
        <v>0</v>
      </c>
      <c r="P165" s="128">
        <f>IFERROR(lifespans_all!Q163*DTE_mission_minutes!Q7,"-")</f>
        <v>0</v>
      </c>
      <c r="Q165" s="128">
        <f>IFERROR(lifespans_all!R163*DTE_mission_minutes!R7,"-")</f>
        <v>0</v>
      </c>
      <c r="R165" s="128">
        <f>IFERROR(lifespans_all!S163*DTE_mission_minutes!S7,"-")</f>
        <v>0</v>
      </c>
      <c r="S165" s="128">
        <f>IFERROR(lifespans_all!T163*DTE_mission_minutes!T7,"-")</f>
        <v>0</v>
      </c>
      <c r="T165" s="128">
        <f>IFERROR(lifespans_all!U163*DTE_mission_minutes!U7,"-")</f>
        <v>0</v>
      </c>
      <c r="U165" s="128">
        <f>IFERROR(lifespans_all!V163*DTE_mission_minutes!V7,"-")</f>
        <v>0</v>
      </c>
      <c r="V165" s="128">
        <f>IFERROR(lifespans_all!W163*DTE_mission_minutes!W7,"-")</f>
        <v>0</v>
      </c>
    </row>
    <row r="166" spans="1:22" x14ac:dyDescent="0.25">
      <c r="A166" s="46" t="s">
        <v>34</v>
      </c>
      <c r="B166" s="55" t="s">
        <v>64</v>
      </c>
      <c r="C166" s="128">
        <f>IFERROR(lifespans_all!D164*DTE_mission_minutes!D8,"-")</f>
        <v>508.14004722222222</v>
      </c>
      <c r="D166" s="128">
        <f>IFERROR(lifespans_all!E164*DTE_mission_minutes!E8,"-")</f>
        <v>377.5913888888889</v>
      </c>
      <c r="E166" s="128">
        <f>IFERROR(lifespans_all!F164*DTE_mission_minutes!F8,"-")</f>
        <v>307.24861111111113</v>
      </c>
      <c r="F166" s="128">
        <f>IFERROR(lifespans_all!G164*DTE_mission_minutes!G8,"-")</f>
        <v>392.20349666666669</v>
      </c>
      <c r="G166" s="128">
        <f>IFERROR(lifespans_all!H164*DTE_mission_minutes!H8,"-")</f>
        <v>392.20349666666669</v>
      </c>
      <c r="H166" s="128">
        <f>IFERROR(lifespans_all!I164*DTE_mission_minutes!I8,"-")</f>
        <v>392.20349666666669</v>
      </c>
      <c r="I166" s="128">
        <f>IFERROR(lifespans_all!J164*DTE_mission_minutes!J8,"-")</f>
        <v>392.20349666666669</v>
      </c>
      <c r="J166" s="128">
        <f>IFERROR(lifespans_all!K164*DTE_mission_minutes!K8,"-")</f>
        <v>392.20349666666669</v>
      </c>
      <c r="K166" s="128">
        <f>IFERROR(lifespans_all!L164*DTE_mission_minutes!L8,"-")</f>
        <v>392.20349666666669</v>
      </c>
      <c r="L166" s="128">
        <f>IFERROR(lifespans_all!M164*DTE_mission_minutes!M8,"-")</f>
        <v>392.20349666666669</v>
      </c>
      <c r="M166" s="128">
        <f>IFERROR(lifespans_all!N164*DTE_mission_minutes!N8,"-")</f>
        <v>392.20349666666669</v>
      </c>
      <c r="N166" s="128">
        <f>IFERROR(lifespans_all!O164*DTE_mission_minutes!O8,"-")</f>
        <v>392.20349666666669</v>
      </c>
      <c r="O166" s="128">
        <f>IFERROR(lifespans_all!P164*DTE_mission_minutes!P8,"-")</f>
        <v>392.20349666666669</v>
      </c>
      <c r="P166" s="128">
        <f>IFERROR(lifespans_all!Q164*DTE_mission_minutes!Q8,"-")</f>
        <v>392.20349666666669</v>
      </c>
      <c r="Q166" s="128">
        <f>IFERROR(lifespans_all!R164*DTE_mission_minutes!R8,"-")</f>
        <v>392.20349666666669</v>
      </c>
      <c r="R166" s="128">
        <f>IFERROR(lifespans_all!S164*DTE_mission_minutes!S8,"-")</f>
        <v>392.20349666666669</v>
      </c>
      <c r="S166" s="128">
        <f>IFERROR(lifespans_all!T164*DTE_mission_minutes!T8,"-")</f>
        <v>392.20349666666669</v>
      </c>
      <c r="T166" s="128">
        <f>IFERROR(lifespans_all!U164*DTE_mission_minutes!U8,"-")</f>
        <v>392.20349666666669</v>
      </c>
      <c r="U166" s="128">
        <f>IFERROR(lifespans_all!V164*DTE_mission_minutes!V8,"-")</f>
        <v>392.20349666666669</v>
      </c>
      <c r="V166" s="128">
        <f>IFERROR(lifespans_all!W164*DTE_mission_minutes!W8,"-")</f>
        <v>392.20349666666669</v>
      </c>
    </row>
    <row r="167" spans="1:22" x14ac:dyDescent="0.25">
      <c r="A167" s="46" t="s">
        <v>69</v>
      </c>
      <c r="B167" s="47" t="s">
        <v>57</v>
      </c>
      <c r="C167" s="128">
        <f>IFERROR(lifespans_all!D165*DTE_mission_minutes!D9,"-")</f>
        <v>0</v>
      </c>
      <c r="D167" s="128">
        <f>IFERROR(lifespans_all!E165*DTE_mission_minutes!E9,"-")</f>
        <v>0</v>
      </c>
      <c r="E167" s="128">
        <f>IFERROR(lifespans_all!F165*DTE_mission_minutes!F9,"-")</f>
        <v>0</v>
      </c>
      <c r="F167" s="128">
        <f>IFERROR(lifespans_all!G165*DTE_mission_minutes!G9,"-")</f>
        <v>0</v>
      </c>
      <c r="G167" s="128">
        <f>IFERROR(lifespans_all!H165*DTE_mission_minutes!H9,"-")</f>
        <v>0</v>
      </c>
      <c r="H167" s="128">
        <f>IFERROR(lifespans_all!I165*DTE_mission_minutes!I9,"-")</f>
        <v>0</v>
      </c>
      <c r="I167" s="128">
        <f>IFERROR(lifespans_all!J165*DTE_mission_minutes!J9,"-")</f>
        <v>0</v>
      </c>
      <c r="J167" s="128">
        <f>IFERROR(lifespans_all!K165*DTE_mission_minutes!K9,"-")</f>
        <v>0</v>
      </c>
      <c r="K167" s="128">
        <f>IFERROR(lifespans_all!L165*DTE_mission_minutes!L9,"-")</f>
        <v>0</v>
      </c>
      <c r="L167" s="128">
        <f>IFERROR(lifespans_all!M165*DTE_mission_minutes!M9,"-")</f>
        <v>0</v>
      </c>
      <c r="M167" s="128">
        <f>IFERROR(lifespans_all!N165*DTE_mission_minutes!N9,"-")</f>
        <v>0</v>
      </c>
      <c r="N167" s="128">
        <f>IFERROR(lifespans_all!O165*DTE_mission_minutes!O9,"-")</f>
        <v>0</v>
      </c>
      <c r="O167" s="128">
        <f>IFERROR(lifespans_all!P165*DTE_mission_minutes!P9,"-")</f>
        <v>0</v>
      </c>
      <c r="P167" s="128">
        <f>IFERROR(lifespans_all!Q165*DTE_mission_minutes!Q9,"-")</f>
        <v>0</v>
      </c>
      <c r="Q167" s="128">
        <f>IFERROR(lifespans_all!R165*DTE_mission_minutes!R9,"-")</f>
        <v>0</v>
      </c>
      <c r="R167" s="128">
        <f>IFERROR(lifespans_all!S165*DTE_mission_minutes!S9,"-")</f>
        <v>0</v>
      </c>
      <c r="S167" s="128">
        <f>IFERROR(lifespans_all!T165*DTE_mission_minutes!T9,"-")</f>
        <v>0</v>
      </c>
      <c r="T167" s="128">
        <f>IFERROR(lifespans_all!U165*DTE_mission_minutes!U9,"-")</f>
        <v>0</v>
      </c>
      <c r="U167" s="128">
        <f>IFERROR(lifespans_all!V165*DTE_mission_minutes!V9,"-")</f>
        <v>0</v>
      </c>
      <c r="V167" s="128">
        <f>IFERROR(lifespans_all!W165*DTE_mission_minutes!W9,"-")</f>
        <v>0</v>
      </c>
    </row>
    <row r="168" spans="1:22" x14ac:dyDescent="0.25">
      <c r="A168" s="46" t="s">
        <v>70</v>
      </c>
      <c r="B168" s="54" t="s">
        <v>59</v>
      </c>
      <c r="C168" s="128">
        <f>IFERROR(lifespans_all!D166*DTE_mission_minutes!D10,"-")</f>
        <v>1178.5658305555555</v>
      </c>
      <c r="D168" s="128">
        <f>IFERROR(lifespans_all!E166*DTE_mission_minutes!E10,"-")</f>
        <v>779.39891388888896</v>
      </c>
      <c r="E168" s="128">
        <f>IFERROR(lifespans_all!F166*DTE_mission_minutes!F10,"-")</f>
        <v>4.2386111111111111</v>
      </c>
      <c r="F168" s="128">
        <f>IFERROR(lifespans_all!G166*DTE_mission_minutes!G10,"-")</f>
        <v>871.54136999999992</v>
      </c>
      <c r="G168" s="128">
        <f>IFERROR(lifespans_all!H166*DTE_mission_minutes!H10,"-")</f>
        <v>871.54136999999992</v>
      </c>
      <c r="H168" s="128">
        <f>IFERROR(lifespans_all!I166*DTE_mission_minutes!I10,"-")</f>
        <v>871.54136999999992</v>
      </c>
      <c r="I168" s="128">
        <f>IFERROR(lifespans_all!J166*DTE_mission_minutes!J10,"-")</f>
        <v>871.54136999999992</v>
      </c>
      <c r="J168" s="128">
        <f>IFERROR(lifespans_all!K166*DTE_mission_minutes!K10,"-")</f>
        <v>871.54136999999992</v>
      </c>
      <c r="K168" s="128">
        <f>IFERROR(lifespans_all!L166*DTE_mission_minutes!L10,"-")</f>
        <v>871.54136999999992</v>
      </c>
      <c r="L168" s="128">
        <f>IFERROR(lifespans_all!M166*DTE_mission_minutes!M10,"-")</f>
        <v>871.54136999999992</v>
      </c>
      <c r="M168" s="128">
        <f>IFERROR(lifespans_all!N166*DTE_mission_minutes!N10,"-")</f>
        <v>0</v>
      </c>
      <c r="N168" s="128">
        <f>IFERROR(lifespans_all!O166*DTE_mission_minutes!O10,"-")</f>
        <v>0</v>
      </c>
      <c r="O168" s="128">
        <f>IFERROR(lifespans_all!P166*DTE_mission_minutes!P10,"-")</f>
        <v>0</v>
      </c>
      <c r="P168" s="128">
        <f>IFERROR(lifespans_all!Q166*DTE_mission_minutes!Q10,"-")</f>
        <v>0</v>
      </c>
      <c r="Q168" s="128">
        <f>IFERROR(lifespans_all!R166*DTE_mission_minutes!R10,"-")</f>
        <v>0</v>
      </c>
      <c r="R168" s="128">
        <f>IFERROR(lifespans_all!S166*DTE_mission_minutes!S10,"-")</f>
        <v>0</v>
      </c>
      <c r="S168" s="128">
        <f>IFERROR(lifespans_all!T166*DTE_mission_minutes!T10,"-")</f>
        <v>0</v>
      </c>
      <c r="T168" s="128">
        <f>IFERROR(lifespans_all!U166*DTE_mission_minutes!U10,"-")</f>
        <v>0</v>
      </c>
      <c r="U168" s="128">
        <f>IFERROR(lifespans_all!V166*DTE_mission_minutes!V10,"-")</f>
        <v>0</v>
      </c>
      <c r="V168" s="128">
        <f>IFERROR(lifespans_all!W166*DTE_mission_minutes!W10,"-")</f>
        <v>0</v>
      </c>
    </row>
    <row r="169" spans="1:22" x14ac:dyDescent="0.25">
      <c r="A169" s="46" t="s">
        <v>71</v>
      </c>
      <c r="B169" s="54" t="s">
        <v>58</v>
      </c>
      <c r="C169" s="128">
        <f>IFERROR(lifespans_all!D167*DTE_mission_minutes!D11,"-")</f>
        <v>721.11352444444435</v>
      </c>
      <c r="D169" s="128">
        <f>IFERROR(lifespans_all!E167*DTE_mission_minutes!E11,"-")</f>
        <v>721.11352444444435</v>
      </c>
      <c r="E169" s="128">
        <f>IFERROR(lifespans_all!F167*DTE_mission_minutes!F11,"-")</f>
        <v>721.11352444444435</v>
      </c>
      <c r="F169" s="128">
        <f>IFERROR(lifespans_all!G167*DTE_mission_minutes!G11,"-")</f>
        <v>721.11352444444435</v>
      </c>
      <c r="G169" s="128">
        <f>IFERROR(lifespans_all!H167*DTE_mission_minutes!H11,"-")</f>
        <v>721.11352444444435</v>
      </c>
      <c r="H169" s="128">
        <f>IFERROR(lifespans_all!I167*DTE_mission_minutes!I11,"-")</f>
        <v>721.11352444444435</v>
      </c>
      <c r="I169" s="128">
        <f>IFERROR(lifespans_all!J167*DTE_mission_minutes!J11,"-")</f>
        <v>721.11352444444435</v>
      </c>
      <c r="J169" s="128">
        <f>IFERROR(lifespans_all!K167*DTE_mission_minutes!K11,"-")</f>
        <v>721.11352444444435</v>
      </c>
      <c r="K169" s="128">
        <f>IFERROR(lifespans_all!L167*DTE_mission_minutes!L11,"-")</f>
        <v>721.11352444444435</v>
      </c>
      <c r="L169" s="128">
        <f>IFERROR(lifespans_all!M167*DTE_mission_minutes!M11,"-")</f>
        <v>721.11352444444435</v>
      </c>
      <c r="M169" s="128">
        <f>IFERROR(lifespans_all!N167*DTE_mission_minutes!N11,"-")</f>
        <v>721.11352444444435</v>
      </c>
      <c r="N169" s="128">
        <f>IFERROR(lifespans_all!O167*DTE_mission_minutes!O11,"-")</f>
        <v>721.11352444444435</v>
      </c>
      <c r="O169" s="128">
        <f>IFERROR(lifespans_all!P167*DTE_mission_minutes!P11,"-")</f>
        <v>721.11352444444435</v>
      </c>
      <c r="P169" s="128">
        <f>IFERROR(lifespans_all!Q167*DTE_mission_minutes!Q11,"-")</f>
        <v>721.11352444444435</v>
      </c>
      <c r="Q169" s="128">
        <f>IFERROR(lifespans_all!R167*DTE_mission_minutes!R11,"-")</f>
        <v>721.11352444444435</v>
      </c>
      <c r="R169" s="128">
        <f>IFERROR(lifespans_all!S167*DTE_mission_minutes!S11,"-")</f>
        <v>721.11352444444435</v>
      </c>
      <c r="S169" s="128">
        <f>IFERROR(lifespans_all!T167*DTE_mission_minutes!T11,"-")</f>
        <v>721.11352444444435</v>
      </c>
      <c r="T169" s="128">
        <f>IFERROR(lifespans_all!U167*DTE_mission_minutes!U11,"-")</f>
        <v>721.11352444444435</v>
      </c>
      <c r="U169" s="128">
        <f>IFERROR(lifespans_all!V167*DTE_mission_minutes!V11,"-")</f>
        <v>721.11352444444435</v>
      </c>
      <c r="V169" s="128">
        <f>IFERROR(lifespans_all!W167*DTE_mission_minutes!W11,"-")</f>
        <v>721.11352444444435</v>
      </c>
    </row>
    <row r="170" spans="1:22" x14ac:dyDescent="0.25">
      <c r="A170" s="46" t="s">
        <v>72</v>
      </c>
      <c r="B170" s="53" t="s">
        <v>59</v>
      </c>
      <c r="C170" s="128">
        <f>IFERROR(lifespans_all!D168*DTE_mission_minutes!D12,"-")</f>
        <v>171572.29579277776</v>
      </c>
      <c r="D170" s="128">
        <f>IFERROR(lifespans_all!E168*DTE_mission_minutes!E12,"-")</f>
        <v>171572.29579277776</v>
      </c>
      <c r="E170" s="128">
        <f>IFERROR(lifespans_all!F168*DTE_mission_minutes!F12,"-")</f>
        <v>171572.29579277776</v>
      </c>
      <c r="F170" s="128">
        <f>IFERROR(lifespans_all!G168*DTE_mission_minutes!G12,"-")</f>
        <v>171572.29579277776</v>
      </c>
      <c r="G170" s="128">
        <f>IFERROR(lifespans_all!H168*DTE_mission_minutes!H12,"-")</f>
        <v>171572.29579277776</v>
      </c>
      <c r="H170" s="128">
        <f>IFERROR(lifespans_all!I168*DTE_mission_minutes!I12,"-")</f>
        <v>171572.29579277776</v>
      </c>
      <c r="I170" s="128">
        <f>IFERROR(lifespans_all!J168*DTE_mission_minutes!J12,"-")</f>
        <v>171572.29579277776</v>
      </c>
      <c r="J170" s="128">
        <f>IFERROR(lifespans_all!K168*DTE_mission_minutes!K12,"-")</f>
        <v>171572.29579277776</v>
      </c>
      <c r="K170" s="128">
        <f>IFERROR(lifespans_all!L168*DTE_mission_minutes!L12,"-")</f>
        <v>171572.29579277776</v>
      </c>
      <c r="L170" s="128">
        <f>IFERROR(lifespans_all!M168*DTE_mission_minutes!M12,"-")</f>
        <v>171572.29579277776</v>
      </c>
      <c r="M170" s="128">
        <f>IFERROR(lifespans_all!N168*DTE_mission_minutes!N12,"-")</f>
        <v>171572.29579277776</v>
      </c>
      <c r="N170" s="128">
        <f>IFERROR(lifespans_all!O168*DTE_mission_minutes!O12,"-")</f>
        <v>171572.29579277776</v>
      </c>
      <c r="O170" s="128">
        <f>IFERROR(lifespans_all!P168*DTE_mission_minutes!P12,"-")</f>
        <v>171572.29579277776</v>
      </c>
      <c r="P170" s="128">
        <f>IFERROR(lifespans_all!Q168*DTE_mission_minutes!Q12,"-")</f>
        <v>171572.29579277776</v>
      </c>
      <c r="Q170" s="128">
        <f>IFERROR(lifespans_all!R168*DTE_mission_minutes!R12,"-")</f>
        <v>171572.29579277776</v>
      </c>
      <c r="R170" s="128">
        <f>IFERROR(lifespans_all!S168*DTE_mission_minutes!S12,"-")</f>
        <v>171572.29579277776</v>
      </c>
      <c r="S170" s="128">
        <f>IFERROR(lifespans_all!T168*DTE_mission_minutes!T12,"-")</f>
        <v>171572.29579277776</v>
      </c>
      <c r="T170" s="128">
        <f>IFERROR(lifespans_all!U168*DTE_mission_minutes!U12,"-")</f>
        <v>171572.29579277776</v>
      </c>
      <c r="U170" s="128">
        <f>IFERROR(lifespans_all!V168*DTE_mission_minutes!V12,"-")</f>
        <v>171572.29579277776</v>
      </c>
      <c r="V170" s="128">
        <f>IFERROR(lifespans_all!W168*DTE_mission_minutes!W12,"-")</f>
        <v>171572.29579277776</v>
      </c>
    </row>
    <row r="171" spans="1:22" x14ac:dyDescent="0.25">
      <c r="A171" s="46" t="s">
        <v>82</v>
      </c>
      <c r="B171" s="55" t="s">
        <v>64</v>
      </c>
      <c r="C171" s="128" t="str">
        <f>IFERROR(lifespans_all!D169*DTE_mission_minutes!D13,"-")</f>
        <v>-</v>
      </c>
      <c r="D171" s="128" t="str">
        <f>IFERROR(lifespans_all!E169*DTE_mission_minutes!E13,"-")</f>
        <v>-</v>
      </c>
      <c r="E171" s="128" t="str">
        <f>IFERROR(lifespans_all!F169*DTE_mission_minutes!F13,"-")</f>
        <v>-</v>
      </c>
      <c r="F171" s="128" t="str">
        <f>IFERROR(lifespans_all!G169*DTE_mission_minutes!G13,"-")</f>
        <v>-</v>
      </c>
      <c r="G171" s="128" t="str">
        <f>IFERROR(lifespans_all!H169*DTE_mission_minutes!H13,"-")</f>
        <v>-</v>
      </c>
      <c r="H171" s="128" t="str">
        <f>IFERROR(lifespans_all!I169*DTE_mission_minutes!I13,"-")</f>
        <v>-</v>
      </c>
      <c r="I171" s="128" t="str">
        <f>IFERROR(lifespans_all!J169*DTE_mission_minutes!J13,"-")</f>
        <v>-</v>
      </c>
      <c r="J171" s="128" t="str">
        <f>IFERROR(lifespans_all!K169*DTE_mission_minutes!K13,"-")</f>
        <v>-</v>
      </c>
      <c r="K171" s="128" t="str">
        <f>IFERROR(lifespans_all!L169*DTE_mission_minutes!L13,"-")</f>
        <v>-</v>
      </c>
      <c r="L171" s="128" t="str">
        <f>IFERROR(lifespans_all!M169*DTE_mission_minutes!M13,"-")</f>
        <v>-</v>
      </c>
      <c r="M171" s="128" t="str">
        <f>IFERROR(lifespans_all!N169*DTE_mission_minutes!N13,"-")</f>
        <v>-</v>
      </c>
      <c r="N171" s="128" t="str">
        <f>IFERROR(lifespans_all!O169*DTE_mission_minutes!O13,"-")</f>
        <v>-</v>
      </c>
      <c r="O171" s="128" t="str">
        <f>IFERROR(lifespans_all!P169*DTE_mission_minutes!P13,"-")</f>
        <v>-</v>
      </c>
      <c r="P171" s="128" t="str">
        <f>IFERROR(lifespans_all!Q169*DTE_mission_minutes!Q13,"-")</f>
        <v>-</v>
      </c>
      <c r="Q171" s="128" t="str">
        <f>IFERROR(lifespans_all!R169*DTE_mission_minutes!R13,"-")</f>
        <v>-</v>
      </c>
      <c r="R171" s="128" t="str">
        <f>IFERROR(lifespans_all!S169*DTE_mission_minutes!S13,"-")</f>
        <v>-</v>
      </c>
      <c r="S171" s="128" t="str">
        <f>IFERROR(lifespans_all!T169*DTE_mission_minutes!T13,"-")</f>
        <v>-</v>
      </c>
      <c r="T171" s="128" t="str">
        <f>IFERROR(lifespans_all!U169*DTE_mission_minutes!U13,"-")</f>
        <v>-</v>
      </c>
      <c r="U171" s="128" t="str">
        <f>IFERROR(lifespans_all!V169*DTE_mission_minutes!V13,"-")</f>
        <v>-</v>
      </c>
      <c r="V171" s="128" t="str">
        <f>IFERROR(lifespans_all!W169*DTE_mission_minutes!W13,"-")</f>
        <v>-</v>
      </c>
    </row>
    <row r="172" spans="1:22" x14ac:dyDescent="0.25">
      <c r="A172" s="46" t="s">
        <v>35</v>
      </c>
      <c r="B172" s="47" t="s">
        <v>57</v>
      </c>
      <c r="C172" s="128">
        <f>IFERROR(lifespans_all!D170*DTE_mission_minutes!D14,"-")</f>
        <v>851.36055555555549</v>
      </c>
      <c r="D172" s="128">
        <f>IFERROR(lifespans_all!E170*DTE_mission_minutes!E14,"-")</f>
        <v>921.41561944444436</v>
      </c>
      <c r="E172" s="128">
        <f>IFERROR(lifespans_all!F170*DTE_mission_minutes!F14,"-")</f>
        <v>793.34499999999991</v>
      </c>
      <c r="F172" s="128">
        <f>IFERROR(lifespans_all!G170*DTE_mission_minutes!G14,"-")</f>
        <v>796.60534611111109</v>
      </c>
      <c r="G172" s="128">
        <f>IFERROR(lifespans_all!H170*DTE_mission_minutes!H14,"-")</f>
        <v>796.60534611111109</v>
      </c>
      <c r="H172" s="128">
        <f>IFERROR(lifespans_all!I170*DTE_mission_minutes!I14,"-")</f>
        <v>796.60534611111109</v>
      </c>
      <c r="I172" s="128">
        <f>IFERROR(lifespans_all!J170*DTE_mission_minutes!J14,"-")</f>
        <v>796.60534611111109</v>
      </c>
      <c r="J172" s="128">
        <f>IFERROR(lifespans_all!K170*DTE_mission_minutes!K14,"-")</f>
        <v>0</v>
      </c>
      <c r="K172" s="128">
        <f>IFERROR(lifespans_all!L170*DTE_mission_minutes!L14,"-")</f>
        <v>0</v>
      </c>
      <c r="L172" s="128">
        <f>IFERROR(lifespans_all!M170*DTE_mission_minutes!M14,"-")</f>
        <v>0</v>
      </c>
      <c r="M172" s="128">
        <f>IFERROR(lifespans_all!N170*DTE_mission_minutes!N14,"-")</f>
        <v>0</v>
      </c>
      <c r="N172" s="128">
        <f>IFERROR(lifespans_all!O170*DTE_mission_minutes!O14,"-")</f>
        <v>0</v>
      </c>
      <c r="O172" s="128">
        <f>IFERROR(lifespans_all!P170*DTE_mission_minutes!P14,"-")</f>
        <v>0</v>
      </c>
      <c r="P172" s="128">
        <f>IFERROR(lifespans_all!Q170*DTE_mission_minutes!Q14,"-")</f>
        <v>0</v>
      </c>
      <c r="Q172" s="128">
        <f>IFERROR(lifespans_all!R170*DTE_mission_minutes!R14,"-")</f>
        <v>0</v>
      </c>
      <c r="R172" s="128">
        <f>IFERROR(lifespans_all!S170*DTE_mission_minutes!S14,"-")</f>
        <v>0</v>
      </c>
      <c r="S172" s="128">
        <f>IFERROR(lifespans_all!T170*DTE_mission_minutes!T14,"-")</f>
        <v>0</v>
      </c>
      <c r="T172" s="128">
        <f>IFERROR(lifespans_all!U170*DTE_mission_minutes!U14,"-")</f>
        <v>0</v>
      </c>
      <c r="U172" s="128">
        <f>IFERROR(lifespans_all!V170*DTE_mission_minutes!V14,"-")</f>
        <v>0</v>
      </c>
      <c r="V172" s="128">
        <f>IFERROR(lifespans_all!W170*DTE_mission_minutes!W14,"-")</f>
        <v>0</v>
      </c>
    </row>
    <row r="173" spans="1:22" x14ac:dyDescent="0.25">
      <c r="A173" s="59" t="s">
        <v>83</v>
      </c>
      <c r="B173" s="47" t="s">
        <v>56</v>
      </c>
      <c r="C173" s="128">
        <f>IFERROR(lifespans_all!D171*DTE_mission_minutes!D15,"-")</f>
        <v>2140.4341038095235</v>
      </c>
      <c r="D173" s="128">
        <f>IFERROR(lifespans_all!E171*DTE_mission_minutes!E15,"-")</f>
        <v>2140.4341038095235</v>
      </c>
      <c r="E173" s="128">
        <f>IFERROR(lifespans_all!F171*DTE_mission_minutes!F15,"-")</f>
        <v>2140.4341038095235</v>
      </c>
      <c r="F173" s="128">
        <f>IFERROR(lifespans_all!G171*DTE_mission_minutes!G15,"-")</f>
        <v>2140.4341038095235</v>
      </c>
      <c r="G173" s="128">
        <f>IFERROR(lifespans_all!H171*DTE_mission_minutes!H15,"-")</f>
        <v>2140.4341038095235</v>
      </c>
      <c r="H173" s="128">
        <f>IFERROR(lifespans_all!I171*DTE_mission_minutes!I15,"-")</f>
        <v>2140.4341038095235</v>
      </c>
      <c r="I173" s="128">
        <f>IFERROR(lifespans_all!J171*DTE_mission_minutes!J15,"-")</f>
        <v>2140.4341038095235</v>
      </c>
      <c r="J173" s="128">
        <f>IFERROR(lifespans_all!K171*DTE_mission_minutes!K15,"-")</f>
        <v>2140.4341038095235</v>
      </c>
      <c r="K173" s="128">
        <f>IFERROR(lifespans_all!L171*DTE_mission_minutes!L15,"-")</f>
        <v>2140.4341038095235</v>
      </c>
      <c r="L173" s="128">
        <f>IFERROR(lifespans_all!M171*DTE_mission_minutes!M15,"-")</f>
        <v>2140.4341038095235</v>
      </c>
      <c r="M173" s="128">
        <f>IFERROR(lifespans_all!N171*DTE_mission_minutes!N15,"-")</f>
        <v>2140.4341038095235</v>
      </c>
      <c r="N173" s="128">
        <f>IFERROR(lifespans_all!O171*DTE_mission_minutes!O15,"-")</f>
        <v>2140.4341038095235</v>
      </c>
      <c r="O173" s="128">
        <f>IFERROR(lifespans_all!P171*DTE_mission_minutes!P15,"-")</f>
        <v>2140.4341038095235</v>
      </c>
      <c r="P173" s="128">
        <f>IFERROR(lifespans_all!Q171*DTE_mission_minutes!Q15,"-")</f>
        <v>2140.4341038095235</v>
      </c>
      <c r="Q173" s="128">
        <f>IFERROR(lifespans_all!R171*DTE_mission_minutes!R15,"-")</f>
        <v>2140.4341038095235</v>
      </c>
      <c r="R173" s="128">
        <f>IFERROR(lifespans_all!S171*DTE_mission_minutes!S15,"-")</f>
        <v>2140.4341038095235</v>
      </c>
      <c r="S173" s="128">
        <f>IFERROR(lifespans_all!T171*DTE_mission_minutes!T15,"-")</f>
        <v>2140.4341038095235</v>
      </c>
      <c r="T173" s="128">
        <f>IFERROR(lifespans_all!U171*DTE_mission_minutes!U15,"-")</f>
        <v>2140.4341038095235</v>
      </c>
      <c r="U173" s="128">
        <f>IFERROR(lifespans_all!V171*DTE_mission_minutes!V15,"-")</f>
        <v>2140.4341038095235</v>
      </c>
      <c r="V173" s="128">
        <f>IFERROR(lifespans_all!W171*DTE_mission_minutes!W15,"-")</f>
        <v>2140.4341038095235</v>
      </c>
    </row>
    <row r="174" spans="1:22" x14ac:dyDescent="0.25">
      <c r="A174" s="59" t="s">
        <v>84</v>
      </c>
      <c r="B174" s="47" t="s">
        <v>56</v>
      </c>
      <c r="C174" s="128">
        <f>IFERROR(lifespans_all!D172*DTE_mission_minutes!D16,"-")</f>
        <v>2140.4341038095235</v>
      </c>
      <c r="D174" s="128">
        <f>IFERROR(lifespans_all!E172*DTE_mission_minutes!E16,"-")</f>
        <v>2140.4341038095235</v>
      </c>
      <c r="E174" s="128">
        <f>IFERROR(lifespans_all!F172*DTE_mission_minutes!F16,"-")</f>
        <v>2140.4341038095235</v>
      </c>
      <c r="F174" s="128">
        <f>IFERROR(lifespans_all!G172*DTE_mission_minutes!G16,"-")</f>
        <v>2140.4341038095235</v>
      </c>
      <c r="G174" s="128">
        <f>IFERROR(lifespans_all!H172*DTE_mission_minutes!H16,"-")</f>
        <v>2140.4341038095235</v>
      </c>
      <c r="H174" s="128">
        <f>IFERROR(lifespans_all!I172*DTE_mission_minutes!I16,"-")</f>
        <v>2140.4341038095235</v>
      </c>
      <c r="I174" s="128">
        <f>IFERROR(lifespans_all!J172*DTE_mission_minutes!J16,"-")</f>
        <v>2140.4341038095235</v>
      </c>
      <c r="J174" s="128">
        <f>IFERROR(lifespans_all!K172*DTE_mission_minutes!K16,"-")</f>
        <v>2140.4341038095235</v>
      </c>
      <c r="K174" s="128">
        <f>IFERROR(lifespans_all!L172*DTE_mission_minutes!L16,"-")</f>
        <v>2140.4341038095235</v>
      </c>
      <c r="L174" s="128">
        <f>IFERROR(lifespans_all!M172*DTE_mission_minutes!M16,"-")</f>
        <v>2140.4341038095235</v>
      </c>
      <c r="M174" s="128">
        <f>IFERROR(lifespans_all!N172*DTE_mission_minutes!N16,"-")</f>
        <v>2140.4341038095235</v>
      </c>
      <c r="N174" s="128">
        <f>IFERROR(lifespans_all!O172*DTE_mission_minutes!O16,"-")</f>
        <v>2140.4341038095235</v>
      </c>
      <c r="O174" s="128">
        <f>IFERROR(lifespans_all!P172*DTE_mission_minutes!P16,"-")</f>
        <v>2140.4341038095235</v>
      </c>
      <c r="P174" s="128">
        <f>IFERROR(lifespans_all!Q172*DTE_mission_minutes!Q16,"-")</f>
        <v>2140.4341038095235</v>
      </c>
      <c r="Q174" s="128">
        <f>IFERROR(lifespans_all!R172*DTE_mission_minutes!R16,"-")</f>
        <v>2140.4341038095235</v>
      </c>
      <c r="R174" s="128">
        <f>IFERROR(lifespans_all!S172*DTE_mission_minutes!S16,"-")</f>
        <v>2140.4341038095235</v>
      </c>
      <c r="S174" s="128">
        <f>IFERROR(lifespans_all!T172*DTE_mission_minutes!T16,"-")</f>
        <v>2140.4341038095235</v>
      </c>
      <c r="T174" s="128">
        <f>IFERROR(lifespans_all!U172*DTE_mission_minutes!U16,"-")</f>
        <v>2140.4341038095235</v>
      </c>
      <c r="U174" s="128">
        <f>IFERROR(lifespans_all!V172*DTE_mission_minutes!V16,"-")</f>
        <v>2140.4341038095235</v>
      </c>
      <c r="V174" s="128">
        <f>IFERROR(lifespans_all!W172*DTE_mission_minutes!W16,"-")</f>
        <v>2140.4341038095235</v>
      </c>
    </row>
    <row r="175" spans="1:22" x14ac:dyDescent="0.25">
      <c r="A175" s="59" t="s">
        <v>85</v>
      </c>
      <c r="B175" s="47" t="s">
        <v>56</v>
      </c>
      <c r="C175" s="128">
        <f>IFERROR(lifespans_all!D173*DTE_mission_minutes!D17,"-")</f>
        <v>2140.4341038095235</v>
      </c>
      <c r="D175" s="128">
        <f>IFERROR(lifespans_all!E173*DTE_mission_minutes!E17,"-")</f>
        <v>2140.4341038095235</v>
      </c>
      <c r="E175" s="128">
        <f>IFERROR(lifespans_all!F173*DTE_mission_minutes!F17,"-")</f>
        <v>2140.4341038095235</v>
      </c>
      <c r="F175" s="128">
        <f>IFERROR(lifespans_all!G173*DTE_mission_minutes!G17,"-")</f>
        <v>2140.4341038095235</v>
      </c>
      <c r="G175" s="128">
        <f>IFERROR(lifespans_all!H173*DTE_mission_minutes!H17,"-")</f>
        <v>2140.4341038095235</v>
      </c>
      <c r="H175" s="128">
        <f>IFERROR(lifespans_all!I173*DTE_mission_minutes!I17,"-")</f>
        <v>2140.4341038095235</v>
      </c>
      <c r="I175" s="128">
        <f>IFERROR(lifespans_all!J173*DTE_mission_minutes!J17,"-")</f>
        <v>2140.4341038095235</v>
      </c>
      <c r="J175" s="128">
        <f>IFERROR(lifespans_all!K173*DTE_mission_minutes!K17,"-")</f>
        <v>2140.4341038095235</v>
      </c>
      <c r="K175" s="128">
        <f>IFERROR(lifespans_all!L173*DTE_mission_minutes!L17,"-")</f>
        <v>2140.4341038095235</v>
      </c>
      <c r="L175" s="128">
        <f>IFERROR(lifespans_all!M173*DTE_mission_minutes!M17,"-")</f>
        <v>2140.4341038095235</v>
      </c>
      <c r="M175" s="128">
        <f>IFERROR(lifespans_all!N173*DTE_mission_minutes!N17,"-")</f>
        <v>2140.4341038095235</v>
      </c>
      <c r="N175" s="128">
        <f>IFERROR(lifespans_all!O173*DTE_mission_minutes!O17,"-")</f>
        <v>2140.4341038095235</v>
      </c>
      <c r="O175" s="128">
        <f>IFERROR(lifespans_all!P173*DTE_mission_minutes!P17,"-")</f>
        <v>2140.4341038095235</v>
      </c>
      <c r="P175" s="128">
        <f>IFERROR(lifespans_all!Q173*DTE_mission_minutes!Q17,"-")</f>
        <v>2140.4341038095235</v>
      </c>
      <c r="Q175" s="128">
        <f>IFERROR(lifespans_all!R173*DTE_mission_minutes!R17,"-")</f>
        <v>2140.4341038095235</v>
      </c>
      <c r="R175" s="128">
        <f>IFERROR(lifespans_all!S173*DTE_mission_minutes!S17,"-")</f>
        <v>2140.4341038095235</v>
      </c>
      <c r="S175" s="128">
        <f>IFERROR(lifespans_all!T173*DTE_mission_minutes!T17,"-")</f>
        <v>2140.4341038095235</v>
      </c>
      <c r="T175" s="128">
        <f>IFERROR(lifespans_all!U173*DTE_mission_minutes!U17,"-")</f>
        <v>2140.4341038095235</v>
      </c>
      <c r="U175" s="128">
        <f>IFERROR(lifespans_all!V173*DTE_mission_minutes!V17,"-")</f>
        <v>2140.4341038095235</v>
      </c>
      <c r="V175" s="128">
        <f>IFERROR(lifespans_all!W173*DTE_mission_minutes!W17,"-")</f>
        <v>2140.4341038095235</v>
      </c>
    </row>
    <row r="176" spans="1:22" x14ac:dyDescent="0.25">
      <c r="A176" s="59" t="s">
        <v>86</v>
      </c>
      <c r="B176" s="47" t="s">
        <v>56</v>
      </c>
      <c r="C176" s="128">
        <f>IFERROR(lifespans_all!D174*DTE_mission_minutes!D18,"-")</f>
        <v>2140.4341038095235</v>
      </c>
      <c r="D176" s="128">
        <f>IFERROR(lifespans_all!E174*DTE_mission_minutes!E18,"-")</f>
        <v>2140.4341038095235</v>
      </c>
      <c r="E176" s="128">
        <f>IFERROR(lifespans_all!F174*DTE_mission_minutes!F18,"-")</f>
        <v>2140.4341038095235</v>
      </c>
      <c r="F176" s="128">
        <f>IFERROR(lifespans_all!G174*DTE_mission_minutes!G18,"-")</f>
        <v>2140.4341038095235</v>
      </c>
      <c r="G176" s="128">
        <f>IFERROR(lifespans_all!H174*DTE_mission_minutes!H18,"-")</f>
        <v>2140.4341038095235</v>
      </c>
      <c r="H176" s="128">
        <f>IFERROR(lifespans_all!I174*DTE_mission_minutes!I18,"-")</f>
        <v>2140.4341038095235</v>
      </c>
      <c r="I176" s="128">
        <f>IFERROR(lifespans_all!J174*DTE_mission_minutes!J18,"-")</f>
        <v>2140.4341038095235</v>
      </c>
      <c r="J176" s="128">
        <f>IFERROR(lifespans_all!K174*DTE_mission_minutes!K18,"-")</f>
        <v>2140.4341038095235</v>
      </c>
      <c r="K176" s="128">
        <f>IFERROR(lifespans_all!L174*DTE_mission_minutes!L18,"-")</f>
        <v>2140.4341038095235</v>
      </c>
      <c r="L176" s="128">
        <f>IFERROR(lifespans_all!M174*DTE_mission_minutes!M18,"-")</f>
        <v>2140.4341038095235</v>
      </c>
      <c r="M176" s="128">
        <f>IFERROR(lifespans_all!N174*DTE_mission_minutes!N18,"-")</f>
        <v>2140.4341038095235</v>
      </c>
      <c r="N176" s="128">
        <f>IFERROR(lifespans_all!O174*DTE_mission_minutes!O18,"-")</f>
        <v>2140.4341038095235</v>
      </c>
      <c r="O176" s="128">
        <f>IFERROR(lifespans_all!P174*DTE_mission_minutes!P18,"-")</f>
        <v>2140.4341038095235</v>
      </c>
      <c r="P176" s="128">
        <f>IFERROR(lifespans_all!Q174*DTE_mission_minutes!Q18,"-")</f>
        <v>2140.4341038095235</v>
      </c>
      <c r="Q176" s="128">
        <f>IFERROR(lifespans_all!R174*DTE_mission_minutes!R18,"-")</f>
        <v>2140.4341038095235</v>
      </c>
      <c r="R176" s="128">
        <f>IFERROR(lifespans_all!S174*DTE_mission_minutes!S18,"-")</f>
        <v>2140.4341038095235</v>
      </c>
      <c r="S176" s="128">
        <f>IFERROR(lifespans_all!T174*DTE_mission_minutes!T18,"-")</f>
        <v>2140.4341038095235</v>
      </c>
      <c r="T176" s="128">
        <f>IFERROR(lifespans_all!U174*DTE_mission_minutes!U18,"-")</f>
        <v>2140.4341038095235</v>
      </c>
      <c r="U176" s="128">
        <f>IFERROR(lifespans_all!V174*DTE_mission_minutes!V18,"-")</f>
        <v>2140.4341038095235</v>
      </c>
      <c r="V176" s="128">
        <f>IFERROR(lifespans_all!W174*DTE_mission_minutes!W18,"-")</f>
        <v>2140.4341038095235</v>
      </c>
    </row>
    <row r="177" spans="1:22" x14ac:dyDescent="0.25">
      <c r="A177" s="46" t="s">
        <v>36</v>
      </c>
      <c r="B177" s="47" t="s">
        <v>57</v>
      </c>
      <c r="C177" s="128">
        <f>IFERROR(lifespans_all!D175*DTE_mission_minutes!D19,"-")</f>
        <v>3121.1464916666664</v>
      </c>
      <c r="D177" s="128">
        <f>IFERROR(lifespans_all!E175*DTE_mission_minutes!E19,"-")</f>
        <v>3157.8943527777778</v>
      </c>
      <c r="E177" s="128">
        <f>IFERROR(lifespans_all!F175*DTE_mission_minutes!F19,"-")</f>
        <v>2937.5030555555554</v>
      </c>
      <c r="F177" s="128">
        <f>IFERROR(lifespans_all!G175*DTE_mission_minutes!G19,"-")</f>
        <v>3137.9728877777775</v>
      </c>
      <c r="G177" s="128">
        <f>IFERROR(lifespans_all!H175*DTE_mission_minutes!H19,"-")</f>
        <v>3137.9728877777775</v>
      </c>
      <c r="H177" s="128">
        <f>IFERROR(lifespans_all!I175*DTE_mission_minutes!I19,"-")</f>
        <v>3137.9728877777775</v>
      </c>
      <c r="I177" s="128">
        <f>IFERROR(lifespans_all!J175*DTE_mission_minutes!J19,"-")</f>
        <v>3137.9728877777775</v>
      </c>
      <c r="J177" s="128">
        <f>IFERROR(lifespans_all!K175*DTE_mission_minutes!K19,"-")</f>
        <v>3137.9728877777775</v>
      </c>
      <c r="K177" s="128">
        <f>IFERROR(lifespans_all!L175*DTE_mission_minutes!L19,"-")</f>
        <v>3137.9728877777775</v>
      </c>
      <c r="L177" s="128">
        <f>IFERROR(lifespans_all!M175*DTE_mission_minutes!M19,"-")</f>
        <v>3137.9728877777775</v>
      </c>
      <c r="M177" s="128">
        <f>IFERROR(lifespans_all!N175*DTE_mission_minutes!N19,"-")</f>
        <v>3137.9728877777775</v>
      </c>
      <c r="N177" s="128">
        <f>IFERROR(lifespans_all!O175*DTE_mission_minutes!O19,"-")</f>
        <v>3137.9728877777775</v>
      </c>
      <c r="O177" s="128">
        <f>IFERROR(lifespans_all!P175*DTE_mission_minutes!P19,"-")</f>
        <v>3137.9728877777775</v>
      </c>
      <c r="P177" s="128">
        <f>IFERROR(lifespans_all!Q175*DTE_mission_minutes!Q19,"-")</f>
        <v>3137.9728877777775</v>
      </c>
      <c r="Q177" s="128">
        <f>IFERROR(lifespans_all!R175*DTE_mission_minutes!R19,"-")</f>
        <v>3137.9728877777775</v>
      </c>
      <c r="R177" s="128">
        <f>IFERROR(lifespans_all!S175*DTE_mission_minutes!S19,"-")</f>
        <v>3137.9728877777775</v>
      </c>
      <c r="S177" s="128">
        <f>IFERROR(lifespans_all!T175*DTE_mission_minutes!T19,"-")</f>
        <v>3137.9728877777775</v>
      </c>
      <c r="T177" s="128">
        <f>IFERROR(lifespans_all!U175*DTE_mission_minutes!U19,"-")</f>
        <v>3137.9728877777775</v>
      </c>
      <c r="U177" s="128">
        <f>IFERROR(lifespans_all!V175*DTE_mission_minutes!V19,"-")</f>
        <v>3137.9728877777775</v>
      </c>
      <c r="V177" s="128">
        <f>IFERROR(lifespans_all!W175*DTE_mission_minutes!W19,"-")</f>
        <v>3137.9728877777775</v>
      </c>
    </row>
    <row r="178" spans="1:22" x14ac:dyDescent="0.25">
      <c r="A178" s="46" t="s">
        <v>37</v>
      </c>
      <c r="B178" s="47" t="s">
        <v>57</v>
      </c>
      <c r="C178" s="128">
        <f>IFERROR(lifespans_all!D176*DTE_mission_minutes!D20,"-")</f>
        <v>3653.0924999999997</v>
      </c>
      <c r="D178" s="128">
        <f>IFERROR(lifespans_all!E176*DTE_mission_minutes!E20,"-")</f>
        <v>3468.0533333333337</v>
      </c>
      <c r="E178" s="128">
        <f>IFERROR(lifespans_all!F176*DTE_mission_minutes!F20,"-")</f>
        <v>3224.0014777777778</v>
      </c>
      <c r="F178" s="128">
        <f>IFERROR(lifespans_all!G176*DTE_mission_minutes!G20,"-")</f>
        <v>3454.7784394444448</v>
      </c>
      <c r="G178" s="128">
        <f>IFERROR(lifespans_all!H176*DTE_mission_minutes!H20,"-")</f>
        <v>3454.7784394444448</v>
      </c>
      <c r="H178" s="128">
        <f>IFERROR(lifespans_all!I176*DTE_mission_minutes!I20,"-")</f>
        <v>0</v>
      </c>
      <c r="I178" s="128">
        <f>IFERROR(lifespans_all!J176*DTE_mission_minutes!J20,"-")</f>
        <v>0</v>
      </c>
      <c r="J178" s="128">
        <f>IFERROR(lifespans_all!K176*DTE_mission_minutes!K20,"-")</f>
        <v>0</v>
      </c>
      <c r="K178" s="128">
        <f>IFERROR(lifespans_all!L176*DTE_mission_minutes!L20,"-")</f>
        <v>0</v>
      </c>
      <c r="L178" s="128">
        <f>IFERROR(lifespans_all!M176*DTE_mission_minutes!M20,"-")</f>
        <v>0</v>
      </c>
      <c r="M178" s="128">
        <f>IFERROR(lifespans_all!N176*DTE_mission_minutes!N20,"-")</f>
        <v>0</v>
      </c>
      <c r="N178" s="128">
        <f>IFERROR(lifespans_all!O176*DTE_mission_minutes!O20,"-")</f>
        <v>0</v>
      </c>
      <c r="O178" s="128">
        <f>IFERROR(lifespans_all!P176*DTE_mission_minutes!P20,"-")</f>
        <v>0</v>
      </c>
      <c r="P178" s="128">
        <f>IFERROR(lifespans_all!Q176*DTE_mission_minutes!Q20,"-")</f>
        <v>0</v>
      </c>
      <c r="Q178" s="128">
        <f>IFERROR(lifespans_all!R176*DTE_mission_minutes!R20,"-")</f>
        <v>0</v>
      </c>
      <c r="R178" s="128">
        <f>IFERROR(lifespans_all!S176*DTE_mission_minutes!S20,"-")</f>
        <v>0</v>
      </c>
      <c r="S178" s="128">
        <f>IFERROR(lifespans_all!T176*DTE_mission_minutes!T20,"-")</f>
        <v>0</v>
      </c>
      <c r="T178" s="128">
        <f>IFERROR(lifespans_all!U176*DTE_mission_minutes!U20,"-")</f>
        <v>0</v>
      </c>
      <c r="U178" s="128">
        <f>IFERROR(lifespans_all!V176*DTE_mission_minutes!V20,"-")</f>
        <v>0</v>
      </c>
      <c r="V178" s="128">
        <f>IFERROR(lifespans_all!W176*DTE_mission_minutes!W20,"-")</f>
        <v>0</v>
      </c>
    </row>
    <row r="179" spans="1:22" x14ac:dyDescent="0.25">
      <c r="A179" s="46" t="s">
        <v>40</v>
      </c>
      <c r="B179" s="60" t="s">
        <v>58</v>
      </c>
      <c r="C179" s="128">
        <f>IFERROR(lifespans_all!D177*DTE_mission_minutes!D21,"-")</f>
        <v>0</v>
      </c>
      <c r="D179" s="128">
        <f>IFERROR(lifespans_all!E177*DTE_mission_minutes!E21,"-")</f>
        <v>0</v>
      </c>
      <c r="E179" s="128">
        <f>IFERROR(lifespans_all!F177*DTE_mission_minutes!F21,"-")</f>
        <v>0</v>
      </c>
      <c r="F179" s="128">
        <f>IFERROR(lifespans_all!G177*DTE_mission_minutes!G21,"-")</f>
        <v>0</v>
      </c>
      <c r="G179" s="128">
        <f>IFERROR(lifespans_all!H177*DTE_mission_minutes!H21,"-")</f>
        <v>0</v>
      </c>
      <c r="H179" s="128">
        <f>IFERROR(lifespans_all!I177*DTE_mission_minutes!I21,"-")</f>
        <v>0</v>
      </c>
      <c r="I179" s="128">
        <f>IFERROR(lifespans_all!J177*DTE_mission_minutes!J21,"-")</f>
        <v>0</v>
      </c>
      <c r="J179" s="128">
        <f>IFERROR(lifespans_all!K177*DTE_mission_minutes!K21,"-")</f>
        <v>0</v>
      </c>
      <c r="K179" s="128">
        <f>IFERROR(lifespans_all!L177*DTE_mission_minutes!L21,"-")</f>
        <v>0</v>
      </c>
      <c r="L179" s="128">
        <f>IFERROR(lifespans_all!M177*DTE_mission_minutes!M21,"-")</f>
        <v>0</v>
      </c>
      <c r="M179" s="128">
        <f>IFERROR(lifespans_all!N177*DTE_mission_minutes!N21,"-")</f>
        <v>0</v>
      </c>
      <c r="N179" s="128">
        <f>IFERROR(lifespans_all!O177*DTE_mission_minutes!O21,"-")</f>
        <v>0</v>
      </c>
      <c r="O179" s="128">
        <f>IFERROR(lifespans_all!P177*DTE_mission_minutes!P21,"-")</f>
        <v>0</v>
      </c>
      <c r="P179" s="128">
        <f>IFERROR(lifespans_all!Q177*DTE_mission_minutes!Q21,"-")</f>
        <v>0</v>
      </c>
      <c r="Q179" s="128">
        <f>IFERROR(lifespans_all!R177*DTE_mission_minutes!R21,"-")</f>
        <v>0</v>
      </c>
      <c r="R179" s="128">
        <f>IFERROR(lifespans_all!S177*DTE_mission_minutes!S21,"-")</f>
        <v>0</v>
      </c>
      <c r="S179" s="128">
        <f>IFERROR(lifespans_all!T177*DTE_mission_minutes!T21,"-")</f>
        <v>0</v>
      </c>
      <c r="T179" s="128">
        <f>IFERROR(lifespans_all!U177*DTE_mission_minutes!U21,"-")</f>
        <v>0</v>
      </c>
      <c r="U179" s="128">
        <f>IFERROR(lifespans_all!V177*DTE_mission_minutes!V21,"-")</f>
        <v>0</v>
      </c>
      <c r="V179" s="128">
        <f>IFERROR(lifespans_all!W177*DTE_mission_minutes!W21,"-")</f>
        <v>0</v>
      </c>
    </row>
    <row r="180" spans="1:22" x14ac:dyDescent="0.25">
      <c r="A180" s="46" t="s">
        <v>73</v>
      </c>
      <c r="B180" s="47" t="s">
        <v>57</v>
      </c>
      <c r="C180" s="128">
        <f>IFERROR(lifespans_all!D178*DTE_mission_minutes!D22,"-")</f>
        <v>133409.35004928565</v>
      </c>
      <c r="D180" s="128">
        <f>IFERROR(lifespans_all!E178*DTE_mission_minutes!E22,"-")</f>
        <v>133409.35004928565</v>
      </c>
      <c r="E180" s="128">
        <f>IFERROR(lifespans_all!F178*DTE_mission_minutes!F22,"-")</f>
        <v>133409.35004928565</v>
      </c>
      <c r="F180" s="128">
        <f>IFERROR(lifespans_all!G178*DTE_mission_minutes!G22,"-")</f>
        <v>133409.35004928565</v>
      </c>
      <c r="G180" s="128">
        <f>IFERROR(lifespans_all!H178*DTE_mission_minutes!H22,"-")</f>
        <v>133409.35004928565</v>
      </c>
      <c r="H180" s="128">
        <f>IFERROR(lifespans_all!I178*DTE_mission_minutes!I22,"-")</f>
        <v>0</v>
      </c>
      <c r="I180" s="128">
        <f>IFERROR(lifespans_all!J178*DTE_mission_minutes!J22,"-")</f>
        <v>0</v>
      </c>
      <c r="J180" s="128">
        <f>IFERROR(lifespans_all!K178*DTE_mission_minutes!K22,"-")</f>
        <v>0</v>
      </c>
      <c r="K180" s="128">
        <f>IFERROR(lifespans_all!L178*DTE_mission_minutes!L22,"-")</f>
        <v>0</v>
      </c>
      <c r="L180" s="128">
        <f>IFERROR(lifespans_all!M178*DTE_mission_minutes!M22,"-")</f>
        <v>0</v>
      </c>
      <c r="M180" s="128">
        <f>IFERROR(lifespans_all!N178*DTE_mission_minutes!N22,"-")</f>
        <v>0</v>
      </c>
      <c r="N180" s="128">
        <f>IFERROR(lifespans_all!O178*DTE_mission_minutes!O22,"-")</f>
        <v>0</v>
      </c>
      <c r="O180" s="128">
        <f>IFERROR(lifespans_all!P178*DTE_mission_minutes!P22,"-")</f>
        <v>0</v>
      </c>
      <c r="P180" s="128">
        <f>IFERROR(lifespans_all!Q178*DTE_mission_minutes!Q22,"-")</f>
        <v>0</v>
      </c>
      <c r="Q180" s="128">
        <f>IFERROR(lifespans_all!R178*DTE_mission_minutes!R22,"-")</f>
        <v>0</v>
      </c>
      <c r="R180" s="128">
        <f>IFERROR(lifespans_all!S178*DTE_mission_minutes!S22,"-")</f>
        <v>0</v>
      </c>
      <c r="S180" s="128">
        <f>IFERROR(lifespans_all!T178*DTE_mission_minutes!T22,"-")</f>
        <v>0</v>
      </c>
      <c r="T180" s="128">
        <f>IFERROR(lifespans_all!U178*DTE_mission_minutes!U22,"-")</f>
        <v>0</v>
      </c>
      <c r="U180" s="128">
        <f>IFERROR(lifespans_all!V178*DTE_mission_minutes!V22,"-")</f>
        <v>0</v>
      </c>
      <c r="V180" s="128">
        <f>IFERROR(lifespans_all!W178*DTE_mission_minutes!W22,"-")</f>
        <v>0</v>
      </c>
    </row>
    <row r="181" spans="1:22" x14ac:dyDescent="0.25">
      <c r="A181" s="46" t="s">
        <v>38</v>
      </c>
      <c r="B181" s="47" t="s">
        <v>57</v>
      </c>
      <c r="C181" s="128">
        <f>IFERROR(lifespans_all!D179*DTE_mission_minutes!D23,"-")</f>
        <v>21.986611111111113</v>
      </c>
      <c r="D181" s="128">
        <f>IFERROR(lifespans_all!E179*DTE_mission_minutes!E23,"-")</f>
        <v>1.1333333333333333</v>
      </c>
      <c r="E181" s="128">
        <f>IFERROR(lifespans_all!F179*DTE_mission_minutes!F23,"-")</f>
        <v>3.7333333333333334</v>
      </c>
      <c r="F181" s="128">
        <f>IFERROR(lifespans_all!G179*DTE_mission_minutes!G23,"-")</f>
        <v>23.303841111111115</v>
      </c>
      <c r="G181" s="128">
        <f>IFERROR(lifespans_all!H179*DTE_mission_minutes!H23,"-")</f>
        <v>0</v>
      </c>
      <c r="H181" s="128">
        <f>IFERROR(lifespans_all!I179*DTE_mission_minutes!I23,"-")</f>
        <v>0</v>
      </c>
      <c r="I181" s="128">
        <f>IFERROR(lifespans_all!J179*DTE_mission_minutes!J23,"-")</f>
        <v>0</v>
      </c>
      <c r="J181" s="128">
        <f>IFERROR(lifespans_all!K179*DTE_mission_minutes!K23,"-")</f>
        <v>0</v>
      </c>
      <c r="K181" s="128">
        <f>IFERROR(lifespans_all!L179*DTE_mission_minutes!L23,"-")</f>
        <v>0</v>
      </c>
      <c r="L181" s="128">
        <f>IFERROR(lifespans_all!M179*DTE_mission_minutes!M23,"-")</f>
        <v>0</v>
      </c>
      <c r="M181" s="128">
        <f>IFERROR(lifespans_all!N179*DTE_mission_minutes!N23,"-")</f>
        <v>0</v>
      </c>
      <c r="N181" s="128">
        <f>IFERROR(lifespans_all!O179*DTE_mission_minutes!O23,"-")</f>
        <v>0</v>
      </c>
      <c r="O181" s="128">
        <f>IFERROR(lifespans_all!P179*DTE_mission_minutes!P23,"-")</f>
        <v>0</v>
      </c>
      <c r="P181" s="128">
        <f>IFERROR(lifespans_all!Q179*DTE_mission_minutes!Q23,"-")</f>
        <v>0</v>
      </c>
      <c r="Q181" s="128">
        <f>IFERROR(lifespans_all!R179*DTE_mission_minutes!R23,"-")</f>
        <v>0</v>
      </c>
      <c r="R181" s="128">
        <f>IFERROR(lifespans_all!S179*DTE_mission_minutes!S23,"-")</f>
        <v>0</v>
      </c>
      <c r="S181" s="128">
        <f>IFERROR(lifespans_all!T179*DTE_mission_minutes!T23,"-")</f>
        <v>0</v>
      </c>
      <c r="T181" s="128">
        <f>IFERROR(lifespans_all!U179*DTE_mission_minutes!U23,"-")</f>
        <v>0</v>
      </c>
      <c r="U181" s="128">
        <f>IFERROR(lifespans_all!V179*DTE_mission_minutes!V23,"-")</f>
        <v>0</v>
      </c>
      <c r="V181" s="128">
        <f>IFERROR(lifespans_all!W179*DTE_mission_minutes!W23,"-")</f>
        <v>0</v>
      </c>
    </row>
    <row r="182" spans="1:22" x14ac:dyDescent="0.25">
      <c r="A182" s="122" t="s">
        <v>39</v>
      </c>
      <c r="B182" s="123" t="s">
        <v>59</v>
      </c>
      <c r="C182" s="128">
        <f>IFERROR(lifespans_all!D180*DTE_mission_minutes!D24,"-")</f>
        <v>7757.52</v>
      </c>
      <c r="D182" s="128">
        <f>IFERROR(lifespans_all!E180*DTE_mission_minutes!E24,"-")</f>
        <v>7884.0724999999993</v>
      </c>
      <c r="E182" s="128">
        <f>IFERROR(lifespans_all!F180*DTE_mission_minutes!F24,"-")</f>
        <v>7411.0455555555554</v>
      </c>
      <c r="F182" s="128">
        <f>IFERROR(lifespans_all!G180*DTE_mission_minutes!G24,"-")</f>
        <v>7749.4853583333334</v>
      </c>
      <c r="G182" s="128">
        <f>IFERROR(lifespans_all!H180*DTE_mission_minutes!H24,"-")</f>
        <v>7749.4853583333334</v>
      </c>
      <c r="H182" s="128">
        <f>IFERROR(lifespans_all!I180*DTE_mission_minutes!I24,"-")</f>
        <v>7749.4853583333334</v>
      </c>
      <c r="I182" s="128">
        <f>IFERROR(lifespans_all!J180*DTE_mission_minutes!J24,"-")</f>
        <v>7749.4853583333334</v>
      </c>
      <c r="J182" s="128">
        <f>IFERROR(lifespans_all!K180*DTE_mission_minutes!K24,"-")</f>
        <v>7749.4853583333334</v>
      </c>
      <c r="K182" s="128">
        <f>IFERROR(lifespans_all!L180*DTE_mission_minutes!L24,"-")</f>
        <v>7749.4853583333334</v>
      </c>
      <c r="L182" s="128">
        <f>IFERROR(lifespans_all!M180*DTE_mission_minutes!M24,"-")</f>
        <v>7749.4853583333334</v>
      </c>
      <c r="M182" s="128">
        <f>IFERROR(lifespans_all!N180*DTE_mission_minutes!N24,"-")</f>
        <v>0</v>
      </c>
      <c r="N182" s="128">
        <f>IFERROR(lifespans_all!O180*DTE_mission_minutes!O24,"-")</f>
        <v>0</v>
      </c>
      <c r="O182" s="128">
        <f>IFERROR(lifespans_all!P180*DTE_mission_minutes!P24,"-")</f>
        <v>0</v>
      </c>
      <c r="P182" s="128">
        <f>IFERROR(lifespans_all!Q180*DTE_mission_minutes!Q24,"-")</f>
        <v>0</v>
      </c>
      <c r="Q182" s="128">
        <f>IFERROR(lifespans_all!R180*DTE_mission_minutes!R24,"-")</f>
        <v>0</v>
      </c>
      <c r="R182" s="128">
        <f>IFERROR(lifespans_all!S180*DTE_mission_minutes!S24,"-")</f>
        <v>0</v>
      </c>
      <c r="S182" s="128">
        <f>IFERROR(lifespans_all!T180*DTE_mission_minutes!T24,"-")</f>
        <v>0</v>
      </c>
      <c r="T182" s="128">
        <f>IFERROR(lifespans_all!U180*DTE_mission_minutes!U24,"-")</f>
        <v>0</v>
      </c>
      <c r="U182" s="128">
        <f>IFERROR(lifespans_all!V180*DTE_mission_minutes!V24,"-")</f>
        <v>0</v>
      </c>
      <c r="V182" s="128">
        <f>IFERROR(lifespans_all!W180*DTE_mission_minutes!W24,"-")</f>
        <v>0</v>
      </c>
    </row>
    <row r="183" spans="1:22" x14ac:dyDescent="0.25">
      <c r="A183" s="46" t="s">
        <v>41</v>
      </c>
      <c r="B183" s="47" t="s">
        <v>60</v>
      </c>
      <c r="C183" s="128">
        <f>IFERROR(lifespans_all!D181*DTE_mission_minutes!D25,"-")</f>
        <v>0</v>
      </c>
      <c r="D183" s="128">
        <f>IFERROR(lifespans_all!E181*DTE_mission_minutes!E25,"-")</f>
        <v>0</v>
      </c>
      <c r="E183" s="128">
        <f>IFERROR(lifespans_all!F181*DTE_mission_minutes!F25,"-")</f>
        <v>0</v>
      </c>
      <c r="F183" s="128">
        <f>IFERROR(lifespans_all!G181*DTE_mission_minutes!G25,"-")</f>
        <v>0</v>
      </c>
      <c r="G183" s="128">
        <f>IFERROR(lifespans_all!H181*DTE_mission_minutes!H25,"-")</f>
        <v>0</v>
      </c>
      <c r="H183" s="128">
        <f>IFERROR(lifespans_all!I181*DTE_mission_minutes!I25,"-")</f>
        <v>0</v>
      </c>
      <c r="I183" s="128">
        <f>IFERROR(lifespans_all!J181*DTE_mission_minutes!J25,"-")</f>
        <v>0</v>
      </c>
      <c r="J183" s="128">
        <f>IFERROR(lifespans_all!K181*DTE_mission_minutes!K25,"-")</f>
        <v>0</v>
      </c>
      <c r="K183" s="128">
        <f>IFERROR(lifespans_all!L181*DTE_mission_minutes!L25,"-")</f>
        <v>0</v>
      </c>
      <c r="L183" s="128">
        <f>IFERROR(lifespans_all!M181*DTE_mission_minutes!M25,"-")</f>
        <v>0</v>
      </c>
      <c r="M183" s="128">
        <f>IFERROR(lifespans_all!N181*DTE_mission_minutes!N25,"-")</f>
        <v>0</v>
      </c>
      <c r="N183" s="128">
        <f>IFERROR(lifespans_all!O181*DTE_mission_minutes!O25,"-")</f>
        <v>0</v>
      </c>
      <c r="O183" s="128">
        <f>IFERROR(lifespans_all!P181*DTE_mission_minutes!P25,"-")</f>
        <v>0</v>
      </c>
      <c r="P183" s="128">
        <f>IFERROR(lifespans_all!Q181*DTE_mission_minutes!Q25,"-")</f>
        <v>0</v>
      </c>
      <c r="Q183" s="128">
        <f>IFERROR(lifespans_all!R181*DTE_mission_minutes!R25,"-")</f>
        <v>0</v>
      </c>
      <c r="R183" s="128">
        <f>IFERROR(lifespans_all!S181*DTE_mission_minutes!S25,"-")</f>
        <v>0</v>
      </c>
      <c r="S183" s="128">
        <f>IFERROR(lifespans_all!T181*DTE_mission_minutes!T25,"-")</f>
        <v>0</v>
      </c>
      <c r="T183" s="128">
        <f>IFERROR(lifespans_all!U181*DTE_mission_minutes!U25,"-")</f>
        <v>0</v>
      </c>
      <c r="U183" s="128">
        <f>IFERROR(lifespans_all!V181*DTE_mission_minutes!V25,"-")</f>
        <v>0</v>
      </c>
      <c r="V183" s="128">
        <f>IFERROR(lifespans_all!W181*DTE_mission_minutes!W25,"-")</f>
        <v>0</v>
      </c>
    </row>
    <row r="184" spans="1:22" x14ac:dyDescent="0.25">
      <c r="A184" s="46" t="s">
        <v>74</v>
      </c>
      <c r="B184" s="47" t="s">
        <v>57</v>
      </c>
      <c r="C184" s="128">
        <f>IFERROR(lifespans_all!D182*DTE_mission_minutes!D26,"-")</f>
        <v>133409.35004928565</v>
      </c>
      <c r="D184" s="128">
        <f>IFERROR(lifespans_all!E182*DTE_mission_minutes!E26,"-")</f>
        <v>0</v>
      </c>
      <c r="E184" s="128">
        <f>IFERROR(lifespans_all!F182*DTE_mission_minutes!F26,"-")</f>
        <v>0</v>
      </c>
      <c r="F184" s="128">
        <f>IFERROR(lifespans_all!G182*DTE_mission_minutes!G26,"-")</f>
        <v>0</v>
      </c>
      <c r="G184" s="128">
        <f>IFERROR(lifespans_all!H182*DTE_mission_minutes!H26,"-")</f>
        <v>0</v>
      </c>
      <c r="H184" s="128">
        <f>IFERROR(lifespans_all!I182*DTE_mission_minutes!I26,"-")</f>
        <v>0</v>
      </c>
      <c r="I184" s="128">
        <f>IFERROR(lifespans_all!J182*DTE_mission_minutes!J26,"-")</f>
        <v>0</v>
      </c>
      <c r="J184" s="128">
        <f>IFERROR(lifespans_all!K182*DTE_mission_minutes!K26,"-")</f>
        <v>0</v>
      </c>
      <c r="K184" s="128">
        <f>IFERROR(lifespans_all!L182*DTE_mission_minutes!L26,"-")</f>
        <v>0</v>
      </c>
      <c r="L184" s="128">
        <f>IFERROR(lifespans_all!M182*DTE_mission_minutes!M26,"-")</f>
        <v>0</v>
      </c>
      <c r="M184" s="128">
        <f>IFERROR(lifespans_all!N182*DTE_mission_minutes!N26,"-")</f>
        <v>0</v>
      </c>
      <c r="N184" s="128">
        <f>IFERROR(lifespans_all!O182*DTE_mission_minutes!O26,"-")</f>
        <v>0</v>
      </c>
      <c r="O184" s="128">
        <f>IFERROR(lifespans_all!P182*DTE_mission_minutes!P26,"-")</f>
        <v>0</v>
      </c>
      <c r="P184" s="128">
        <f>IFERROR(lifespans_all!Q182*DTE_mission_minutes!Q26,"-")</f>
        <v>0</v>
      </c>
      <c r="Q184" s="128">
        <f>IFERROR(lifespans_all!R182*DTE_mission_minutes!R26,"-")</f>
        <v>0</v>
      </c>
      <c r="R184" s="128">
        <f>IFERROR(lifespans_all!S182*DTE_mission_minutes!S26,"-")</f>
        <v>0</v>
      </c>
      <c r="S184" s="128">
        <f>IFERROR(lifespans_all!T182*DTE_mission_minutes!T26,"-")</f>
        <v>0</v>
      </c>
      <c r="T184" s="128">
        <f>IFERROR(lifespans_all!U182*DTE_mission_minutes!U26,"-")</f>
        <v>0</v>
      </c>
      <c r="U184" s="128">
        <f>IFERROR(lifespans_all!V182*DTE_mission_minutes!V26,"-")</f>
        <v>0</v>
      </c>
      <c r="V184" s="128">
        <f>IFERROR(lifespans_all!W182*DTE_mission_minutes!W26,"-")</f>
        <v>0</v>
      </c>
    </row>
    <row r="185" spans="1:22" x14ac:dyDescent="0.25">
      <c r="A185" s="46" t="s">
        <v>75</v>
      </c>
      <c r="B185" s="47" t="s">
        <v>57</v>
      </c>
      <c r="C185" s="128">
        <f>IFERROR(lifespans_all!D183*DTE_mission_minutes!D27,"-")</f>
        <v>133409.35004928565</v>
      </c>
      <c r="D185" s="128">
        <f>IFERROR(lifespans_all!E183*DTE_mission_minutes!E27,"-")</f>
        <v>133409.35004928565</v>
      </c>
      <c r="E185" s="128">
        <f>IFERROR(lifespans_all!F183*DTE_mission_minutes!F27,"-")</f>
        <v>133409.35004928565</v>
      </c>
      <c r="F185" s="128">
        <f>IFERROR(lifespans_all!G183*DTE_mission_minutes!G27,"-")</f>
        <v>0</v>
      </c>
      <c r="G185" s="128">
        <f>IFERROR(lifespans_all!H183*DTE_mission_minutes!H27,"-")</f>
        <v>0</v>
      </c>
      <c r="H185" s="128">
        <f>IFERROR(lifespans_all!I183*DTE_mission_minutes!I27,"-")</f>
        <v>0</v>
      </c>
      <c r="I185" s="128">
        <f>IFERROR(lifespans_all!J183*DTE_mission_minutes!J27,"-")</f>
        <v>0</v>
      </c>
      <c r="J185" s="128">
        <f>IFERROR(lifespans_all!K183*DTE_mission_minutes!K27,"-")</f>
        <v>0</v>
      </c>
      <c r="K185" s="128">
        <f>IFERROR(lifespans_all!L183*DTE_mission_minutes!L27,"-")</f>
        <v>0</v>
      </c>
      <c r="L185" s="128">
        <f>IFERROR(lifespans_all!M183*DTE_mission_minutes!M27,"-")</f>
        <v>0</v>
      </c>
      <c r="M185" s="128">
        <f>IFERROR(lifespans_all!N183*DTE_mission_minutes!N27,"-")</f>
        <v>0</v>
      </c>
      <c r="N185" s="128">
        <f>IFERROR(lifespans_all!O183*DTE_mission_minutes!O27,"-")</f>
        <v>0</v>
      </c>
      <c r="O185" s="128">
        <f>IFERROR(lifespans_all!P183*DTE_mission_minutes!P27,"-")</f>
        <v>0</v>
      </c>
      <c r="P185" s="128">
        <f>IFERROR(lifespans_all!Q183*DTE_mission_minutes!Q27,"-")</f>
        <v>0</v>
      </c>
      <c r="Q185" s="128">
        <f>IFERROR(lifespans_all!R183*DTE_mission_minutes!R27,"-")</f>
        <v>0</v>
      </c>
      <c r="R185" s="128">
        <f>IFERROR(lifespans_all!S183*DTE_mission_minutes!S27,"-")</f>
        <v>0</v>
      </c>
      <c r="S185" s="128">
        <f>IFERROR(lifespans_all!T183*DTE_mission_minutes!T27,"-")</f>
        <v>0</v>
      </c>
      <c r="T185" s="128">
        <f>IFERROR(lifespans_all!U183*DTE_mission_minutes!U27,"-")</f>
        <v>0</v>
      </c>
      <c r="U185" s="128">
        <f>IFERROR(lifespans_all!V183*DTE_mission_minutes!V27,"-")</f>
        <v>0</v>
      </c>
      <c r="V185" s="128">
        <f>IFERROR(lifespans_all!W183*DTE_mission_minutes!W27,"-")</f>
        <v>0</v>
      </c>
    </row>
    <row r="186" spans="1:22" x14ac:dyDescent="0.25">
      <c r="A186" s="46" t="s">
        <v>76</v>
      </c>
      <c r="B186" s="47" t="s">
        <v>57</v>
      </c>
      <c r="C186" s="128">
        <f>IFERROR(lifespans_all!D184*DTE_mission_minutes!D28,"-")</f>
        <v>133409.35004928565</v>
      </c>
      <c r="D186" s="128">
        <f>IFERROR(lifespans_all!E184*DTE_mission_minutes!E28,"-")</f>
        <v>133409.35004928565</v>
      </c>
      <c r="E186" s="128">
        <f>IFERROR(lifespans_all!F184*DTE_mission_minutes!F28,"-")</f>
        <v>133409.35004928565</v>
      </c>
      <c r="F186" s="128">
        <f>IFERROR(lifespans_all!G184*DTE_mission_minutes!G28,"-")</f>
        <v>133409.35004928565</v>
      </c>
      <c r="G186" s="128">
        <f>IFERROR(lifespans_all!H184*DTE_mission_minutes!H28,"-")</f>
        <v>133409.35004928565</v>
      </c>
      <c r="H186" s="128">
        <f>IFERROR(lifespans_all!I184*DTE_mission_minutes!I28,"-")</f>
        <v>133409.35004928565</v>
      </c>
      <c r="I186" s="128">
        <f>IFERROR(lifespans_all!J184*DTE_mission_minutes!J28,"-")</f>
        <v>0</v>
      </c>
      <c r="J186" s="128">
        <f>IFERROR(lifespans_all!K184*DTE_mission_minutes!K28,"-")</f>
        <v>0</v>
      </c>
      <c r="K186" s="128">
        <f>IFERROR(lifespans_all!L184*DTE_mission_minutes!L28,"-")</f>
        <v>0</v>
      </c>
      <c r="L186" s="128">
        <f>IFERROR(lifespans_all!M184*DTE_mission_minutes!M28,"-")</f>
        <v>0</v>
      </c>
      <c r="M186" s="128">
        <f>IFERROR(lifespans_all!N184*DTE_mission_minutes!N28,"-")</f>
        <v>0</v>
      </c>
      <c r="N186" s="128">
        <f>IFERROR(lifespans_all!O184*DTE_mission_minutes!O28,"-")</f>
        <v>0</v>
      </c>
      <c r="O186" s="128">
        <f>IFERROR(lifespans_all!P184*DTE_mission_minutes!P28,"-")</f>
        <v>0</v>
      </c>
      <c r="P186" s="128">
        <f>IFERROR(lifespans_all!Q184*DTE_mission_minutes!Q28,"-")</f>
        <v>0</v>
      </c>
      <c r="Q186" s="128">
        <f>IFERROR(lifespans_all!R184*DTE_mission_minutes!R28,"-")</f>
        <v>0</v>
      </c>
      <c r="R186" s="128">
        <f>IFERROR(lifespans_all!S184*DTE_mission_minutes!S28,"-")</f>
        <v>0</v>
      </c>
      <c r="S186" s="128">
        <f>IFERROR(lifespans_all!T184*DTE_mission_minutes!T28,"-")</f>
        <v>0</v>
      </c>
      <c r="T186" s="128">
        <f>IFERROR(lifespans_all!U184*DTE_mission_minutes!U28,"-")</f>
        <v>0</v>
      </c>
      <c r="U186" s="128">
        <f>IFERROR(lifespans_all!V184*DTE_mission_minutes!V28,"-")</f>
        <v>0</v>
      </c>
      <c r="V186" s="128">
        <f>IFERROR(lifespans_all!W184*DTE_mission_minutes!W28,"-")</f>
        <v>0</v>
      </c>
    </row>
    <row r="187" spans="1:22" x14ac:dyDescent="0.25">
      <c r="A187" s="46" t="s">
        <v>42</v>
      </c>
      <c r="B187" s="54" t="s">
        <v>61</v>
      </c>
      <c r="C187" s="128">
        <f>IFERROR(lifespans_all!D185*DTE_mission_minutes!D29,"-")</f>
        <v>89453.837836666688</v>
      </c>
      <c r="D187" s="128">
        <f>IFERROR(lifespans_all!E185*DTE_mission_minutes!E29,"-")</f>
        <v>89453.837836666688</v>
      </c>
      <c r="E187" s="128">
        <f>IFERROR(lifespans_all!F185*DTE_mission_minutes!F29,"-")</f>
        <v>89453.837836666688</v>
      </c>
      <c r="F187" s="128">
        <f>IFERROR(lifespans_all!G185*DTE_mission_minutes!G29,"-")</f>
        <v>89453.837836666688</v>
      </c>
      <c r="G187" s="128">
        <f>IFERROR(lifespans_all!H185*DTE_mission_minutes!H29,"-")</f>
        <v>89453.837836666688</v>
      </c>
      <c r="H187" s="128">
        <f>IFERROR(lifespans_all!I185*DTE_mission_minutes!I29,"-")</f>
        <v>89453.837836666688</v>
      </c>
      <c r="I187" s="128">
        <f>IFERROR(lifespans_all!J185*DTE_mission_minutes!J29,"-")</f>
        <v>89453.837836666688</v>
      </c>
      <c r="J187" s="128">
        <f>IFERROR(lifespans_all!K185*DTE_mission_minutes!K29,"-")</f>
        <v>89453.837836666688</v>
      </c>
      <c r="K187" s="128">
        <f>IFERROR(lifespans_all!L185*DTE_mission_minutes!L29,"-")</f>
        <v>89453.837836666688</v>
      </c>
      <c r="L187" s="128">
        <f>IFERROR(lifespans_all!M185*DTE_mission_minutes!M29,"-")</f>
        <v>89453.837836666688</v>
      </c>
      <c r="M187" s="128">
        <f>IFERROR(lifespans_all!N185*DTE_mission_minutes!N29,"-")</f>
        <v>89453.837836666688</v>
      </c>
      <c r="N187" s="128">
        <f>IFERROR(lifespans_all!O185*DTE_mission_minutes!O29,"-")</f>
        <v>89453.837836666688</v>
      </c>
      <c r="O187" s="128">
        <f>IFERROR(lifespans_all!P185*DTE_mission_minutes!P29,"-")</f>
        <v>89453.837836666688</v>
      </c>
      <c r="P187" s="128">
        <f>IFERROR(lifespans_all!Q185*DTE_mission_minutes!Q29,"-")</f>
        <v>89453.837836666688</v>
      </c>
      <c r="Q187" s="128">
        <f>IFERROR(lifespans_all!R185*DTE_mission_minutes!R29,"-")</f>
        <v>89453.837836666688</v>
      </c>
      <c r="R187" s="128">
        <f>IFERROR(lifespans_all!S185*DTE_mission_minutes!S29,"-")</f>
        <v>89453.837836666688</v>
      </c>
      <c r="S187" s="128">
        <f>IFERROR(lifespans_all!T185*DTE_mission_minutes!T29,"-")</f>
        <v>89453.837836666688</v>
      </c>
      <c r="T187" s="128">
        <f>IFERROR(lifespans_all!U185*DTE_mission_minutes!U29,"-")</f>
        <v>89453.837836666688</v>
      </c>
      <c r="U187" s="128">
        <f>IFERROR(lifespans_all!V185*DTE_mission_minutes!V29,"-")</f>
        <v>89453.837836666688</v>
      </c>
      <c r="V187" s="128">
        <f>IFERROR(lifespans_all!W185*DTE_mission_minutes!W29,"-")</f>
        <v>89453.837836666688</v>
      </c>
    </row>
    <row r="188" spans="1:22" x14ac:dyDescent="0.25">
      <c r="A188" s="46" t="s">
        <v>77</v>
      </c>
      <c r="B188" s="54" t="s">
        <v>58</v>
      </c>
      <c r="C188" s="128">
        <f>IFERROR(lifespans_all!D186*DTE_mission_minutes!D30,"-")</f>
        <v>721.11352444444435</v>
      </c>
      <c r="D188" s="128">
        <f>IFERROR(lifespans_all!E186*DTE_mission_minutes!E30,"-")</f>
        <v>721.11352444444435</v>
      </c>
      <c r="E188" s="128">
        <f>IFERROR(lifespans_all!F186*DTE_mission_minutes!F30,"-")</f>
        <v>721.11352444444435</v>
      </c>
      <c r="F188" s="128">
        <f>IFERROR(lifespans_all!G186*DTE_mission_minutes!G30,"-")</f>
        <v>721.11352444444435</v>
      </c>
      <c r="G188" s="128">
        <f>IFERROR(lifespans_all!H186*DTE_mission_minutes!H30,"-")</f>
        <v>721.11352444444435</v>
      </c>
      <c r="H188" s="128">
        <f>IFERROR(lifespans_all!I186*DTE_mission_minutes!I30,"-")</f>
        <v>721.11352444444435</v>
      </c>
      <c r="I188" s="128">
        <f>IFERROR(lifespans_all!J186*DTE_mission_minutes!J30,"-")</f>
        <v>721.11352444444435</v>
      </c>
      <c r="J188" s="128">
        <f>IFERROR(lifespans_all!K186*DTE_mission_minutes!K30,"-")</f>
        <v>721.11352444444435</v>
      </c>
      <c r="K188" s="128">
        <f>IFERROR(lifespans_all!L186*DTE_mission_minutes!L30,"-")</f>
        <v>721.11352444444435</v>
      </c>
      <c r="L188" s="128">
        <f>IFERROR(lifespans_all!M186*DTE_mission_minutes!M30,"-")</f>
        <v>721.11352444444435</v>
      </c>
      <c r="M188" s="128">
        <f>IFERROR(lifespans_all!N186*DTE_mission_minutes!N30,"-")</f>
        <v>721.11352444444435</v>
      </c>
      <c r="N188" s="128">
        <f>IFERROR(lifespans_all!O186*DTE_mission_minutes!O30,"-")</f>
        <v>721.11352444444435</v>
      </c>
      <c r="O188" s="128">
        <f>IFERROR(lifespans_all!P186*DTE_mission_minutes!P30,"-")</f>
        <v>721.11352444444435</v>
      </c>
      <c r="P188" s="128">
        <f>IFERROR(lifespans_all!Q186*DTE_mission_minutes!Q30,"-")</f>
        <v>721.11352444444435</v>
      </c>
      <c r="Q188" s="128">
        <f>IFERROR(lifespans_all!R186*DTE_mission_minutes!R30,"-")</f>
        <v>721.11352444444435</v>
      </c>
      <c r="R188" s="128">
        <f>IFERROR(lifespans_all!S186*DTE_mission_minutes!S30,"-")</f>
        <v>721.11352444444435</v>
      </c>
      <c r="S188" s="128">
        <f>IFERROR(lifespans_all!T186*DTE_mission_minutes!T30,"-")</f>
        <v>721.11352444444435</v>
      </c>
      <c r="T188" s="128">
        <f>IFERROR(lifespans_all!U186*DTE_mission_minutes!U30,"-")</f>
        <v>721.11352444444435</v>
      </c>
      <c r="U188" s="128">
        <f>IFERROR(lifespans_all!V186*DTE_mission_minutes!V30,"-")</f>
        <v>721.11352444444435</v>
      </c>
      <c r="V188" s="128">
        <f>IFERROR(lifespans_all!W186*DTE_mission_minutes!W30,"-")</f>
        <v>721.11352444444435</v>
      </c>
    </row>
    <row r="189" spans="1:22" x14ac:dyDescent="0.25">
      <c r="A189" s="46" t="s">
        <v>87</v>
      </c>
      <c r="B189" s="47" t="s">
        <v>56</v>
      </c>
      <c r="C189" s="128">
        <f>IFERROR(lifespans_all!D187*DTE_mission_minutes!D31,"-")</f>
        <v>221.29177222222222</v>
      </c>
      <c r="D189" s="128">
        <f>IFERROR(lifespans_all!E187*DTE_mission_minutes!E31,"-")</f>
        <v>244.03194444444446</v>
      </c>
      <c r="E189" s="128">
        <f>IFERROR(lifespans_all!F187*DTE_mission_minutes!F31,"-")</f>
        <v>0</v>
      </c>
      <c r="F189" s="128">
        <f>IFERROR(lifespans_all!G187*DTE_mission_minutes!G31,"-")</f>
        <v>0</v>
      </c>
      <c r="G189" s="128">
        <f>IFERROR(lifespans_all!H187*DTE_mission_minutes!H31,"-")</f>
        <v>0</v>
      </c>
      <c r="H189" s="128">
        <f>IFERROR(lifespans_all!I187*DTE_mission_minutes!I31,"-")</f>
        <v>0</v>
      </c>
      <c r="I189" s="128">
        <f>IFERROR(lifespans_all!J187*DTE_mission_minutes!J31,"-")</f>
        <v>0</v>
      </c>
      <c r="J189" s="128">
        <f>IFERROR(lifespans_all!K187*DTE_mission_minutes!K31,"-")</f>
        <v>0</v>
      </c>
      <c r="K189" s="128">
        <f>IFERROR(lifespans_all!L187*DTE_mission_minutes!L31,"-")</f>
        <v>0</v>
      </c>
      <c r="L189" s="128">
        <f>IFERROR(lifespans_all!M187*DTE_mission_minutes!M31,"-")</f>
        <v>0</v>
      </c>
      <c r="M189" s="128">
        <f>IFERROR(lifespans_all!N187*DTE_mission_minutes!N31,"-")</f>
        <v>0</v>
      </c>
      <c r="N189" s="128">
        <f>IFERROR(lifespans_all!O187*DTE_mission_minutes!O31,"-")</f>
        <v>0</v>
      </c>
      <c r="O189" s="128">
        <f>IFERROR(lifespans_all!P187*DTE_mission_minutes!P31,"-")</f>
        <v>0</v>
      </c>
      <c r="P189" s="128">
        <f>IFERROR(lifespans_all!Q187*DTE_mission_minutes!Q31,"-")</f>
        <v>0</v>
      </c>
      <c r="Q189" s="128">
        <f>IFERROR(lifespans_all!R187*DTE_mission_minutes!R31,"-")</f>
        <v>0</v>
      </c>
      <c r="R189" s="128">
        <f>IFERROR(lifespans_all!S187*DTE_mission_minutes!S31,"-")</f>
        <v>0</v>
      </c>
      <c r="S189" s="128">
        <f>IFERROR(lifespans_all!T187*DTE_mission_minutes!T31,"-")</f>
        <v>0</v>
      </c>
      <c r="T189" s="128">
        <f>IFERROR(lifespans_all!U187*DTE_mission_minutes!U31,"-")</f>
        <v>0</v>
      </c>
      <c r="U189" s="128">
        <f>IFERROR(lifespans_all!V187*DTE_mission_minutes!V31,"-")</f>
        <v>0</v>
      </c>
      <c r="V189" s="128">
        <f>IFERROR(lifespans_all!W187*DTE_mission_minutes!W31,"-")</f>
        <v>0</v>
      </c>
    </row>
    <row r="190" spans="1:22" x14ac:dyDescent="0.25">
      <c r="A190" s="46" t="s">
        <v>43</v>
      </c>
      <c r="B190" s="54" t="s">
        <v>61</v>
      </c>
      <c r="C190" s="128">
        <f>IFERROR(lifespans_all!D188*DTE_mission_minutes!D32,"-")</f>
        <v>64.996111111111119</v>
      </c>
      <c r="D190" s="128">
        <f>IFERROR(lifespans_all!E188*DTE_mission_minutes!E32,"-")</f>
        <v>0</v>
      </c>
      <c r="E190" s="128">
        <f>IFERROR(lifespans_all!F188*DTE_mission_minutes!F32,"-")</f>
        <v>0</v>
      </c>
      <c r="F190" s="128">
        <f>IFERROR(lifespans_all!G188*DTE_mission_minutes!G32,"-")</f>
        <v>0</v>
      </c>
      <c r="G190" s="128">
        <f>IFERROR(lifespans_all!H188*DTE_mission_minutes!H32,"-")</f>
        <v>0</v>
      </c>
      <c r="H190" s="128">
        <f>IFERROR(lifespans_all!I188*DTE_mission_minutes!I32,"-")</f>
        <v>0</v>
      </c>
      <c r="I190" s="128">
        <f>IFERROR(lifespans_all!J188*DTE_mission_minutes!J32,"-")</f>
        <v>0</v>
      </c>
      <c r="J190" s="128">
        <f>IFERROR(lifespans_all!K188*DTE_mission_minutes!K32,"-")</f>
        <v>0</v>
      </c>
      <c r="K190" s="128">
        <f>IFERROR(lifespans_all!L188*DTE_mission_minutes!L32,"-")</f>
        <v>0</v>
      </c>
      <c r="L190" s="128">
        <f>IFERROR(lifespans_all!M188*DTE_mission_minutes!M32,"-")</f>
        <v>0</v>
      </c>
      <c r="M190" s="128">
        <f>IFERROR(lifespans_all!N188*DTE_mission_minutes!N32,"-")</f>
        <v>0</v>
      </c>
      <c r="N190" s="128">
        <f>IFERROR(lifespans_all!O188*DTE_mission_minutes!O32,"-")</f>
        <v>0</v>
      </c>
      <c r="O190" s="128">
        <f>IFERROR(lifespans_all!P188*DTE_mission_minutes!P32,"-")</f>
        <v>0</v>
      </c>
      <c r="P190" s="128">
        <f>IFERROR(lifespans_all!Q188*DTE_mission_minutes!Q32,"-")</f>
        <v>0</v>
      </c>
      <c r="Q190" s="128">
        <f>IFERROR(lifespans_all!R188*DTE_mission_minutes!R32,"-")</f>
        <v>0</v>
      </c>
      <c r="R190" s="128">
        <f>IFERROR(lifespans_all!S188*DTE_mission_minutes!S32,"-")</f>
        <v>0</v>
      </c>
      <c r="S190" s="128">
        <f>IFERROR(lifespans_all!T188*DTE_mission_minutes!T32,"-")</f>
        <v>0</v>
      </c>
      <c r="T190" s="128">
        <f>IFERROR(lifespans_all!U188*DTE_mission_minutes!U32,"-")</f>
        <v>0</v>
      </c>
      <c r="U190" s="128">
        <f>IFERROR(lifespans_all!V188*DTE_mission_minutes!V32,"-")</f>
        <v>0</v>
      </c>
      <c r="V190" s="128">
        <f>IFERROR(lifespans_all!W188*DTE_mission_minutes!W32,"-")</f>
        <v>0</v>
      </c>
    </row>
    <row r="191" spans="1:22" x14ac:dyDescent="0.25">
      <c r="A191" s="46" t="s">
        <v>55</v>
      </c>
      <c r="B191" s="47" t="s">
        <v>57</v>
      </c>
      <c r="C191" s="128">
        <f>IFERROR(lifespans_all!D189*DTE_mission_minutes!D33,"-")</f>
        <v>575.81194444444441</v>
      </c>
      <c r="D191" s="128">
        <f>IFERROR(lifespans_all!E189*DTE_mission_minutes!E33,"-")</f>
        <v>580.59861111111104</v>
      </c>
      <c r="E191" s="128">
        <f>IFERROR(lifespans_all!F189*DTE_mission_minutes!F33,"-")</f>
        <v>499.24888888888893</v>
      </c>
      <c r="F191" s="128">
        <f>IFERROR(lifespans_all!G189*DTE_mission_minutes!G33,"-")</f>
        <v>565.82727777777768</v>
      </c>
      <c r="G191" s="128">
        <f>IFERROR(lifespans_all!H189*DTE_mission_minutes!H33,"-")</f>
        <v>0</v>
      </c>
      <c r="H191" s="128">
        <f>IFERROR(lifespans_all!I189*DTE_mission_minutes!I33,"-")</f>
        <v>0</v>
      </c>
      <c r="I191" s="128">
        <f>IFERROR(lifespans_all!J189*DTE_mission_minutes!J33,"-")</f>
        <v>0</v>
      </c>
      <c r="J191" s="128">
        <f>IFERROR(lifespans_all!K189*DTE_mission_minutes!K33,"-")</f>
        <v>0</v>
      </c>
      <c r="K191" s="128">
        <f>IFERROR(lifespans_all!L189*DTE_mission_minutes!L33,"-")</f>
        <v>0</v>
      </c>
      <c r="L191" s="128">
        <f>IFERROR(lifespans_all!M189*DTE_mission_minutes!M33,"-")</f>
        <v>0</v>
      </c>
      <c r="M191" s="128">
        <f>IFERROR(lifespans_all!N189*DTE_mission_minutes!N33,"-")</f>
        <v>0</v>
      </c>
      <c r="N191" s="128">
        <f>IFERROR(lifespans_all!O189*DTE_mission_minutes!O33,"-")</f>
        <v>0</v>
      </c>
      <c r="O191" s="128">
        <f>IFERROR(lifespans_all!P189*DTE_mission_minutes!P33,"-")</f>
        <v>0</v>
      </c>
      <c r="P191" s="128">
        <f>IFERROR(lifespans_all!Q189*DTE_mission_minutes!Q33,"-")</f>
        <v>0</v>
      </c>
      <c r="Q191" s="128">
        <f>IFERROR(lifespans_all!R189*DTE_mission_minutes!R33,"-")</f>
        <v>0</v>
      </c>
      <c r="R191" s="128">
        <f>IFERROR(lifespans_all!S189*DTE_mission_minutes!S33,"-")</f>
        <v>0</v>
      </c>
      <c r="S191" s="128">
        <f>IFERROR(lifespans_all!T189*DTE_mission_minutes!T33,"-")</f>
        <v>0</v>
      </c>
      <c r="T191" s="128">
        <f>IFERROR(lifespans_all!U189*DTE_mission_minutes!U33,"-")</f>
        <v>0</v>
      </c>
      <c r="U191" s="128">
        <f>IFERROR(lifespans_all!V189*DTE_mission_minutes!V33,"-")</f>
        <v>0</v>
      </c>
      <c r="V191" s="128">
        <f>IFERROR(lifespans_all!W189*DTE_mission_minutes!W33,"-")</f>
        <v>0</v>
      </c>
    </row>
    <row r="192" spans="1:22" x14ac:dyDescent="0.25">
      <c r="A192" s="46" t="s">
        <v>44</v>
      </c>
      <c r="B192" s="46"/>
      <c r="C192" s="128" t="str">
        <f>IFERROR(lifespans_all!D190*DTE_mission_minutes!D34,"-")</f>
        <v>-</v>
      </c>
      <c r="D192" s="128" t="str">
        <f>IFERROR(lifespans_all!E190*DTE_mission_minutes!E34,"-")</f>
        <v>-</v>
      </c>
      <c r="E192" s="128" t="str">
        <f>IFERROR(lifespans_all!F190*DTE_mission_minutes!F34,"-")</f>
        <v>-</v>
      </c>
      <c r="F192" s="128" t="str">
        <f>IFERROR(lifespans_all!G190*DTE_mission_minutes!G34,"-")</f>
        <v>-</v>
      </c>
      <c r="G192" s="128" t="str">
        <f>IFERROR(lifespans_all!H190*DTE_mission_minutes!H34,"-")</f>
        <v>-</v>
      </c>
      <c r="H192" s="128" t="str">
        <f>IFERROR(lifespans_all!I190*DTE_mission_minutes!I34,"-")</f>
        <v>-</v>
      </c>
      <c r="I192" s="128" t="str">
        <f>IFERROR(lifespans_all!J190*DTE_mission_minutes!J34,"-")</f>
        <v>-</v>
      </c>
      <c r="J192" s="128" t="str">
        <f>IFERROR(lifespans_all!K190*DTE_mission_minutes!K34,"-")</f>
        <v>-</v>
      </c>
      <c r="K192" s="128" t="str">
        <f>IFERROR(lifespans_all!L190*DTE_mission_minutes!L34,"-")</f>
        <v>-</v>
      </c>
      <c r="L192" s="128" t="str">
        <f>IFERROR(lifespans_all!M190*DTE_mission_minutes!M34,"-")</f>
        <v>-</v>
      </c>
      <c r="M192" s="128" t="str">
        <f>IFERROR(lifespans_all!N190*DTE_mission_minutes!N34,"-")</f>
        <v>-</v>
      </c>
      <c r="N192" s="128" t="str">
        <f>IFERROR(lifespans_all!O190*DTE_mission_minutes!O34,"-")</f>
        <v>-</v>
      </c>
      <c r="O192" s="128" t="str">
        <f>IFERROR(lifespans_all!P190*DTE_mission_minutes!P34,"-")</f>
        <v>-</v>
      </c>
      <c r="P192" s="128" t="str">
        <f>IFERROR(lifespans_all!Q190*DTE_mission_minutes!Q34,"-")</f>
        <v>-</v>
      </c>
      <c r="Q192" s="128" t="str">
        <f>IFERROR(lifespans_all!R190*DTE_mission_minutes!R34,"-")</f>
        <v>-</v>
      </c>
      <c r="R192" s="128" t="str">
        <f>IFERROR(lifespans_all!S190*DTE_mission_minutes!S34,"-")</f>
        <v>-</v>
      </c>
      <c r="S192" s="128" t="str">
        <f>IFERROR(lifespans_all!T190*DTE_mission_minutes!T34,"-")</f>
        <v>-</v>
      </c>
      <c r="T192" s="128" t="str">
        <f>IFERROR(lifespans_all!U190*DTE_mission_minutes!U34,"-")</f>
        <v>-</v>
      </c>
      <c r="U192" s="128" t="str">
        <f>IFERROR(lifespans_all!V190*DTE_mission_minutes!V34,"-")</f>
        <v>-</v>
      </c>
      <c r="V192" s="128" t="str">
        <f>IFERROR(lifespans_all!W190*DTE_mission_minutes!W34,"-")</f>
        <v>-</v>
      </c>
    </row>
    <row r="193" spans="1:22" x14ac:dyDescent="0.25">
      <c r="A193" s="46" t="s">
        <v>78</v>
      </c>
      <c r="B193" s="47" t="s">
        <v>57</v>
      </c>
      <c r="C193" s="128">
        <f>IFERROR(lifespans_all!D191*DTE_mission_minutes!D35,"-")</f>
        <v>64.579722222222216</v>
      </c>
      <c r="D193" s="128">
        <f>IFERROR(lifespans_all!E191*DTE_mission_minutes!E35,"-")</f>
        <v>56.487941666666664</v>
      </c>
      <c r="E193" s="128">
        <f>IFERROR(lifespans_all!F191*DTE_mission_minutes!F35,"-")</f>
        <v>49.259444444444441</v>
      </c>
      <c r="F193" s="128">
        <f>IFERROR(lifespans_all!G191*DTE_mission_minutes!G35,"-")</f>
        <v>60.035777777777774</v>
      </c>
      <c r="G193" s="128">
        <f>IFERROR(lifespans_all!H191*DTE_mission_minutes!H35,"-")</f>
        <v>60.035777777777774</v>
      </c>
      <c r="H193" s="128">
        <f>IFERROR(lifespans_all!I191*DTE_mission_minutes!I35,"-")</f>
        <v>0</v>
      </c>
      <c r="I193" s="128">
        <f>IFERROR(lifespans_all!J191*DTE_mission_minutes!J35,"-")</f>
        <v>0</v>
      </c>
      <c r="J193" s="128">
        <f>IFERROR(lifespans_all!K191*DTE_mission_minutes!K35,"-")</f>
        <v>0</v>
      </c>
      <c r="K193" s="128">
        <f>IFERROR(lifespans_all!L191*DTE_mission_minutes!L35,"-")</f>
        <v>0</v>
      </c>
      <c r="L193" s="128">
        <f>IFERROR(lifespans_all!M191*DTE_mission_minutes!M35,"-")</f>
        <v>0</v>
      </c>
      <c r="M193" s="128">
        <f>IFERROR(lifespans_all!N191*DTE_mission_minutes!N35,"-")</f>
        <v>0</v>
      </c>
      <c r="N193" s="128">
        <f>IFERROR(lifespans_all!O191*DTE_mission_minutes!O35,"-")</f>
        <v>0</v>
      </c>
      <c r="O193" s="128">
        <f>IFERROR(lifespans_all!P191*DTE_mission_minutes!P35,"-")</f>
        <v>0</v>
      </c>
      <c r="P193" s="128">
        <f>IFERROR(lifespans_all!Q191*DTE_mission_minutes!Q35,"-")</f>
        <v>0</v>
      </c>
      <c r="Q193" s="128">
        <f>IFERROR(lifespans_all!R191*DTE_mission_minutes!R35,"-")</f>
        <v>0</v>
      </c>
      <c r="R193" s="128">
        <f>IFERROR(lifespans_all!S191*DTE_mission_minutes!S35,"-")</f>
        <v>0</v>
      </c>
      <c r="S193" s="128">
        <f>IFERROR(lifespans_all!T191*DTE_mission_minutes!T35,"-")</f>
        <v>0</v>
      </c>
      <c r="T193" s="128">
        <f>IFERROR(lifespans_all!U191*DTE_mission_minutes!U35,"-")</f>
        <v>0</v>
      </c>
      <c r="U193" s="128">
        <f>IFERROR(lifespans_all!V191*DTE_mission_minutes!V35,"-")</f>
        <v>0</v>
      </c>
      <c r="V193" s="128">
        <f>IFERROR(lifespans_all!W191*DTE_mission_minutes!W35,"-")</f>
        <v>0</v>
      </c>
    </row>
    <row r="194" spans="1:22" x14ac:dyDescent="0.25">
      <c r="A194" s="46" t="s">
        <v>45</v>
      </c>
      <c r="B194" s="47" t="s">
        <v>57</v>
      </c>
      <c r="C194" s="128">
        <f>IFERROR(lifespans_all!D192*DTE_mission_minutes!D36,"-")</f>
        <v>133409.35004928565</v>
      </c>
      <c r="D194" s="128">
        <f>IFERROR(lifespans_all!E192*DTE_mission_minutes!E36,"-")</f>
        <v>133409.35004928565</v>
      </c>
      <c r="E194" s="128">
        <f>IFERROR(lifespans_all!F192*DTE_mission_minutes!F36,"-")</f>
        <v>133409.35004928565</v>
      </c>
      <c r="F194" s="128">
        <f>IFERROR(lifespans_all!G192*DTE_mission_minutes!G36,"-")</f>
        <v>0</v>
      </c>
      <c r="G194" s="128">
        <f>IFERROR(lifespans_all!H192*DTE_mission_minutes!H36,"-")</f>
        <v>0</v>
      </c>
      <c r="H194" s="128">
        <f>IFERROR(lifespans_all!I192*DTE_mission_minutes!I36,"-")</f>
        <v>0</v>
      </c>
      <c r="I194" s="128">
        <f>IFERROR(lifespans_all!J192*DTE_mission_minutes!J36,"-")</f>
        <v>0</v>
      </c>
      <c r="J194" s="128">
        <f>IFERROR(lifespans_all!K192*DTE_mission_minutes!K36,"-")</f>
        <v>0</v>
      </c>
      <c r="K194" s="128">
        <f>IFERROR(lifespans_all!L192*DTE_mission_minutes!L36,"-")</f>
        <v>0</v>
      </c>
      <c r="L194" s="128">
        <f>IFERROR(lifespans_all!M192*DTE_mission_minutes!M36,"-")</f>
        <v>0</v>
      </c>
      <c r="M194" s="128">
        <f>IFERROR(lifespans_all!N192*DTE_mission_minutes!N36,"-")</f>
        <v>0</v>
      </c>
      <c r="N194" s="128">
        <f>IFERROR(lifespans_all!O192*DTE_mission_minutes!O36,"-")</f>
        <v>0</v>
      </c>
      <c r="O194" s="128">
        <f>IFERROR(lifespans_all!P192*DTE_mission_minutes!P36,"-")</f>
        <v>0</v>
      </c>
      <c r="P194" s="128">
        <f>IFERROR(lifespans_all!Q192*DTE_mission_minutes!Q36,"-")</f>
        <v>0</v>
      </c>
      <c r="Q194" s="128">
        <f>IFERROR(lifespans_all!R192*DTE_mission_minutes!R36,"-")</f>
        <v>0</v>
      </c>
      <c r="R194" s="128">
        <f>IFERROR(lifespans_all!S192*DTE_mission_minutes!S36,"-")</f>
        <v>0</v>
      </c>
      <c r="S194" s="128">
        <f>IFERROR(lifespans_all!T192*DTE_mission_minutes!T36,"-")</f>
        <v>0</v>
      </c>
      <c r="T194" s="128">
        <f>IFERROR(lifespans_all!U192*DTE_mission_minutes!U36,"-")</f>
        <v>0</v>
      </c>
      <c r="U194" s="128">
        <f>IFERROR(lifespans_all!V192*DTE_mission_minutes!V36,"-")</f>
        <v>0</v>
      </c>
      <c r="V194" s="128">
        <f>IFERROR(lifespans_all!W192*DTE_mission_minutes!W36,"-")</f>
        <v>0</v>
      </c>
    </row>
    <row r="195" spans="1:22" x14ac:dyDescent="0.25">
      <c r="A195" s="46" t="s">
        <v>46</v>
      </c>
      <c r="B195" s="54" t="s">
        <v>59</v>
      </c>
      <c r="C195" s="128">
        <f>IFERROR(lifespans_all!D193*DTE_mission_minutes!D37,"-")</f>
        <v>171572.29579277776</v>
      </c>
      <c r="D195" s="128">
        <f>IFERROR(lifespans_all!E193*DTE_mission_minutes!E37,"-")</f>
        <v>171572.29579277776</v>
      </c>
      <c r="E195" s="128">
        <f>IFERROR(lifespans_all!F193*DTE_mission_minutes!F37,"-")</f>
        <v>171572.29579277776</v>
      </c>
      <c r="F195" s="128">
        <f>IFERROR(lifespans_all!G193*DTE_mission_minutes!G37,"-")</f>
        <v>171572.29579277776</v>
      </c>
      <c r="G195" s="128">
        <f>IFERROR(lifespans_all!H193*DTE_mission_minutes!H37,"-")</f>
        <v>171572.29579277776</v>
      </c>
      <c r="H195" s="128">
        <f>IFERROR(lifespans_all!I193*DTE_mission_minutes!I37,"-")</f>
        <v>171572.29579277776</v>
      </c>
      <c r="I195" s="128">
        <f>IFERROR(lifespans_all!J193*DTE_mission_minutes!J37,"-")</f>
        <v>171572.29579277776</v>
      </c>
      <c r="J195" s="128">
        <f>IFERROR(lifespans_all!K193*DTE_mission_minutes!K37,"-")</f>
        <v>171572.29579277776</v>
      </c>
      <c r="K195" s="128">
        <f>IFERROR(lifespans_all!L193*DTE_mission_minutes!L37,"-")</f>
        <v>171572.29579277776</v>
      </c>
      <c r="L195" s="128">
        <f>IFERROR(lifespans_all!M193*DTE_mission_minutes!M37,"-")</f>
        <v>171572.29579277776</v>
      </c>
      <c r="M195" s="128">
        <f>IFERROR(lifespans_all!N193*DTE_mission_minutes!N37,"-")</f>
        <v>171572.29579277776</v>
      </c>
      <c r="N195" s="128">
        <f>IFERROR(lifespans_all!O193*DTE_mission_minutes!O37,"-")</f>
        <v>171572.29579277776</v>
      </c>
      <c r="O195" s="128">
        <f>IFERROR(lifespans_all!P193*DTE_mission_minutes!P37,"-")</f>
        <v>171572.29579277776</v>
      </c>
      <c r="P195" s="128">
        <f>IFERROR(lifespans_all!Q193*DTE_mission_minutes!Q37,"-")</f>
        <v>171572.29579277776</v>
      </c>
      <c r="Q195" s="128">
        <f>IFERROR(lifespans_all!R193*DTE_mission_minutes!R37,"-")</f>
        <v>171572.29579277776</v>
      </c>
      <c r="R195" s="128">
        <f>IFERROR(lifespans_all!S193*DTE_mission_minutes!S37,"-")</f>
        <v>171572.29579277776</v>
      </c>
      <c r="S195" s="128">
        <f>IFERROR(lifespans_all!T193*DTE_mission_minutes!T37,"-")</f>
        <v>171572.29579277776</v>
      </c>
      <c r="T195" s="128">
        <f>IFERROR(lifespans_all!U193*DTE_mission_minutes!U37,"-")</f>
        <v>171572.29579277776</v>
      </c>
      <c r="U195" s="128">
        <f>IFERROR(lifespans_all!V193*DTE_mission_minutes!V37,"-")</f>
        <v>171572.29579277776</v>
      </c>
      <c r="V195" s="128">
        <f>IFERROR(lifespans_all!W193*DTE_mission_minutes!W37,"-")</f>
        <v>171572.29579277776</v>
      </c>
    </row>
    <row r="196" spans="1:22" x14ac:dyDescent="0.25">
      <c r="A196" s="46" t="s">
        <v>47</v>
      </c>
      <c r="B196" s="55" t="s">
        <v>64</v>
      </c>
      <c r="C196" s="128" t="str">
        <f>IFERROR(lifespans_all!D194*DTE_mission_minutes!D38,"-")</f>
        <v>-</v>
      </c>
      <c r="D196" s="128" t="str">
        <f>IFERROR(lifespans_all!E194*DTE_mission_minutes!E38,"-")</f>
        <v>-</v>
      </c>
      <c r="E196" s="128" t="str">
        <f>IFERROR(lifespans_all!F194*DTE_mission_minutes!F38,"-")</f>
        <v>-</v>
      </c>
      <c r="F196" s="128" t="str">
        <f>IFERROR(lifespans_all!G194*DTE_mission_minutes!G38,"-")</f>
        <v>-</v>
      </c>
      <c r="G196" s="128" t="str">
        <f>IFERROR(lifespans_all!H194*DTE_mission_minutes!H38,"-")</f>
        <v>-</v>
      </c>
      <c r="H196" s="128" t="str">
        <f>IFERROR(lifespans_all!I194*DTE_mission_minutes!I38,"-")</f>
        <v>-</v>
      </c>
      <c r="I196" s="128" t="str">
        <f>IFERROR(lifespans_all!J194*DTE_mission_minutes!J38,"-")</f>
        <v>-</v>
      </c>
      <c r="J196" s="128" t="str">
        <f>IFERROR(lifespans_all!K194*DTE_mission_minutes!K38,"-")</f>
        <v>-</v>
      </c>
      <c r="K196" s="128" t="str">
        <f>IFERROR(lifespans_all!L194*DTE_mission_minutes!L38,"-")</f>
        <v>-</v>
      </c>
      <c r="L196" s="128" t="str">
        <f>IFERROR(lifespans_all!M194*DTE_mission_minutes!M38,"-")</f>
        <v>-</v>
      </c>
      <c r="M196" s="128" t="str">
        <f>IFERROR(lifespans_all!N194*DTE_mission_minutes!N38,"-")</f>
        <v>-</v>
      </c>
      <c r="N196" s="128" t="str">
        <f>IFERROR(lifespans_all!O194*DTE_mission_minutes!O38,"-")</f>
        <v>-</v>
      </c>
      <c r="O196" s="128" t="str">
        <f>IFERROR(lifespans_all!P194*DTE_mission_minutes!P38,"-")</f>
        <v>-</v>
      </c>
      <c r="P196" s="128" t="str">
        <f>IFERROR(lifespans_all!Q194*DTE_mission_minutes!Q38,"-")</f>
        <v>-</v>
      </c>
      <c r="Q196" s="128" t="str">
        <f>IFERROR(lifespans_all!R194*DTE_mission_minutes!R38,"-")</f>
        <v>-</v>
      </c>
      <c r="R196" s="128" t="str">
        <f>IFERROR(lifespans_all!S194*DTE_mission_minutes!S38,"-")</f>
        <v>-</v>
      </c>
      <c r="S196" s="128" t="str">
        <f>IFERROR(lifespans_all!T194*DTE_mission_minutes!T38,"-")</f>
        <v>-</v>
      </c>
      <c r="T196" s="128" t="str">
        <f>IFERROR(lifespans_all!U194*DTE_mission_minutes!U38,"-")</f>
        <v>-</v>
      </c>
      <c r="U196" s="128" t="str">
        <f>IFERROR(lifespans_all!V194*DTE_mission_minutes!V38,"-")</f>
        <v>-</v>
      </c>
      <c r="V196" s="128" t="str">
        <f>IFERROR(lifespans_all!W194*DTE_mission_minutes!W38,"-")</f>
        <v>-</v>
      </c>
    </row>
    <row r="197" spans="1:22" x14ac:dyDescent="0.25">
      <c r="A197" s="46" t="s">
        <v>48</v>
      </c>
      <c r="B197" s="55" t="s">
        <v>64</v>
      </c>
      <c r="C197" s="128" t="str">
        <f>IFERROR(lifespans_all!D195*DTE_mission_minutes!D39,"-")</f>
        <v>-</v>
      </c>
      <c r="D197" s="128" t="str">
        <f>IFERROR(lifespans_all!E195*DTE_mission_minutes!E39,"-")</f>
        <v>-</v>
      </c>
      <c r="E197" s="128" t="str">
        <f>IFERROR(lifespans_all!F195*DTE_mission_minutes!F39,"-")</f>
        <v>-</v>
      </c>
      <c r="F197" s="128" t="str">
        <f>IFERROR(lifespans_all!G195*DTE_mission_minutes!G39,"-")</f>
        <v>-</v>
      </c>
      <c r="G197" s="128" t="str">
        <f>IFERROR(lifespans_all!H195*DTE_mission_minutes!H39,"-")</f>
        <v>-</v>
      </c>
      <c r="H197" s="128" t="str">
        <f>IFERROR(lifespans_all!I195*DTE_mission_minutes!I39,"-")</f>
        <v>-</v>
      </c>
      <c r="I197" s="128" t="str">
        <f>IFERROR(lifespans_all!J195*DTE_mission_minutes!J39,"-")</f>
        <v>-</v>
      </c>
      <c r="J197" s="128" t="str">
        <f>IFERROR(lifespans_all!K195*DTE_mission_minutes!K39,"-")</f>
        <v>-</v>
      </c>
      <c r="K197" s="128" t="str">
        <f>IFERROR(lifespans_all!L195*DTE_mission_minutes!L39,"-")</f>
        <v>-</v>
      </c>
      <c r="L197" s="128" t="str">
        <f>IFERROR(lifespans_all!M195*DTE_mission_minutes!M39,"-")</f>
        <v>-</v>
      </c>
      <c r="M197" s="128" t="str">
        <f>IFERROR(lifespans_all!N195*DTE_mission_minutes!N39,"-")</f>
        <v>-</v>
      </c>
      <c r="N197" s="128" t="str">
        <f>IFERROR(lifespans_all!O195*DTE_mission_minutes!O39,"-")</f>
        <v>-</v>
      </c>
      <c r="O197" s="128" t="str">
        <f>IFERROR(lifespans_all!P195*DTE_mission_minutes!P39,"-")</f>
        <v>-</v>
      </c>
      <c r="P197" s="128" t="str">
        <f>IFERROR(lifespans_all!Q195*DTE_mission_minutes!Q39,"-")</f>
        <v>-</v>
      </c>
      <c r="Q197" s="128" t="str">
        <f>IFERROR(lifespans_all!R195*DTE_mission_minutes!R39,"-")</f>
        <v>-</v>
      </c>
      <c r="R197" s="128" t="str">
        <f>IFERROR(lifespans_all!S195*DTE_mission_minutes!S39,"-")</f>
        <v>-</v>
      </c>
      <c r="S197" s="128" t="str">
        <f>IFERROR(lifespans_all!T195*DTE_mission_minutes!T39,"-")</f>
        <v>-</v>
      </c>
      <c r="T197" s="128" t="str">
        <f>IFERROR(lifespans_all!U195*DTE_mission_minutes!U39,"-")</f>
        <v>-</v>
      </c>
      <c r="U197" s="128" t="str">
        <f>IFERROR(lifespans_all!V195*DTE_mission_minutes!V39,"-")</f>
        <v>-</v>
      </c>
      <c r="V197" s="128" t="str">
        <f>IFERROR(lifespans_all!W195*DTE_mission_minutes!W39,"-")</f>
        <v>-</v>
      </c>
    </row>
    <row r="198" spans="1:22" x14ac:dyDescent="0.25">
      <c r="A198" s="46" t="s">
        <v>49</v>
      </c>
      <c r="B198" s="47" t="s">
        <v>57</v>
      </c>
      <c r="C198" s="128">
        <f>IFERROR(lifespans_all!D196*DTE_mission_minutes!D40,"-")</f>
        <v>0</v>
      </c>
      <c r="D198" s="128">
        <f>IFERROR(lifespans_all!E196*DTE_mission_minutes!E40,"-")</f>
        <v>0</v>
      </c>
      <c r="E198" s="128">
        <f>IFERROR(lifespans_all!F196*DTE_mission_minutes!F40,"-")</f>
        <v>0</v>
      </c>
      <c r="F198" s="128">
        <f>IFERROR(lifespans_all!G196*DTE_mission_minutes!G40,"-")</f>
        <v>0</v>
      </c>
      <c r="G198" s="128">
        <f>IFERROR(lifespans_all!H196*DTE_mission_minutes!H40,"-")</f>
        <v>0</v>
      </c>
      <c r="H198" s="128">
        <f>IFERROR(lifespans_all!I196*DTE_mission_minutes!I40,"-")</f>
        <v>0</v>
      </c>
      <c r="I198" s="128">
        <f>IFERROR(lifespans_all!J196*DTE_mission_minutes!J40,"-")</f>
        <v>0</v>
      </c>
      <c r="J198" s="128">
        <f>IFERROR(lifespans_all!K196*DTE_mission_minutes!K40,"-")</f>
        <v>0</v>
      </c>
      <c r="K198" s="128">
        <f>IFERROR(lifespans_all!L196*DTE_mission_minutes!L40,"-")</f>
        <v>0</v>
      </c>
      <c r="L198" s="128">
        <f>IFERROR(lifespans_all!M196*DTE_mission_minutes!M40,"-")</f>
        <v>0</v>
      </c>
      <c r="M198" s="128">
        <f>IFERROR(lifespans_all!N196*DTE_mission_minutes!N40,"-")</f>
        <v>0</v>
      </c>
      <c r="N198" s="128">
        <f>IFERROR(lifespans_all!O196*DTE_mission_minutes!O40,"-")</f>
        <v>0</v>
      </c>
      <c r="O198" s="128">
        <f>IFERROR(lifespans_all!P196*DTE_mission_minutes!P40,"-")</f>
        <v>0</v>
      </c>
      <c r="P198" s="128">
        <f>IFERROR(lifespans_all!Q196*DTE_mission_minutes!Q40,"-")</f>
        <v>0</v>
      </c>
      <c r="Q198" s="128">
        <f>IFERROR(lifespans_all!R196*DTE_mission_minutes!R40,"-")</f>
        <v>0</v>
      </c>
      <c r="R198" s="128">
        <f>IFERROR(lifespans_all!S196*DTE_mission_minutes!S40,"-")</f>
        <v>0</v>
      </c>
      <c r="S198" s="128">
        <f>IFERROR(lifespans_all!T196*DTE_mission_minutes!T40,"-")</f>
        <v>0</v>
      </c>
      <c r="T198" s="128">
        <f>IFERROR(lifespans_all!U196*DTE_mission_minutes!U40,"-")</f>
        <v>0</v>
      </c>
      <c r="U198" s="128">
        <f>IFERROR(lifespans_all!V196*DTE_mission_minutes!V40,"-")</f>
        <v>0</v>
      </c>
      <c r="V198" s="128">
        <f>IFERROR(lifespans_all!W196*DTE_mission_minutes!W40,"-")</f>
        <v>0</v>
      </c>
    </row>
    <row r="199" spans="1:22" x14ac:dyDescent="0.25">
      <c r="A199" s="46" t="s">
        <v>50</v>
      </c>
      <c r="B199" s="54" t="s">
        <v>61</v>
      </c>
      <c r="C199" s="128">
        <f>IFERROR(lifespans_all!D197*DTE_mission_minutes!D41,"-")</f>
        <v>1321.6547222222223</v>
      </c>
      <c r="D199" s="128">
        <f>IFERROR(lifespans_all!E197*DTE_mission_minutes!E41,"-")</f>
        <v>1450.1822222222222</v>
      </c>
      <c r="E199" s="128">
        <f>IFERROR(lifespans_all!F197*DTE_mission_minutes!F41,"-")</f>
        <v>1386.2452777777776</v>
      </c>
      <c r="F199" s="128">
        <f>IFERROR(lifespans_all!G197*DTE_mission_minutes!G41,"-")</f>
        <v>1393.7255555555555</v>
      </c>
      <c r="G199" s="128">
        <f>IFERROR(lifespans_all!H197*DTE_mission_minutes!H41,"-")</f>
        <v>1393.7255555555555</v>
      </c>
      <c r="H199" s="128">
        <f>IFERROR(lifespans_all!I197*DTE_mission_minutes!I41,"-")</f>
        <v>0</v>
      </c>
      <c r="I199" s="128">
        <f>IFERROR(lifespans_all!J197*DTE_mission_minutes!J41,"-")</f>
        <v>0</v>
      </c>
      <c r="J199" s="128">
        <f>IFERROR(lifespans_all!K197*DTE_mission_minutes!K41,"-")</f>
        <v>0</v>
      </c>
      <c r="K199" s="128">
        <f>IFERROR(lifespans_all!L197*DTE_mission_minutes!L41,"-")</f>
        <v>0</v>
      </c>
      <c r="L199" s="128">
        <f>IFERROR(lifespans_all!M197*DTE_mission_minutes!M41,"-")</f>
        <v>0</v>
      </c>
      <c r="M199" s="128">
        <f>IFERROR(lifespans_all!N197*DTE_mission_minutes!N41,"-")</f>
        <v>0</v>
      </c>
      <c r="N199" s="128">
        <f>IFERROR(lifespans_all!O197*DTE_mission_minutes!O41,"-")</f>
        <v>0</v>
      </c>
      <c r="O199" s="128">
        <f>IFERROR(lifespans_all!P197*DTE_mission_minutes!P41,"-")</f>
        <v>0</v>
      </c>
      <c r="P199" s="128">
        <f>IFERROR(lifespans_all!Q197*DTE_mission_minutes!Q41,"-")</f>
        <v>0</v>
      </c>
      <c r="Q199" s="128">
        <f>IFERROR(lifespans_all!R197*DTE_mission_minutes!R41,"-")</f>
        <v>0</v>
      </c>
      <c r="R199" s="128">
        <f>IFERROR(lifespans_all!S197*DTE_mission_minutes!S41,"-")</f>
        <v>0</v>
      </c>
      <c r="S199" s="128">
        <f>IFERROR(lifespans_all!T197*DTE_mission_minutes!T41,"-")</f>
        <v>0</v>
      </c>
      <c r="T199" s="128">
        <f>IFERROR(lifespans_all!U197*DTE_mission_minutes!U41,"-")</f>
        <v>0</v>
      </c>
      <c r="U199" s="128">
        <f>IFERROR(lifespans_all!V197*DTE_mission_minutes!V41,"-")</f>
        <v>0</v>
      </c>
      <c r="V199" s="128">
        <f>IFERROR(lifespans_all!W197*DTE_mission_minutes!W41,"-")</f>
        <v>0</v>
      </c>
    </row>
    <row r="200" spans="1:22" x14ac:dyDescent="0.25">
      <c r="A200" s="46" t="s">
        <v>79</v>
      </c>
      <c r="B200" s="54" t="s">
        <v>59</v>
      </c>
      <c r="C200" s="128">
        <f>IFERROR(lifespans_all!D198*DTE_mission_minutes!D42,"-")</f>
        <v>171572.29579277776</v>
      </c>
      <c r="D200" s="128">
        <f>IFERROR(lifespans_all!E198*DTE_mission_minutes!E42,"-")</f>
        <v>171572.29579277776</v>
      </c>
      <c r="E200" s="128">
        <f>IFERROR(lifespans_all!F198*DTE_mission_minutes!F42,"-")</f>
        <v>171572.29579277776</v>
      </c>
      <c r="F200" s="128">
        <f>IFERROR(lifespans_all!G198*DTE_mission_minutes!G42,"-")</f>
        <v>171572.29579277776</v>
      </c>
      <c r="G200" s="128">
        <f>IFERROR(lifespans_all!H198*DTE_mission_minutes!H42,"-")</f>
        <v>171572.29579277776</v>
      </c>
      <c r="H200" s="128">
        <f>IFERROR(lifespans_all!I198*DTE_mission_minutes!I42,"-")</f>
        <v>171572.29579277776</v>
      </c>
      <c r="I200" s="128">
        <f>IFERROR(lifespans_all!J198*DTE_mission_minutes!J42,"-")</f>
        <v>171572.29579277776</v>
      </c>
      <c r="J200" s="128">
        <f>IFERROR(lifespans_all!K198*DTE_mission_minutes!K42,"-")</f>
        <v>171572.29579277776</v>
      </c>
      <c r="K200" s="128">
        <f>IFERROR(lifespans_all!L198*DTE_mission_minutes!L42,"-")</f>
        <v>171572.29579277776</v>
      </c>
      <c r="L200" s="128">
        <f>IFERROR(lifespans_all!M198*DTE_mission_minutes!M42,"-")</f>
        <v>171572.29579277776</v>
      </c>
      <c r="M200" s="128">
        <f>IFERROR(lifespans_all!N198*DTE_mission_minutes!N42,"-")</f>
        <v>171572.29579277776</v>
      </c>
      <c r="N200" s="128">
        <f>IFERROR(lifespans_all!O198*DTE_mission_minutes!O42,"-")</f>
        <v>171572.29579277776</v>
      </c>
      <c r="O200" s="128">
        <f>IFERROR(lifespans_all!P198*DTE_mission_minutes!P42,"-")</f>
        <v>171572.29579277776</v>
      </c>
      <c r="P200" s="128">
        <f>IFERROR(lifespans_all!Q198*DTE_mission_minutes!Q42,"-")</f>
        <v>171572.29579277776</v>
      </c>
      <c r="Q200" s="128">
        <f>IFERROR(lifespans_all!R198*DTE_mission_minutes!R42,"-")</f>
        <v>171572.29579277776</v>
      </c>
      <c r="R200" s="128">
        <f>IFERROR(lifespans_all!S198*DTE_mission_minutes!S42,"-")</f>
        <v>171572.29579277776</v>
      </c>
      <c r="S200" s="128">
        <f>IFERROR(lifespans_all!T198*DTE_mission_minutes!T42,"-")</f>
        <v>171572.29579277776</v>
      </c>
      <c r="T200" s="128">
        <f>IFERROR(lifespans_all!U198*DTE_mission_minutes!U42,"-")</f>
        <v>171572.29579277776</v>
      </c>
      <c r="U200" s="128">
        <f>IFERROR(lifespans_all!V198*DTE_mission_minutes!V42,"-")</f>
        <v>171572.29579277776</v>
      </c>
      <c r="V200" s="128">
        <f>IFERROR(lifespans_all!W198*DTE_mission_minutes!W42,"-")</f>
        <v>171572.29579277776</v>
      </c>
    </row>
    <row r="201" spans="1:22" x14ac:dyDescent="0.25">
      <c r="A201" s="46" t="s">
        <v>80</v>
      </c>
      <c r="B201" s="47" t="s">
        <v>62</v>
      </c>
      <c r="C201" s="128" t="str">
        <f>IFERROR(lifespans_all!D199*DTE_mission_minutes!D43,"-")</f>
        <v>-</v>
      </c>
      <c r="D201" s="128" t="str">
        <f>IFERROR(lifespans_all!E199*DTE_mission_minutes!E43,"-")</f>
        <v>-</v>
      </c>
      <c r="E201" s="128" t="str">
        <f>IFERROR(lifespans_all!F199*DTE_mission_minutes!F43,"-")</f>
        <v>-</v>
      </c>
      <c r="F201" s="128" t="str">
        <f>IFERROR(lifespans_all!G199*DTE_mission_minutes!G43,"-")</f>
        <v>-</v>
      </c>
      <c r="G201" s="128" t="str">
        <f>IFERROR(lifespans_all!H199*DTE_mission_minutes!H43,"-")</f>
        <v>-</v>
      </c>
      <c r="H201" s="128" t="str">
        <f>IFERROR(lifespans_all!I199*DTE_mission_minutes!I43,"-")</f>
        <v>-</v>
      </c>
      <c r="I201" s="128" t="str">
        <f>IFERROR(lifespans_all!J199*DTE_mission_minutes!J43,"-")</f>
        <v>-</v>
      </c>
      <c r="J201" s="128" t="str">
        <f>IFERROR(lifespans_all!K199*DTE_mission_minutes!K43,"-")</f>
        <v>-</v>
      </c>
      <c r="K201" s="128" t="str">
        <f>IFERROR(lifespans_all!L199*DTE_mission_minutes!L43,"-")</f>
        <v>-</v>
      </c>
      <c r="L201" s="128" t="str">
        <f>IFERROR(lifespans_all!M199*DTE_mission_minutes!M43,"-")</f>
        <v>-</v>
      </c>
      <c r="M201" s="128" t="str">
        <f>IFERROR(lifespans_all!N199*DTE_mission_minutes!N43,"-")</f>
        <v>-</v>
      </c>
      <c r="N201" s="128" t="str">
        <f>IFERROR(lifespans_all!O199*DTE_mission_minutes!O43,"-")</f>
        <v>-</v>
      </c>
      <c r="O201" s="128" t="str">
        <f>IFERROR(lifespans_all!P199*DTE_mission_minutes!P43,"-")</f>
        <v>-</v>
      </c>
      <c r="P201" s="128" t="str">
        <f>IFERROR(lifespans_all!Q199*DTE_mission_minutes!Q43,"-")</f>
        <v>-</v>
      </c>
      <c r="Q201" s="128" t="str">
        <f>IFERROR(lifespans_all!R199*DTE_mission_minutes!R43,"-")</f>
        <v>-</v>
      </c>
      <c r="R201" s="128" t="str">
        <f>IFERROR(lifespans_all!S199*DTE_mission_minutes!S43,"-")</f>
        <v>-</v>
      </c>
      <c r="S201" s="128" t="str">
        <f>IFERROR(lifespans_all!T199*DTE_mission_minutes!T43,"-")</f>
        <v>-</v>
      </c>
      <c r="T201" s="128" t="str">
        <f>IFERROR(lifespans_all!U199*DTE_mission_minutes!U43,"-")</f>
        <v>-</v>
      </c>
      <c r="U201" s="128" t="str">
        <f>IFERROR(lifespans_all!V199*DTE_mission_minutes!V43,"-")</f>
        <v>-</v>
      </c>
      <c r="V201" s="128" t="str">
        <f>IFERROR(lifespans_all!W199*DTE_mission_minutes!W43,"-")</f>
        <v>-</v>
      </c>
    </row>
    <row r="202" spans="1:22" x14ac:dyDescent="0.25">
      <c r="A202" s="46" t="s">
        <v>81</v>
      </c>
      <c r="B202" s="47" t="s">
        <v>57</v>
      </c>
      <c r="C202" s="128">
        <f>IFERROR(lifespans_all!D200*DTE_mission_minutes!D44,"-")</f>
        <v>3017.8666666666668</v>
      </c>
      <c r="D202" s="128">
        <f>IFERROR(lifespans_all!E200*DTE_mission_minutes!E44,"-")</f>
        <v>3078.4611111111108</v>
      </c>
      <c r="E202" s="128">
        <f>IFERROR(lifespans_all!F200*DTE_mission_minutes!F44,"-")</f>
        <v>2765.7895222222219</v>
      </c>
      <c r="F202" s="128">
        <f>IFERROR(lifespans_all!G200*DTE_mission_minutes!G44,"-")</f>
        <v>3000.2460561111111</v>
      </c>
      <c r="G202" s="128">
        <f>IFERROR(lifespans_all!H200*DTE_mission_minutes!H44,"-")</f>
        <v>3000.2460561111111</v>
      </c>
      <c r="H202" s="128">
        <f>IFERROR(lifespans_all!I200*DTE_mission_minutes!I44,"-")</f>
        <v>3000.2460561111111</v>
      </c>
      <c r="I202" s="128">
        <f>IFERROR(lifespans_all!J200*DTE_mission_minutes!J44,"-")</f>
        <v>3000.2460561111111</v>
      </c>
      <c r="J202" s="128">
        <f>IFERROR(lifespans_all!K200*DTE_mission_minutes!K44,"-")</f>
        <v>0</v>
      </c>
      <c r="K202" s="128">
        <f>IFERROR(lifespans_all!L200*DTE_mission_minutes!L44,"-")</f>
        <v>0</v>
      </c>
      <c r="L202" s="128">
        <f>IFERROR(lifespans_all!M200*DTE_mission_minutes!M44,"-")</f>
        <v>0</v>
      </c>
      <c r="M202" s="128">
        <f>IFERROR(lifespans_all!N200*DTE_mission_minutes!N44,"-")</f>
        <v>0</v>
      </c>
      <c r="N202" s="128">
        <f>IFERROR(lifespans_all!O200*DTE_mission_minutes!O44,"-")</f>
        <v>0</v>
      </c>
      <c r="O202" s="128">
        <f>IFERROR(lifespans_all!P200*DTE_mission_minutes!P44,"-")</f>
        <v>0</v>
      </c>
      <c r="P202" s="128">
        <f>IFERROR(lifespans_all!Q200*DTE_mission_minutes!Q44,"-")</f>
        <v>0</v>
      </c>
      <c r="Q202" s="128">
        <f>IFERROR(lifespans_all!R200*DTE_mission_minutes!R44,"-")</f>
        <v>0</v>
      </c>
      <c r="R202" s="128">
        <f>IFERROR(lifespans_all!S200*DTE_mission_minutes!S44,"-")</f>
        <v>0</v>
      </c>
      <c r="S202" s="128">
        <f>IFERROR(lifespans_all!T200*DTE_mission_minutes!T44,"-")</f>
        <v>0</v>
      </c>
      <c r="T202" s="128">
        <f>IFERROR(lifespans_all!U200*DTE_mission_minutes!U44,"-")</f>
        <v>0</v>
      </c>
      <c r="U202" s="128">
        <f>IFERROR(lifespans_all!V200*DTE_mission_minutes!V44,"-")</f>
        <v>0</v>
      </c>
      <c r="V202" s="128">
        <f>IFERROR(lifespans_all!W200*DTE_mission_minutes!W44,"-")</f>
        <v>0</v>
      </c>
    </row>
    <row r="203" spans="1:22" x14ac:dyDescent="0.25">
      <c r="A203" s="46" t="s">
        <v>51</v>
      </c>
      <c r="B203" s="47" t="s">
        <v>56</v>
      </c>
      <c r="C203" s="128">
        <f>IFERROR(lifespans_all!D201*DTE_mission_minutes!D45,"-")</f>
        <v>2140.4341038095235</v>
      </c>
      <c r="D203" s="128">
        <f>IFERROR(lifespans_all!E201*DTE_mission_minutes!E45,"-")</f>
        <v>2140.4341038095235</v>
      </c>
      <c r="E203" s="128">
        <f>IFERROR(lifespans_all!F201*DTE_mission_minutes!F45,"-")</f>
        <v>0</v>
      </c>
      <c r="F203" s="128">
        <f>IFERROR(lifespans_all!G201*DTE_mission_minutes!G45,"-")</f>
        <v>0</v>
      </c>
      <c r="G203" s="128">
        <f>IFERROR(lifespans_all!H201*DTE_mission_minutes!H45,"-")</f>
        <v>0</v>
      </c>
      <c r="H203" s="128">
        <f>IFERROR(lifespans_all!I201*DTE_mission_minutes!I45,"-")</f>
        <v>0</v>
      </c>
      <c r="I203" s="128">
        <f>IFERROR(lifespans_all!J201*DTE_mission_minutes!J45,"-")</f>
        <v>0</v>
      </c>
      <c r="J203" s="128">
        <f>IFERROR(lifespans_all!K201*DTE_mission_minutes!K45,"-")</f>
        <v>0</v>
      </c>
      <c r="K203" s="128">
        <f>IFERROR(lifespans_all!L201*DTE_mission_minutes!L45,"-")</f>
        <v>0</v>
      </c>
      <c r="L203" s="128">
        <f>IFERROR(lifespans_all!M201*DTE_mission_minutes!M45,"-")</f>
        <v>0</v>
      </c>
      <c r="M203" s="128">
        <f>IFERROR(lifespans_all!N201*DTE_mission_minutes!N45,"-")</f>
        <v>0</v>
      </c>
      <c r="N203" s="128">
        <f>IFERROR(lifespans_all!O201*DTE_mission_minutes!O45,"-")</f>
        <v>0</v>
      </c>
      <c r="O203" s="128">
        <f>IFERROR(lifespans_all!P201*DTE_mission_minutes!P45,"-")</f>
        <v>0</v>
      </c>
      <c r="P203" s="128">
        <f>IFERROR(lifespans_all!Q201*DTE_mission_minutes!Q45,"-")</f>
        <v>0</v>
      </c>
      <c r="Q203" s="128">
        <f>IFERROR(lifespans_all!R201*DTE_mission_minutes!R45,"-")</f>
        <v>0</v>
      </c>
      <c r="R203" s="128">
        <f>IFERROR(lifespans_all!S201*DTE_mission_minutes!S45,"-")</f>
        <v>0</v>
      </c>
      <c r="S203" s="128">
        <f>IFERROR(lifespans_all!T201*DTE_mission_minutes!T45,"-")</f>
        <v>0</v>
      </c>
      <c r="T203" s="128">
        <f>IFERROR(lifespans_all!U201*DTE_mission_minutes!U45,"-")</f>
        <v>0</v>
      </c>
      <c r="U203" s="128">
        <f>IFERROR(lifespans_all!V201*DTE_mission_minutes!V45,"-")</f>
        <v>0</v>
      </c>
      <c r="V203" s="128">
        <f>IFERROR(lifespans_all!W201*DTE_mission_minutes!W45,"-")</f>
        <v>0</v>
      </c>
    </row>
    <row r="204" spans="1:22" x14ac:dyDescent="0.25">
      <c r="A204" s="46" t="s">
        <v>52</v>
      </c>
      <c r="B204" s="47" t="s">
        <v>56</v>
      </c>
      <c r="C204" s="128">
        <f>IFERROR(lifespans_all!D202*DTE_mission_minutes!D46,"-")</f>
        <v>2140.4341038095235</v>
      </c>
      <c r="D204" s="128">
        <f>IFERROR(lifespans_all!E202*DTE_mission_minutes!E46,"-")</f>
        <v>2140.4341038095235</v>
      </c>
      <c r="E204" s="128">
        <f>IFERROR(lifespans_all!F202*DTE_mission_minutes!F46,"-")</f>
        <v>0</v>
      </c>
      <c r="F204" s="128">
        <f>IFERROR(lifespans_all!G202*DTE_mission_minutes!G46,"-")</f>
        <v>0</v>
      </c>
      <c r="G204" s="128">
        <f>IFERROR(lifespans_all!H202*DTE_mission_minutes!H46,"-")</f>
        <v>0</v>
      </c>
      <c r="H204" s="128">
        <f>IFERROR(lifespans_all!I202*DTE_mission_minutes!I46,"-")</f>
        <v>0</v>
      </c>
      <c r="I204" s="128">
        <f>IFERROR(lifespans_all!J202*DTE_mission_minutes!J46,"-")</f>
        <v>0</v>
      </c>
      <c r="J204" s="128">
        <f>IFERROR(lifespans_all!K202*DTE_mission_minutes!K46,"-")</f>
        <v>0</v>
      </c>
      <c r="K204" s="128">
        <f>IFERROR(lifespans_all!L202*DTE_mission_minutes!L46,"-")</f>
        <v>0</v>
      </c>
      <c r="L204" s="128">
        <f>IFERROR(lifespans_all!M202*DTE_mission_minutes!M46,"-")</f>
        <v>0</v>
      </c>
      <c r="M204" s="128">
        <f>IFERROR(lifespans_all!N202*DTE_mission_minutes!N46,"-")</f>
        <v>0</v>
      </c>
      <c r="N204" s="128">
        <f>IFERROR(lifespans_all!O202*DTE_mission_minutes!O46,"-")</f>
        <v>0</v>
      </c>
      <c r="O204" s="128">
        <f>IFERROR(lifespans_all!P202*DTE_mission_minutes!P46,"-")</f>
        <v>0</v>
      </c>
      <c r="P204" s="128">
        <f>IFERROR(lifespans_all!Q202*DTE_mission_minutes!Q46,"-")</f>
        <v>0</v>
      </c>
      <c r="Q204" s="128">
        <f>IFERROR(lifespans_all!R202*DTE_mission_minutes!R46,"-")</f>
        <v>0</v>
      </c>
      <c r="R204" s="128">
        <f>IFERROR(lifespans_all!S202*DTE_mission_minutes!S46,"-")</f>
        <v>0</v>
      </c>
      <c r="S204" s="128">
        <f>IFERROR(lifespans_all!T202*DTE_mission_minutes!T46,"-")</f>
        <v>0</v>
      </c>
      <c r="T204" s="128">
        <f>IFERROR(lifespans_all!U202*DTE_mission_minutes!U46,"-")</f>
        <v>0</v>
      </c>
      <c r="U204" s="128">
        <f>IFERROR(lifespans_all!V202*DTE_mission_minutes!V46,"-")</f>
        <v>0</v>
      </c>
      <c r="V204" s="128">
        <f>IFERROR(lifespans_all!W202*DTE_mission_minutes!W46,"-")</f>
        <v>0</v>
      </c>
    </row>
    <row r="205" spans="1:22" x14ac:dyDescent="0.25">
      <c r="A205" s="46" t="s">
        <v>53</v>
      </c>
      <c r="B205" s="47" t="s">
        <v>56</v>
      </c>
      <c r="C205" s="128">
        <f>IFERROR(lifespans_all!D203*DTE_mission_minutes!D47,"-")</f>
        <v>2140.4341038095235</v>
      </c>
      <c r="D205" s="128">
        <f>IFERROR(lifespans_all!E203*DTE_mission_minutes!E47,"-")</f>
        <v>2140.4341038095235</v>
      </c>
      <c r="E205" s="128">
        <f>IFERROR(lifespans_all!F203*DTE_mission_minutes!F47,"-")</f>
        <v>0</v>
      </c>
      <c r="F205" s="128">
        <f>IFERROR(lifespans_all!G203*DTE_mission_minutes!G47,"-")</f>
        <v>0</v>
      </c>
      <c r="G205" s="128">
        <f>IFERROR(lifespans_all!H203*DTE_mission_minutes!H47,"-")</f>
        <v>0</v>
      </c>
      <c r="H205" s="128">
        <f>IFERROR(lifespans_all!I203*DTE_mission_minutes!I47,"-")</f>
        <v>0</v>
      </c>
      <c r="I205" s="128">
        <f>IFERROR(lifespans_all!J203*DTE_mission_minutes!J47,"-")</f>
        <v>0</v>
      </c>
      <c r="J205" s="128">
        <f>IFERROR(lifespans_all!K203*DTE_mission_minutes!K47,"-")</f>
        <v>0</v>
      </c>
      <c r="K205" s="128">
        <f>IFERROR(lifespans_all!L203*DTE_mission_minutes!L47,"-")</f>
        <v>0</v>
      </c>
      <c r="L205" s="128">
        <f>IFERROR(lifespans_all!M203*DTE_mission_minutes!M47,"-")</f>
        <v>0</v>
      </c>
      <c r="M205" s="128">
        <f>IFERROR(lifespans_all!N203*DTE_mission_minutes!N47,"-")</f>
        <v>0</v>
      </c>
      <c r="N205" s="128">
        <f>IFERROR(lifespans_all!O203*DTE_mission_minutes!O47,"-")</f>
        <v>0</v>
      </c>
      <c r="O205" s="128">
        <f>IFERROR(lifespans_all!P203*DTE_mission_minutes!P47,"-")</f>
        <v>0</v>
      </c>
      <c r="P205" s="128">
        <f>IFERROR(lifespans_all!Q203*DTE_mission_minutes!Q47,"-")</f>
        <v>0</v>
      </c>
      <c r="Q205" s="128">
        <f>IFERROR(lifespans_all!R203*DTE_mission_minutes!R47,"-")</f>
        <v>0</v>
      </c>
      <c r="R205" s="128">
        <f>IFERROR(lifespans_all!S203*DTE_mission_minutes!S47,"-")</f>
        <v>0</v>
      </c>
      <c r="S205" s="128">
        <f>IFERROR(lifespans_all!T203*DTE_mission_minutes!T47,"-")</f>
        <v>0</v>
      </c>
      <c r="T205" s="128">
        <f>IFERROR(lifespans_all!U203*DTE_mission_minutes!U47,"-")</f>
        <v>0</v>
      </c>
      <c r="U205" s="128">
        <f>IFERROR(lifespans_all!V203*DTE_mission_minutes!V47,"-")</f>
        <v>0</v>
      </c>
      <c r="V205" s="128">
        <f>IFERROR(lifespans_all!W203*DTE_mission_minutes!W47,"-")</f>
        <v>0</v>
      </c>
    </row>
    <row r="206" spans="1:22" x14ac:dyDescent="0.25">
      <c r="A206" s="46" t="s">
        <v>54</v>
      </c>
      <c r="B206" s="47" t="s">
        <v>57</v>
      </c>
      <c r="C206" s="128">
        <f>IFERROR(lifespans_all!D204*DTE_mission_minutes!D48,"-")</f>
        <v>133409.35004928565</v>
      </c>
      <c r="D206" s="128">
        <f>IFERROR(lifespans_all!E204*DTE_mission_minutes!E48,"-")</f>
        <v>0</v>
      </c>
      <c r="E206" s="128">
        <f>IFERROR(lifespans_all!F204*DTE_mission_minutes!F48,"-")</f>
        <v>0</v>
      </c>
      <c r="F206" s="128">
        <f>IFERROR(lifespans_all!G204*DTE_mission_minutes!G48,"-")</f>
        <v>0</v>
      </c>
      <c r="G206" s="128">
        <f>IFERROR(lifespans_all!H204*DTE_mission_minutes!H48,"-")</f>
        <v>0</v>
      </c>
      <c r="H206" s="128">
        <f>IFERROR(lifespans_all!I204*DTE_mission_minutes!I48,"-")</f>
        <v>0</v>
      </c>
      <c r="I206" s="128">
        <f>IFERROR(lifespans_all!J204*DTE_mission_minutes!J48,"-")</f>
        <v>0</v>
      </c>
      <c r="J206" s="128">
        <f>IFERROR(lifespans_all!K204*DTE_mission_minutes!K48,"-")</f>
        <v>0</v>
      </c>
      <c r="K206" s="128">
        <f>IFERROR(lifespans_all!L204*DTE_mission_minutes!L48,"-")</f>
        <v>0</v>
      </c>
      <c r="L206" s="128">
        <f>IFERROR(lifespans_all!M204*DTE_mission_minutes!M48,"-")</f>
        <v>0</v>
      </c>
      <c r="M206" s="128">
        <f>IFERROR(lifespans_all!N204*DTE_mission_minutes!N48,"-")</f>
        <v>0</v>
      </c>
      <c r="N206" s="128">
        <f>IFERROR(lifespans_all!O204*DTE_mission_minutes!O48,"-")</f>
        <v>0</v>
      </c>
      <c r="O206" s="128">
        <f>IFERROR(lifespans_all!P204*DTE_mission_minutes!P48,"-")</f>
        <v>0</v>
      </c>
      <c r="P206" s="128">
        <f>IFERROR(lifespans_all!Q204*DTE_mission_minutes!Q48,"-")</f>
        <v>0</v>
      </c>
      <c r="Q206" s="128">
        <f>IFERROR(lifespans_all!R204*DTE_mission_minutes!R48,"-")</f>
        <v>0</v>
      </c>
      <c r="R206" s="128">
        <f>IFERROR(lifespans_all!S204*DTE_mission_minutes!S48,"-")</f>
        <v>0</v>
      </c>
      <c r="S206" s="128">
        <f>IFERROR(lifespans_all!T204*DTE_mission_minutes!T48,"-")</f>
        <v>0</v>
      </c>
      <c r="T206" s="128">
        <f>IFERROR(lifespans_all!U204*DTE_mission_minutes!U48,"-")</f>
        <v>0</v>
      </c>
      <c r="U206" s="128">
        <f>IFERROR(lifespans_all!V204*DTE_mission_minutes!V48,"-")</f>
        <v>0</v>
      </c>
      <c r="V206" s="128">
        <f>IFERROR(lifespans_all!W204*DTE_mission_minutes!W48,"-")</f>
        <v>0</v>
      </c>
    </row>
    <row r="207" spans="1:22" x14ac:dyDescent="0.25">
      <c r="A207" s="38" t="str">
        <f t="shared" ref="A207:B214" si="29">A49</f>
        <v>New</v>
      </c>
      <c r="B207" s="38" t="str">
        <f t="shared" si="29"/>
        <v>Human Space Flight</v>
      </c>
      <c r="C207" s="128">
        <f>IFERROR((lifespans_all!D205*DTE_mission_minutes!D49)*POWER(1+(Settings!$C$31/100),C$1-2021),"-")</f>
        <v>102943.37747566665</v>
      </c>
      <c r="D207" s="128">
        <f>IFERROR((lifespans_all!E205*DTE_mission_minutes!E49)*POWER(1+(Settings!$C$31/100),D$1-2021),"-")</f>
        <v>210004.49005035998</v>
      </c>
      <c r="E207" s="128">
        <f>IFERROR((lifespans_all!F205*DTE_mission_minutes!F49)*POWER(1+(Settings!$C$31/100),E$1-2021),"-")</f>
        <v>321306.86977705068</v>
      </c>
      <c r="F207" s="128">
        <f>IFERROR((lifespans_all!G205*DTE_mission_minutes!G49)*POWER(1+(Settings!$C$31/100),F$1-2021),"-")</f>
        <v>436977.34289678902</v>
      </c>
      <c r="G207" s="128">
        <f>IFERROR((lifespans_all!H205*DTE_mission_minutes!H49)*POWER(1+(Settings!$C$31/100),G$1-2021),"-")</f>
        <v>557146.11219340598</v>
      </c>
      <c r="H207" s="128">
        <f>IFERROR((lifespans_all!I205*DTE_mission_minutes!I49)*POWER(1+(Settings!$C$31/100),H$1-2021),"-")</f>
        <v>681946.84132472903</v>
      </c>
      <c r="I207" s="128">
        <f>IFERROR((lifespans_all!J205*DTE_mission_minutes!J49)*POWER(1+(Settings!$C$31/100),I$1-2021),"-")</f>
        <v>811516.74117642757</v>
      </c>
      <c r="J207" s="128">
        <f>IFERROR((lifespans_all!K205*DTE_mission_minutes!K49)*POWER(1+(Settings!$C$31/100),J$1-2021),"-")</f>
        <v>945996.65828566381</v>
      </c>
      <c r="K207" s="128">
        <f>IFERROR((lifespans_all!L205*DTE_mission_minutes!L49)*POWER(1+(Settings!$C$31/100),K$1-2021),"-")</f>
        <v>1085531.1653827992</v>
      </c>
      <c r="L207" s="128">
        <f>IFERROR((lifespans_all!M205*DTE_mission_minutes!M49)*POWER(1+(Settings!$C$31/100),L$1-2021),"-")</f>
        <v>1230268.6541005059</v>
      </c>
      <c r="M207" s="128">
        <f>IFERROR((lifespans_all!N205*DTE_mission_minutes!N49)*POWER(1+(Settings!$C$31/100),M$1-2021),"-")</f>
        <v>1673165.3695766879</v>
      </c>
      <c r="N207" s="128">
        <f>IFERROR((lifespans_all!O205*DTE_mission_minutes!O49)*POWER(1+(Settings!$C$31/100),N$1-2021),"-")</f>
        <v>1706628.6769682213</v>
      </c>
      <c r="O207" s="128">
        <f>IFERROR((lifespans_all!P205*DTE_mission_minutes!P49)*POWER(1+(Settings!$C$31/100),O$1-2021),"-")</f>
        <v>1740761.2505075862</v>
      </c>
      <c r="P207" s="128">
        <f>IFERROR((lifespans_all!Q205*DTE_mission_minutes!Q49)*POWER(1+(Settings!$C$31/100),P$1-2021),"-")</f>
        <v>1775576.4755177377</v>
      </c>
      <c r="Q207" s="128">
        <f>IFERROR((lifespans_all!R205*DTE_mission_minutes!R49)*POWER(1+(Settings!$C$31/100),Q$1-2021),"-")</f>
        <v>1811088.0050280928</v>
      </c>
      <c r="R207" s="128">
        <f>IFERROR((lifespans_all!S205*DTE_mission_minutes!S49)*POWER(1+(Settings!$C$31/100),R$1-2021),"-")</f>
        <v>1847309.765128654</v>
      </c>
      <c r="S207" s="128">
        <f>IFERROR((lifespans_all!T205*DTE_mission_minutes!T49)*POWER(1+(Settings!$C$31/100),S$1-2021),"-")</f>
        <v>1884255.9604312275</v>
      </c>
      <c r="T207" s="128">
        <f>IFERROR((lifespans_all!U205*DTE_mission_minutes!U49)*POWER(1+(Settings!$C$31/100),T$1-2021),"-")</f>
        <v>1921941.079639852</v>
      </c>
      <c r="U207" s="128">
        <f>IFERROR((lifespans_all!V205*DTE_mission_minutes!V49)*POWER(1+(Settings!$C$31/100),U$1-2021),"-")</f>
        <v>1960379.9012326489</v>
      </c>
      <c r="V207" s="128">
        <f>IFERROR((lifespans_all!W205*DTE_mission_minutes!W49)*POWER(1+(Settings!$C$31/100),V$1-2021),"-")</f>
        <v>1999587.4992573019</v>
      </c>
    </row>
    <row r="208" spans="1:22" x14ac:dyDescent="0.25">
      <c r="A208" s="38" t="str">
        <f t="shared" si="29"/>
        <v>New</v>
      </c>
      <c r="B208" s="38" t="str">
        <f t="shared" si="29"/>
        <v>Near Earth Robotic - LEO Science</v>
      </c>
      <c r="C208" s="128">
        <f>IFERROR((lifespans_all!D206*DTE_mission_minutes!D50)*POWER(1+(Settings!$C$31/100),C$1-2021),"-")</f>
        <v>58205.349803333345</v>
      </c>
      <c r="D208" s="128">
        <f>IFERROR((lifespans_all!E206*DTE_mission_minutes!E50)*POWER(1+(Settings!$C$31/100),D$1-2021),"-")</f>
        <v>164054.26962026666</v>
      </c>
      <c r="E208" s="128">
        <f>IFERROR((lifespans_all!F206*DTE_mission_minutes!F50)*POWER(1+(Settings!$C$31/100),E$1-2021),"-")</f>
        <v>217416.00060172801</v>
      </c>
      <c r="F208" s="128">
        <f>IFERROR((lifespans_all!G206*DTE_mission_minutes!G50)*POWER(1+(Settings!$C$31/100),F$1-2021),"-")</f>
        <v>390150.14138311887</v>
      </c>
      <c r="G208" s="128">
        <f>IFERROR((lifespans_all!H206*DTE_mission_minutes!H50)*POWER(1+(Settings!$C$31/100),G$1-2021),"-")</f>
        <v>547906.5028989017</v>
      </c>
      <c r="H208" s="128">
        <f>IFERROR((lifespans_all!I206*DTE_mission_minutes!I50)*POWER(1+(Settings!$C$31/100),H$1-2021),"-")</f>
        <v>711817.05881876266</v>
      </c>
      <c r="I208" s="128">
        <f>IFERROR((lifespans_all!J206*DTE_mission_minutes!J50)*POWER(1+(Settings!$C$31/100),I$1-2021),"-")</f>
        <v>882064.87437425833</v>
      </c>
      <c r="J208" s="128">
        <f>IFERROR((lifespans_all!K206*DTE_mission_minutes!K50)*POWER(1+(Settings!$C$31/100),J$1-2021),"-")</f>
        <v>1028235.6249848495</v>
      </c>
      <c r="K208" s="128">
        <f>IFERROR((lifespans_all!L206*DTE_mission_minutes!L50)*POWER(1+(Settings!$C$31/100),K$1-2021),"-")</f>
        <v>1117471.7881531778</v>
      </c>
      <c r="L208" s="128">
        <f>IFERROR((lifespans_all!M206*DTE_mission_minutes!M50)*POWER(1+(Settings!$C$31/100),L$1-2021),"-")</f>
        <v>1209866.103598245</v>
      </c>
      <c r="M208" s="128">
        <f>IFERROR((lifespans_all!N206*DTE_mission_minutes!N50)*POWER(1+(Settings!$C$31/100),M$1-2021),"-")</f>
        <v>1234063.42567021</v>
      </c>
      <c r="N208" s="128">
        <f>IFERROR((lifespans_all!O206*DTE_mission_minutes!O50)*POWER(1+(Settings!$C$31/100),N$1-2021),"-")</f>
        <v>1258744.6941836139</v>
      </c>
      <c r="O208" s="128">
        <f>IFERROR((lifespans_all!P206*DTE_mission_minutes!P50)*POWER(1+(Settings!$C$31/100),O$1-2021),"-")</f>
        <v>1283919.5880672864</v>
      </c>
      <c r="P208" s="128">
        <f>IFERROR((lifespans_all!Q206*DTE_mission_minutes!Q50)*POWER(1+(Settings!$C$31/100),P$1-2021),"-")</f>
        <v>1309597.979828632</v>
      </c>
      <c r="Q208" s="128">
        <f>IFERROR((lifespans_all!R206*DTE_mission_minutes!R50)*POWER(1+(Settings!$C$31/100),Q$1-2021),"-")</f>
        <v>1335789.9394252049</v>
      </c>
      <c r="R208" s="128">
        <f>IFERROR((lifespans_all!S206*DTE_mission_minutes!S50)*POWER(1+(Settings!$C$31/100),R$1-2021),"-")</f>
        <v>1362505.7382137086</v>
      </c>
      <c r="S208" s="128">
        <f>IFERROR((lifespans_all!T206*DTE_mission_minutes!T50)*POWER(1+(Settings!$C$31/100),S$1-2021),"-")</f>
        <v>1389755.852977983</v>
      </c>
      <c r="T208" s="128">
        <f>IFERROR((lifespans_all!U206*DTE_mission_minutes!U50)*POWER(1+(Settings!$C$31/100),T$1-2021),"-")</f>
        <v>1417550.9700375427</v>
      </c>
      <c r="U208" s="128">
        <f>IFERROR((lifespans_all!V206*DTE_mission_minutes!V50)*POWER(1+(Settings!$C$31/100),U$1-2021),"-")</f>
        <v>1445901.9894382935</v>
      </c>
      <c r="V208" s="128">
        <f>IFERROR((lifespans_all!W206*DTE_mission_minutes!W50)*POWER(1+(Settings!$C$31/100),V$1-2021),"-")</f>
        <v>1474820.0292270593</v>
      </c>
    </row>
    <row r="209" spans="1:22" x14ac:dyDescent="0.25">
      <c r="A209" s="38" t="str">
        <f t="shared" si="29"/>
        <v>New</v>
      </c>
      <c r="B209" s="38" t="str">
        <f t="shared" si="29"/>
        <v>Near Earth Robotic - GEO and Near Earth</v>
      </c>
      <c r="C209" s="128">
        <f>IFERROR((lifespans_all!D207*DTE_mission_minutes!D51)*POWER(1+(Settings!$C$31/100),C$1-2021),"-")</f>
        <v>1926.3906934285712</v>
      </c>
      <c r="D209" s="128">
        <f>IFERROR((lifespans_all!E207*DTE_mission_minutes!E51)*POWER(1+(Settings!$C$31/100),D$1-2021),"-")</f>
        <v>3929.8370145942854</v>
      </c>
      <c r="E209" s="128">
        <f>IFERROR((lifespans_all!F207*DTE_mission_minutes!F51)*POWER(1+(Settings!$C$31/100),E$1-2021),"-")</f>
        <v>14920.28119874297</v>
      </c>
      <c r="F209" s="128">
        <f>IFERROR((lifespans_all!G207*DTE_mission_minutes!G51)*POWER(1+(Settings!$C$31/100),F$1-2021),"-")</f>
        <v>17262.988037709772</v>
      </c>
      <c r="G209" s="128">
        <f>IFERROR((lifespans_all!H207*DTE_mission_minutes!H51)*POWER(1+(Settings!$C$31/100),G$1-2021),"-")</f>
        <v>19693.435037755757</v>
      </c>
      <c r="H209" s="128">
        <f>IFERROR((lifespans_all!I207*DTE_mission_minutes!I51)*POWER(1+(Settings!$C$31/100),H$1-2021),"-")</f>
        <v>22214.194722588498</v>
      </c>
      <c r="I209" s="128">
        <f>IFERROR((lifespans_all!J207*DTE_mission_minutes!J51)*POWER(1+(Settings!$C$31/100),I$1-2021),"-")</f>
        <v>24827.907420799442</v>
      </c>
      <c r="J209" s="128">
        <f>IFERROR((lifespans_all!K207*DTE_mission_minutes!K51)*POWER(1+(Settings!$C$31/100),J$1-2021),"-")</f>
        <v>27537.282949049782</v>
      </c>
      <c r="K209" s="128">
        <f>IFERROR((lifespans_all!L207*DTE_mission_minutes!L51)*POWER(1+(Settings!$C$31/100),K$1-2021),"-")</f>
        <v>30345.10233546183</v>
      </c>
      <c r="L209" s="128">
        <f>IFERROR((lifespans_all!M207*DTE_mission_minutes!M51)*POWER(1+(Settings!$C$31/100),L$1-2021),"-")</f>
        <v>33254.219584150727</v>
      </c>
      <c r="M209" s="128">
        <f>IFERROR((lifespans_all!N207*DTE_mission_minutes!N51)*POWER(1+(Settings!$C$31/100),M$1-2021),"-")</f>
        <v>33919.303975833747</v>
      </c>
      <c r="N209" s="128">
        <f>IFERROR((lifespans_all!O207*DTE_mission_minutes!O51)*POWER(1+(Settings!$C$31/100),N$1-2021),"-")</f>
        <v>34597.690055350417</v>
      </c>
      <c r="O209" s="128">
        <f>IFERROR((lifespans_all!P207*DTE_mission_minutes!P51)*POWER(1+(Settings!$C$31/100),O$1-2021),"-")</f>
        <v>35289.643856457427</v>
      </c>
      <c r="P209" s="128">
        <f>IFERROR((lifespans_all!Q207*DTE_mission_minutes!Q51)*POWER(1+(Settings!$C$31/100),P$1-2021),"-")</f>
        <v>35995.436733586575</v>
      </c>
      <c r="Q209" s="128">
        <f>IFERROR((lifespans_all!R207*DTE_mission_minutes!R51)*POWER(1+(Settings!$C$31/100),Q$1-2021),"-")</f>
        <v>36715.345468258311</v>
      </c>
      <c r="R209" s="128">
        <f>IFERROR((lifespans_all!S207*DTE_mission_minutes!S51)*POWER(1+(Settings!$C$31/100),R$1-2021),"-")</f>
        <v>37449.652377623468</v>
      </c>
      <c r="S209" s="128">
        <f>IFERROR((lifespans_all!T207*DTE_mission_minutes!T51)*POWER(1+(Settings!$C$31/100),S$1-2021),"-")</f>
        <v>38198.645425175942</v>
      </c>
      <c r="T209" s="128">
        <f>IFERROR((lifespans_all!U207*DTE_mission_minutes!U51)*POWER(1+(Settings!$C$31/100),T$1-2021),"-")</f>
        <v>38962.618333679464</v>
      </c>
      <c r="U209" s="128">
        <f>IFERROR((lifespans_all!V207*DTE_mission_minutes!V51)*POWER(1+(Settings!$C$31/100),U$1-2021),"-")</f>
        <v>39741.870700353051</v>
      </c>
      <c r="V209" s="128">
        <f>IFERROR((lifespans_all!W207*DTE_mission_minutes!W51)*POWER(1+(Settings!$C$31/100),V$1-2021),"-")</f>
        <v>40536.70811436011</v>
      </c>
    </row>
    <row r="210" spans="1:22" x14ac:dyDescent="0.25">
      <c r="A210" s="38" t="str">
        <f t="shared" si="29"/>
        <v>New</v>
      </c>
      <c r="B210" s="38" t="str">
        <f t="shared" si="29"/>
        <v>Deep Space Robotic</v>
      </c>
      <c r="C210" s="128" t="str">
        <f>IFERROR((lifespans_all!D208*DTE_mission_minutes!D52)*POWER(1+(Settings!$C$31/100),C$1-2021),"-")</f>
        <v>-</v>
      </c>
      <c r="D210" s="128" t="str">
        <f>IFERROR((lifespans_all!E208*DTE_mission_minutes!E52)*POWER(1+(Settings!$C$31/100),D$1-2021),"-")</f>
        <v>-</v>
      </c>
      <c r="E210" s="128" t="str">
        <f>IFERROR((lifespans_all!F208*DTE_mission_minutes!F52)*POWER(1+(Settings!$C$31/100),E$1-2021),"-")</f>
        <v>-</v>
      </c>
      <c r="F210" s="128" t="str">
        <f>IFERROR((lifespans_all!G208*DTE_mission_minutes!G52)*POWER(1+(Settings!$C$31/100),F$1-2021),"-")</f>
        <v>-</v>
      </c>
      <c r="G210" s="128" t="str">
        <f>IFERROR((lifespans_all!H208*DTE_mission_minutes!H52)*POWER(1+(Settings!$C$31/100),G$1-2021),"-")</f>
        <v>-</v>
      </c>
      <c r="H210" s="128" t="str">
        <f>IFERROR((lifespans_all!I208*DTE_mission_minutes!I52)*POWER(1+(Settings!$C$31/100),H$1-2021),"-")</f>
        <v>-</v>
      </c>
      <c r="I210" s="128" t="str">
        <f>IFERROR((lifespans_all!J208*DTE_mission_minutes!J52)*POWER(1+(Settings!$C$31/100),I$1-2021),"-")</f>
        <v>-</v>
      </c>
      <c r="J210" s="128" t="str">
        <f>IFERROR((lifespans_all!K208*DTE_mission_minutes!K52)*POWER(1+(Settings!$C$31/100),J$1-2021),"-")</f>
        <v>-</v>
      </c>
      <c r="K210" s="128" t="str">
        <f>IFERROR((lifespans_all!L208*DTE_mission_minutes!L52)*POWER(1+(Settings!$C$31/100),K$1-2021),"-")</f>
        <v>-</v>
      </c>
      <c r="L210" s="128" t="str">
        <f>IFERROR((lifespans_all!M208*DTE_mission_minutes!M52)*POWER(1+(Settings!$C$31/100),L$1-2021),"-")</f>
        <v>-</v>
      </c>
      <c r="M210" s="128" t="str">
        <f>IFERROR((lifespans_all!N208*DTE_mission_minutes!N52)*POWER(1+(Settings!$C$31/100),M$1-2021),"-")</f>
        <v>-</v>
      </c>
      <c r="N210" s="128" t="str">
        <f>IFERROR((lifespans_all!O208*DTE_mission_minutes!O52)*POWER(1+(Settings!$C$31/100),N$1-2021),"-")</f>
        <v>-</v>
      </c>
      <c r="O210" s="128" t="str">
        <f>IFERROR((lifespans_all!P208*DTE_mission_minutes!P52)*POWER(1+(Settings!$C$31/100),O$1-2021),"-")</f>
        <v>-</v>
      </c>
      <c r="P210" s="128" t="str">
        <f>IFERROR((lifespans_all!Q208*DTE_mission_minutes!Q52)*POWER(1+(Settings!$C$31/100),P$1-2021),"-")</f>
        <v>-</v>
      </c>
      <c r="Q210" s="128" t="str">
        <f>IFERROR((lifespans_all!R208*DTE_mission_minutes!R52)*POWER(1+(Settings!$C$31/100),Q$1-2021),"-")</f>
        <v>-</v>
      </c>
      <c r="R210" s="128" t="str">
        <f>IFERROR((lifespans_all!S208*DTE_mission_minutes!S52)*POWER(1+(Settings!$C$31/100),R$1-2021),"-")</f>
        <v>-</v>
      </c>
      <c r="S210" s="128" t="str">
        <f>IFERROR((lifespans_all!T208*DTE_mission_minutes!T52)*POWER(1+(Settings!$C$31/100),S$1-2021),"-")</f>
        <v>-</v>
      </c>
      <c r="T210" s="128" t="str">
        <f>IFERROR((lifespans_all!U208*DTE_mission_minutes!U52)*POWER(1+(Settings!$C$31/100),T$1-2021),"-")</f>
        <v>-</v>
      </c>
      <c r="U210" s="128" t="str">
        <f>IFERROR((lifespans_all!V208*DTE_mission_minutes!V52)*POWER(1+(Settings!$C$31/100),U$1-2021),"-")</f>
        <v>-</v>
      </c>
      <c r="V210" s="128" t="str">
        <f>IFERROR((lifespans_all!W208*DTE_mission_minutes!W52)*POWER(1+(Settings!$C$31/100),V$1-2021),"-")</f>
        <v>-</v>
      </c>
    </row>
    <row r="211" spans="1:22" x14ac:dyDescent="0.25">
      <c r="A211" s="38" t="str">
        <f t="shared" si="29"/>
        <v>New</v>
      </c>
      <c r="B211" s="38" t="str">
        <f t="shared" si="29"/>
        <v>Near Earth Robotic - Low Latency &amp; Complex Needs</v>
      </c>
      <c r="C211" s="128">
        <f>IFERROR((lifespans_all!D209*DTE_mission_minutes!D53)*POWER(1+(Settings!$C$31/100),C$1-2021),"-")</f>
        <v>0</v>
      </c>
      <c r="D211" s="128">
        <f>IFERROR((lifespans_all!E209*DTE_mission_minutes!E53)*POWER(1+(Settings!$C$31/100),D$1-2021),"-")</f>
        <v>0</v>
      </c>
      <c r="E211" s="128">
        <f>IFERROR((lifespans_all!F209*DTE_mission_minutes!F53)*POWER(1+(Settings!$C$31/100),E$1-2021),"-")</f>
        <v>0</v>
      </c>
      <c r="F211" s="128">
        <f>IFERROR((lifespans_all!G209*DTE_mission_minutes!G53)*POWER(1+(Settings!$C$31/100),F$1-2021),"-")</f>
        <v>0</v>
      </c>
      <c r="G211" s="128">
        <f>IFERROR((lifespans_all!H209*DTE_mission_minutes!H53)*POWER(1+(Settings!$C$31/100),G$1-2021),"-")</f>
        <v>0</v>
      </c>
      <c r="H211" s="128">
        <f>IFERROR((lifespans_all!I209*DTE_mission_minutes!I53)*POWER(1+(Settings!$C$31/100),H$1-2021),"-")</f>
        <v>0</v>
      </c>
      <c r="I211" s="128">
        <f>IFERROR((lifespans_all!J209*DTE_mission_minutes!J53)*POWER(1+(Settings!$C$31/100),I$1-2021),"-")</f>
        <v>0</v>
      </c>
      <c r="J211" s="128">
        <f>IFERROR((lifespans_all!K209*DTE_mission_minutes!K53)*POWER(1+(Settings!$C$31/100),J$1-2021),"-")</f>
        <v>0</v>
      </c>
      <c r="K211" s="128">
        <f>IFERROR((lifespans_all!L209*DTE_mission_minutes!L53)*POWER(1+(Settings!$C$31/100),K$1-2021),"-")</f>
        <v>0</v>
      </c>
      <c r="L211" s="128">
        <f>IFERROR((lifespans_all!M209*DTE_mission_minutes!M53)*POWER(1+(Settings!$C$31/100),L$1-2021),"-")</f>
        <v>0</v>
      </c>
      <c r="M211" s="128">
        <f>IFERROR((lifespans_all!N209*DTE_mission_minutes!N53)*POWER(1+(Settings!$C$31/100),M$1-2021),"-")</f>
        <v>0</v>
      </c>
      <c r="N211" s="128">
        <f>IFERROR((lifespans_all!O209*DTE_mission_minutes!O53)*POWER(1+(Settings!$C$31/100),N$1-2021),"-")</f>
        <v>0</v>
      </c>
      <c r="O211" s="128">
        <f>IFERROR((lifespans_all!P209*DTE_mission_minutes!P53)*POWER(1+(Settings!$C$31/100),O$1-2021),"-")</f>
        <v>0</v>
      </c>
      <c r="P211" s="128">
        <f>IFERROR((lifespans_all!Q209*DTE_mission_minutes!Q53)*POWER(1+(Settings!$C$31/100),P$1-2021),"-")</f>
        <v>0</v>
      </c>
      <c r="Q211" s="128">
        <f>IFERROR((lifespans_all!R209*DTE_mission_minutes!R53)*POWER(1+(Settings!$C$31/100),Q$1-2021),"-")</f>
        <v>0</v>
      </c>
      <c r="R211" s="128">
        <f>IFERROR((lifespans_all!S209*DTE_mission_minutes!S53)*POWER(1+(Settings!$C$31/100),R$1-2021),"-")</f>
        <v>0</v>
      </c>
      <c r="S211" s="128">
        <f>IFERROR((lifespans_all!T209*DTE_mission_minutes!T53)*POWER(1+(Settings!$C$31/100),S$1-2021),"-")</f>
        <v>0</v>
      </c>
      <c r="T211" s="128">
        <f>IFERROR((lifespans_all!U209*DTE_mission_minutes!U53)*POWER(1+(Settings!$C$31/100),T$1-2021),"-")</f>
        <v>0</v>
      </c>
      <c r="U211" s="128">
        <f>IFERROR((lifespans_all!V209*DTE_mission_minutes!V53)*POWER(1+(Settings!$C$31/100),U$1-2021),"-")</f>
        <v>0</v>
      </c>
      <c r="V211" s="128">
        <f>IFERROR((lifespans_all!W209*DTE_mission_minutes!W53)*POWER(1+(Settings!$C$31/100),V$1-2021),"-")</f>
        <v>0</v>
      </c>
    </row>
    <row r="212" spans="1:22" x14ac:dyDescent="0.25">
      <c r="A212" s="38" t="str">
        <f t="shared" si="29"/>
        <v>New</v>
      </c>
      <c r="B212" s="38" t="str">
        <f t="shared" si="29"/>
        <v>Mission Operations</v>
      </c>
      <c r="C212" s="128" t="str">
        <f>IFERROR((lifespans_all!D210*DTE_mission_minutes!D54)*POWER(1+(Settings!$C$31/100),C$1-2021),"-")</f>
        <v>-</v>
      </c>
      <c r="D212" s="128" t="str">
        <f>IFERROR((lifespans_all!E210*DTE_mission_minutes!E54)*POWER(1+(Settings!$C$31/100),D$1-2021),"-")</f>
        <v>-</v>
      </c>
      <c r="E212" s="128" t="str">
        <f>IFERROR((lifespans_all!F210*DTE_mission_minutes!F54)*POWER(1+(Settings!$C$31/100),E$1-2021),"-")</f>
        <v>-</v>
      </c>
      <c r="F212" s="128" t="str">
        <f>IFERROR((lifespans_all!G210*DTE_mission_minutes!G54)*POWER(1+(Settings!$C$31/100),F$1-2021),"-")</f>
        <v>-</v>
      </c>
      <c r="G212" s="128" t="str">
        <f>IFERROR((lifespans_all!H210*DTE_mission_minutes!H54)*POWER(1+(Settings!$C$31/100),G$1-2021),"-")</f>
        <v>-</v>
      </c>
      <c r="H212" s="128" t="str">
        <f>IFERROR((lifespans_all!I210*DTE_mission_minutes!I54)*POWER(1+(Settings!$C$31/100),H$1-2021),"-")</f>
        <v>-</v>
      </c>
      <c r="I212" s="128" t="str">
        <f>IFERROR((lifespans_all!J210*DTE_mission_minutes!J54)*POWER(1+(Settings!$C$31/100),I$1-2021),"-")</f>
        <v>-</v>
      </c>
      <c r="J212" s="128" t="str">
        <f>IFERROR((lifespans_all!K210*DTE_mission_minutes!K54)*POWER(1+(Settings!$C$31/100),J$1-2021),"-")</f>
        <v>-</v>
      </c>
      <c r="K212" s="128" t="str">
        <f>IFERROR((lifespans_all!L210*DTE_mission_minutes!L54)*POWER(1+(Settings!$C$31/100),K$1-2021),"-")</f>
        <v>-</v>
      </c>
      <c r="L212" s="128" t="str">
        <f>IFERROR((lifespans_all!M210*DTE_mission_minutes!M54)*POWER(1+(Settings!$C$31/100),L$1-2021),"-")</f>
        <v>-</v>
      </c>
      <c r="M212" s="128" t="str">
        <f>IFERROR((lifespans_all!N210*DTE_mission_minutes!N54)*POWER(1+(Settings!$C$31/100),M$1-2021),"-")</f>
        <v>-</v>
      </c>
      <c r="N212" s="128" t="str">
        <f>IFERROR((lifespans_all!O210*DTE_mission_minutes!O54)*POWER(1+(Settings!$C$31/100),N$1-2021),"-")</f>
        <v>-</v>
      </c>
      <c r="O212" s="128" t="str">
        <f>IFERROR((lifespans_all!P210*DTE_mission_minutes!P54)*POWER(1+(Settings!$C$31/100),O$1-2021),"-")</f>
        <v>-</v>
      </c>
      <c r="P212" s="128" t="str">
        <f>IFERROR((lifespans_all!Q210*DTE_mission_minutes!Q54)*POWER(1+(Settings!$C$31/100),P$1-2021),"-")</f>
        <v>-</v>
      </c>
      <c r="Q212" s="128" t="str">
        <f>IFERROR((lifespans_all!R210*DTE_mission_minutes!R54)*POWER(1+(Settings!$C$31/100),Q$1-2021),"-")</f>
        <v>-</v>
      </c>
      <c r="R212" s="128" t="str">
        <f>IFERROR((lifespans_all!S210*DTE_mission_minutes!S54)*POWER(1+(Settings!$C$31/100),R$1-2021),"-")</f>
        <v>-</v>
      </c>
      <c r="S212" s="128" t="str">
        <f>IFERROR((lifespans_all!T210*DTE_mission_minutes!T54)*POWER(1+(Settings!$C$31/100),S$1-2021),"-")</f>
        <v>-</v>
      </c>
      <c r="T212" s="128" t="str">
        <f>IFERROR((lifespans_all!U210*DTE_mission_minutes!U54)*POWER(1+(Settings!$C$31/100),T$1-2021),"-")</f>
        <v>-</v>
      </c>
      <c r="U212" s="128" t="str">
        <f>IFERROR((lifespans_all!V210*DTE_mission_minutes!V54)*POWER(1+(Settings!$C$31/100),U$1-2021),"-")</f>
        <v>-</v>
      </c>
      <c r="V212" s="128" t="str">
        <f>IFERROR((lifespans_all!W210*DTE_mission_minutes!W54)*POWER(1+(Settings!$C$31/100),V$1-2021),"-")</f>
        <v>-</v>
      </c>
    </row>
    <row r="213" spans="1:22" x14ac:dyDescent="0.25">
      <c r="A213" s="38" t="str">
        <f t="shared" si="29"/>
        <v>New</v>
      </c>
      <c r="B213" s="38" t="str">
        <f t="shared" si="29"/>
        <v>Launch Events</v>
      </c>
      <c r="C213" s="128">
        <f>IFERROR((lifespans_all!D211*DTE_mission_minutes!D55)*POWER(1+(Settings!$C$31/100),C$1-2021),"-")</f>
        <v>360.55676222222218</v>
      </c>
      <c r="D213" s="128">
        <f>IFERROR((lifespans_all!E211*DTE_mission_minutes!E55)*POWER(1+(Settings!$C$31/100),D$1-2021),"-")</f>
        <v>735.53579493333325</v>
      </c>
      <c r="E213" s="128">
        <f>IFERROR((lifespans_all!F211*DTE_mission_minutes!F55)*POWER(1+(Settings!$C$31/100),E$1-2021),"-")</f>
        <v>1125.3697662479997</v>
      </c>
      <c r="F213" s="128">
        <f>IFERROR((lifespans_all!G211*DTE_mission_minutes!G55)*POWER(1+(Settings!$C$31/100),F$1-2021),"-")</f>
        <v>1530.5028820972798</v>
      </c>
      <c r="G213" s="128">
        <f>IFERROR((lifespans_all!H211*DTE_mission_minutes!H55)*POWER(1+(Settings!$C$31/100),G$1-2021),"-")</f>
        <v>2731.9476445436444</v>
      </c>
      <c r="H213" s="128">
        <f>IFERROR((lifespans_all!I211*DTE_mission_minutes!I55)*POWER(1+(Settings!$C$31/100),H$1-2021),"-")</f>
        <v>3184.6703970680201</v>
      </c>
      <c r="I213" s="128">
        <f>IFERROR((lifespans_all!J211*DTE_mission_minutes!J55)*POWER(1+(Settings!$C$31/100),I$1-2021),"-")</f>
        <v>3654.4092806355529</v>
      </c>
      <c r="J213" s="128">
        <f>IFERROR((lifespans_all!K211*DTE_mission_minutes!K55)*POWER(1+(Settings!$C$31/100),J$1-2021),"-")</f>
        <v>4141.6638513869593</v>
      </c>
      <c r="K213" s="128">
        <f>IFERROR((lifespans_all!L211*DTE_mission_minutes!L55)*POWER(1+(Settings!$C$31/100),K$1-2021),"-")</f>
        <v>4646.9468412561682</v>
      </c>
      <c r="L213" s="128">
        <f>IFERROR((lifespans_all!M211*DTE_mission_minutes!M55)*POWER(1+(Settings!$C$31/100),L$1-2021),"-")</f>
        <v>5170.7844851795908</v>
      </c>
      <c r="M213" s="128">
        <f>IFERROR((lifespans_all!N211*DTE_mission_minutes!N55)*POWER(1+(Settings!$C$31/100),M$1-2021),"-")</f>
        <v>5274.2001748831826</v>
      </c>
      <c r="N213" s="128">
        <f>IFERROR((lifespans_all!O211*DTE_mission_minutes!O55)*POWER(1+(Settings!$C$31/100),N$1-2021),"-")</f>
        <v>5379.6841783808459</v>
      </c>
      <c r="O213" s="128">
        <f>IFERROR((lifespans_all!P211*DTE_mission_minutes!P55)*POWER(1+(Settings!$C$31/100),O$1-2021),"-")</f>
        <v>5487.2778619484634</v>
      </c>
      <c r="P213" s="128">
        <f>IFERROR((lifespans_all!Q211*DTE_mission_minutes!Q55)*POWER(1+(Settings!$C$31/100),P$1-2021),"-")</f>
        <v>5597.0234191874324</v>
      </c>
      <c r="Q213" s="128">
        <f>IFERROR((lifespans_all!R211*DTE_mission_minutes!R55)*POWER(1+(Settings!$C$31/100),Q$1-2021),"-")</f>
        <v>5708.9638875711817</v>
      </c>
      <c r="R213" s="128">
        <f>IFERROR((lifespans_all!S211*DTE_mission_minutes!S55)*POWER(1+(Settings!$C$31/100),R$1-2021),"-")</f>
        <v>5823.1431653226036</v>
      </c>
      <c r="S213" s="128">
        <f>IFERROR((lifespans_all!T211*DTE_mission_minutes!T55)*POWER(1+(Settings!$C$31/100),S$1-2021),"-")</f>
        <v>5939.6060286290567</v>
      </c>
      <c r="T213" s="128">
        <f>IFERROR((lifespans_all!U211*DTE_mission_minutes!U55)*POWER(1+(Settings!$C$31/100),T$1-2021),"-")</f>
        <v>6058.3981492016383</v>
      </c>
      <c r="U213" s="128">
        <f>IFERROR((lifespans_all!V211*DTE_mission_minutes!V55)*POWER(1+(Settings!$C$31/100),U$1-2021),"-")</f>
        <v>6179.5661121856701</v>
      </c>
      <c r="V213" s="128">
        <f>IFERROR((lifespans_all!W211*DTE_mission_minutes!W55)*POWER(1+(Settings!$C$31/100),V$1-2021),"-")</f>
        <v>6303.157434429384</v>
      </c>
    </row>
    <row r="214" spans="1:22" x14ac:dyDescent="0.25">
      <c r="A214" s="38" t="str">
        <f t="shared" si="29"/>
        <v>New</v>
      </c>
      <c r="B214" s="38" t="str">
        <f t="shared" si="29"/>
        <v>Terrestrial &amp; Aerial</v>
      </c>
      <c r="C214" s="128">
        <f>IFERROR((lifespans_all!D212*DTE_mission_minutes!D56)*POWER(1+(Settings!$C$31/100),C$1-2021),"-")</f>
        <v>26836.151351000004</v>
      </c>
      <c r="D214" s="128">
        <f>IFERROR((lifespans_all!E212*DTE_mission_minutes!E56)*POWER(1+(Settings!$C$31/100),D$1-2021),"-")</f>
        <v>145988.66334944006</v>
      </c>
      <c r="E214" s="128">
        <f>IFERROR((lifespans_all!F212*DTE_mission_minutes!F56)*POWER(1+(Settings!$C$31/100),E$1-2021),"-")</f>
        <v>176828.76848200924</v>
      </c>
      <c r="F214" s="128">
        <f>IFERROR((lifespans_all!G212*DTE_mission_minutes!G56)*POWER(1+(Settings!$C$31/100),F$1-2021),"-")</f>
        <v>208844.08235454146</v>
      </c>
      <c r="G214" s="128">
        <f>IFERROR((lifespans_all!H212*DTE_mission_minutes!H56)*POWER(1+(Settings!$C$31/100),G$1-2021),"-")</f>
        <v>242069.2772745821</v>
      </c>
      <c r="H214" s="128">
        <f>IFERROR((lifespans_all!I212*DTE_mission_minutes!I56)*POWER(1+(Settings!$C$31/100),H$1-2021),"-")</f>
        <v>375304.20748651208</v>
      </c>
      <c r="I214" s="128">
        <f>IFERROR((lifespans_all!J212*DTE_mission_minutes!J56)*POWER(1+(Settings!$C$31/100),I$1-2021),"-")</f>
        <v>413032.15676541941</v>
      </c>
      <c r="J214" s="128">
        <f>IFERROR((lifespans_all!K212*DTE_mission_minutes!K56)*POWER(1+(Settings!$C$31/100),J$1-2021),"-")</f>
        <v>452119.10233248834</v>
      </c>
      <c r="K214" s="128">
        <f>IFERROR((lifespans_all!L212*DTE_mission_minutes!L56)*POWER(1+(Settings!$C$31/100),K$1-2021),"-")</f>
        <v>492604.31285953376</v>
      </c>
      <c r="L214" s="128">
        <f>IFERROR((lifespans_all!M212*DTE_mission_minutes!M56)*POWER(1+(Settings!$C$31/100),L$1-2021),"-")</f>
        <v>534528.08416672819</v>
      </c>
      <c r="M214" s="128">
        <f>IFERROR((lifespans_all!N212*DTE_mission_minutes!N56)*POWER(1+(Settings!$C$31/100),M$1-2021),"-")</f>
        <v>545218.64585006284</v>
      </c>
      <c r="N214" s="128">
        <f>IFERROR((lifespans_all!O212*DTE_mission_minutes!O56)*POWER(1+(Settings!$C$31/100),N$1-2021),"-")</f>
        <v>556123.01876706397</v>
      </c>
      <c r="O214" s="128">
        <f>IFERROR((lifespans_all!P212*DTE_mission_minutes!P56)*POWER(1+(Settings!$C$31/100),O$1-2021),"-")</f>
        <v>567245.47914240533</v>
      </c>
      <c r="P214" s="128">
        <f>IFERROR((lifespans_all!Q212*DTE_mission_minutes!Q56)*POWER(1+(Settings!$C$31/100),P$1-2021),"-")</f>
        <v>578590.3887252534</v>
      </c>
      <c r="Q214" s="128">
        <f>IFERROR((lifespans_all!R212*DTE_mission_minutes!R56)*POWER(1+(Settings!$C$31/100),Q$1-2021),"-")</f>
        <v>590162.19649975852</v>
      </c>
      <c r="R214" s="128">
        <f>IFERROR((lifespans_all!S212*DTE_mission_minutes!S56)*POWER(1+(Settings!$C$31/100),R$1-2021),"-")</f>
        <v>601965.44042975351</v>
      </c>
      <c r="S214" s="128">
        <f>IFERROR((lifespans_all!T212*DTE_mission_minutes!T56)*POWER(1+(Settings!$C$31/100),S$1-2021),"-")</f>
        <v>614004.74923834868</v>
      </c>
      <c r="T214" s="128">
        <f>IFERROR((lifespans_all!U212*DTE_mission_minutes!U56)*POWER(1+(Settings!$C$31/100),T$1-2021),"-")</f>
        <v>626284.84422311571</v>
      </c>
      <c r="U214" s="128">
        <f>IFERROR((lifespans_all!V212*DTE_mission_minutes!V56)*POWER(1+(Settings!$C$31/100),U$1-2021),"-")</f>
        <v>638810.54110757797</v>
      </c>
      <c r="V214" s="128">
        <f>IFERROR((lifespans_all!W212*DTE_mission_minutes!W56)*POWER(1+(Settings!$C$31/100),V$1-2021),"-")</f>
        <v>651586.75192972948</v>
      </c>
    </row>
    <row r="215" spans="1:22" x14ac:dyDescent="0.25">
      <c r="C215" s="3"/>
      <c r="D215" s="3"/>
      <c r="E215" s="3"/>
      <c r="F215" s="3"/>
      <c r="G215" s="3"/>
      <c r="H215" s="3"/>
      <c r="I215" s="3"/>
      <c r="J215" s="3"/>
      <c r="K215" s="3"/>
      <c r="L215" s="3"/>
      <c r="M215" s="3"/>
      <c r="N215" s="3"/>
      <c r="O215" s="3"/>
      <c r="P215" s="3"/>
      <c r="Q215" s="3"/>
      <c r="R215" s="3"/>
      <c r="S215" s="3"/>
      <c r="T215" s="3"/>
      <c r="U215" s="3"/>
      <c r="V215" s="3"/>
    </row>
    <row r="216" spans="1:22" x14ac:dyDescent="0.25">
      <c r="C216" s="40">
        <f t="shared" ref="C216:U216" si="30">SUM(C160:C214)</f>
        <v>1942762.5403973167</v>
      </c>
      <c r="D216" s="40">
        <f t="shared" si="30"/>
        <v>2009058.6952399118</v>
      </c>
      <c r="E216" s="40">
        <f t="shared" si="30"/>
        <v>2072501.6453614929</v>
      </c>
      <c r="F216" s="40">
        <f t="shared" si="30"/>
        <v>2132239.2012225105</v>
      </c>
      <c r="G216" s="40">
        <f t="shared" si="30"/>
        <v>2444733.6827963321</v>
      </c>
      <c r="H216" s="40">
        <f t="shared" si="30"/>
        <v>2731335.4906747397</v>
      </c>
      <c r="I216" s="40">
        <f t="shared" si="30"/>
        <v>2936791.1280044452</v>
      </c>
      <c r="J216" s="40">
        <f t="shared" si="30"/>
        <v>3255928.519988121</v>
      </c>
      <c r="K216" s="40">
        <f t="shared" si="30"/>
        <v>3528497.5031569111</v>
      </c>
      <c r="L216" s="40">
        <f t="shared" si="30"/>
        <v>3810986.0335194916</v>
      </c>
      <c r="M216" s="40">
        <f t="shared" si="30"/>
        <v>4280918.1061040275</v>
      </c>
      <c r="N216" s="40">
        <f t="shared" si="30"/>
        <v>4350750.9250089787</v>
      </c>
      <c r="O216" s="40">
        <f t="shared" si="30"/>
        <v>4421980.4002920333</v>
      </c>
      <c r="P216" s="40">
        <f t="shared" si="30"/>
        <v>4494634.4650807464</v>
      </c>
      <c r="Q216" s="40">
        <f t="shared" si="30"/>
        <v>4568741.6111652348</v>
      </c>
      <c r="R216" s="40">
        <f t="shared" si="30"/>
        <v>4644330.9001714112</v>
      </c>
      <c r="S216" s="40">
        <f t="shared" si="30"/>
        <v>4721431.9749577129</v>
      </c>
      <c r="T216" s="40">
        <f t="shared" si="30"/>
        <v>4800075.0712397415</v>
      </c>
      <c r="U216" s="40">
        <f t="shared" si="30"/>
        <v>4880291.0294474084</v>
      </c>
      <c r="V216" s="40">
        <f>SUM(V160:V214)</f>
        <v>4962111.3068192294</v>
      </c>
    </row>
    <row r="218" spans="1:22" ht="14.4" thickBot="1" x14ac:dyDescent="0.3">
      <c r="B218" s="3" t="s">
        <v>95</v>
      </c>
      <c r="L218" s="67"/>
      <c r="M218" s="67"/>
    </row>
    <row r="219" spans="1:22" x14ac:dyDescent="0.25">
      <c r="B219" s="75" t="s">
        <v>102</v>
      </c>
      <c r="C219" s="95">
        <f>C159</f>
        <v>2021</v>
      </c>
      <c r="D219" s="95">
        <f t="shared" ref="D219:V219" si="31">D159</f>
        <v>2022</v>
      </c>
      <c r="E219" s="95">
        <f t="shared" si="31"/>
        <v>2023</v>
      </c>
      <c r="F219" s="95">
        <f t="shared" si="31"/>
        <v>2024</v>
      </c>
      <c r="G219" s="95">
        <f t="shared" si="31"/>
        <v>2025</v>
      </c>
      <c r="H219" s="95">
        <f t="shared" si="31"/>
        <v>2026</v>
      </c>
      <c r="I219" s="95">
        <f t="shared" si="31"/>
        <v>2027</v>
      </c>
      <c r="J219" s="95">
        <f t="shared" si="31"/>
        <v>2028</v>
      </c>
      <c r="K219" s="95">
        <f t="shared" si="31"/>
        <v>2029</v>
      </c>
      <c r="L219" s="95">
        <f t="shared" si="31"/>
        <v>2030</v>
      </c>
      <c r="M219" s="95">
        <f t="shared" si="31"/>
        <v>2031</v>
      </c>
      <c r="N219" s="95">
        <f t="shared" si="31"/>
        <v>2032</v>
      </c>
      <c r="O219" s="95">
        <f t="shared" si="31"/>
        <v>2033</v>
      </c>
      <c r="P219" s="95">
        <f t="shared" si="31"/>
        <v>2034</v>
      </c>
      <c r="Q219" s="95">
        <f t="shared" si="31"/>
        <v>2035</v>
      </c>
      <c r="R219" s="95">
        <f t="shared" si="31"/>
        <v>2036</v>
      </c>
      <c r="S219" s="95">
        <f t="shared" si="31"/>
        <v>2037</v>
      </c>
      <c r="T219" s="95">
        <f t="shared" si="31"/>
        <v>2038</v>
      </c>
      <c r="U219" s="95">
        <f t="shared" si="31"/>
        <v>2039</v>
      </c>
      <c r="V219" s="95">
        <f t="shared" si="31"/>
        <v>2040</v>
      </c>
    </row>
    <row r="220" spans="1:22" x14ac:dyDescent="0.25">
      <c r="B220" s="50" t="s">
        <v>59</v>
      </c>
      <c r="C220" s="51">
        <f>SUMIF($B160:$B214,$B220,C$160:C$214)</f>
        <v>798168.64647733339</v>
      </c>
      <c r="D220" s="51">
        <f t="shared" ref="D220:V220" si="32">SUMIF($B160:$B214,$B220,D$160:D$214)</f>
        <v>904957.14463535999</v>
      </c>
      <c r="E220" s="51">
        <f t="shared" si="32"/>
        <v>1015011.3371148284</v>
      </c>
      <c r="F220" s="51">
        <f t="shared" si="32"/>
        <v>1131887.5527962334</v>
      </c>
      <c r="G220" s="51">
        <f t="shared" si="32"/>
        <v>1252056.3220928502</v>
      </c>
      <c r="H220" s="51">
        <f t="shared" si="32"/>
        <v>1376857.0512241735</v>
      </c>
      <c r="I220" s="51">
        <f t="shared" si="32"/>
        <v>1506426.9510758719</v>
      </c>
      <c r="J220" s="51">
        <f t="shared" si="32"/>
        <v>1640906.8681851081</v>
      </c>
      <c r="K220" s="51">
        <f t="shared" si="32"/>
        <v>1780441.3752822436</v>
      </c>
      <c r="L220" s="51">
        <f t="shared" si="32"/>
        <v>1925178.8639999502</v>
      </c>
      <c r="M220" s="51">
        <f t="shared" si="32"/>
        <v>2359454.5527477991</v>
      </c>
      <c r="N220" s="51">
        <f t="shared" si="32"/>
        <v>2392917.8601393322</v>
      </c>
      <c r="O220" s="51">
        <f t="shared" si="32"/>
        <v>2427050.4336786973</v>
      </c>
      <c r="P220" s="51">
        <f t="shared" si="32"/>
        <v>2461865.6586888488</v>
      </c>
      <c r="Q220" s="51">
        <f t="shared" si="32"/>
        <v>2497377.1881992039</v>
      </c>
      <c r="R220" s="51">
        <f t="shared" si="32"/>
        <v>2533598.9482997651</v>
      </c>
      <c r="S220" s="51">
        <f t="shared" si="32"/>
        <v>2570545.1436023386</v>
      </c>
      <c r="T220" s="51">
        <f t="shared" si="32"/>
        <v>2608230.2628109632</v>
      </c>
      <c r="U220" s="51">
        <f t="shared" si="32"/>
        <v>2646669.0844037598</v>
      </c>
      <c r="V220" s="51">
        <f t="shared" si="32"/>
        <v>2685876.6824284131</v>
      </c>
    </row>
    <row r="221" spans="1:22" x14ac:dyDescent="0.25">
      <c r="B221" s="50" t="s">
        <v>57</v>
      </c>
      <c r="C221" s="51">
        <f>SUMIF($B160:$B214,$B221,C$160:C$214)</f>
        <v>1007445.0496316664</v>
      </c>
      <c r="D221" s="51">
        <f t="shared" ref="D221:V221" si="33">SUMIF($B160:$B214,$B221,D$160:D$214)</f>
        <v>845426.83111391705</v>
      </c>
      <c r="E221" s="51">
        <f t="shared" si="33"/>
        <v>763446.30429887061</v>
      </c>
      <c r="F221" s="51">
        <f t="shared" si="33"/>
        <v>671434.90416169027</v>
      </c>
      <c r="G221" s="51">
        <f t="shared" si="33"/>
        <v>826938.97039358411</v>
      </c>
      <c r="H221" s="51">
        <f t="shared" si="33"/>
        <v>853925.36204693723</v>
      </c>
      <c r="I221" s="51">
        <f t="shared" si="33"/>
        <v>888999.69866425835</v>
      </c>
      <c r="J221" s="51">
        <f t="shared" si="33"/>
        <v>1031373.5978726272</v>
      </c>
      <c r="K221" s="51">
        <f t="shared" si="33"/>
        <v>1120609.7610409555</v>
      </c>
      <c r="L221" s="51">
        <f t="shared" si="33"/>
        <v>1213004.0764860227</v>
      </c>
      <c r="M221" s="51">
        <f t="shared" si="33"/>
        <v>1237201.3985579878</v>
      </c>
      <c r="N221" s="51">
        <f t="shared" si="33"/>
        <v>1261882.6670713916</v>
      </c>
      <c r="O221" s="51">
        <f t="shared" si="33"/>
        <v>1287057.5609550641</v>
      </c>
      <c r="P221" s="51">
        <f t="shared" si="33"/>
        <v>1312735.9527164097</v>
      </c>
      <c r="Q221" s="51">
        <f t="shared" si="33"/>
        <v>1338927.9123129826</v>
      </c>
      <c r="R221" s="51">
        <f t="shared" si="33"/>
        <v>1365643.7111014863</v>
      </c>
      <c r="S221" s="51">
        <f t="shared" si="33"/>
        <v>1392893.8258657607</v>
      </c>
      <c r="T221" s="51">
        <f t="shared" si="33"/>
        <v>1420688.9429253205</v>
      </c>
      <c r="U221" s="51">
        <f t="shared" si="33"/>
        <v>1449039.9623260712</v>
      </c>
      <c r="V221" s="51">
        <f t="shared" si="33"/>
        <v>1477958.0021148371</v>
      </c>
    </row>
    <row r="222" spans="1:22" x14ac:dyDescent="0.25">
      <c r="B222" s="50" t="s">
        <v>56</v>
      </c>
      <c r="C222" s="51">
        <f>SUMIF($B160:$B214,$B222,C$160:C$214)</f>
        <v>17130.721192317455</v>
      </c>
      <c r="D222" s="51">
        <f t="shared" ref="D222:V222" si="34">SUMIF($B160:$B214,$B222,D$160:D$214)</f>
        <v>19156.907685705395</v>
      </c>
      <c r="E222" s="51">
        <f t="shared" si="34"/>
        <v>23482.017613981065</v>
      </c>
      <c r="F222" s="51">
        <f t="shared" si="34"/>
        <v>25824.724452947867</v>
      </c>
      <c r="G222" s="51">
        <f t="shared" si="34"/>
        <v>28255.171452993851</v>
      </c>
      <c r="H222" s="51">
        <f t="shared" si="34"/>
        <v>30775.931137826592</v>
      </c>
      <c r="I222" s="51">
        <f t="shared" si="34"/>
        <v>33389.643836037532</v>
      </c>
      <c r="J222" s="51">
        <f t="shared" si="34"/>
        <v>36099.019364287873</v>
      </c>
      <c r="K222" s="51">
        <f t="shared" si="34"/>
        <v>38906.838750699928</v>
      </c>
      <c r="L222" s="51">
        <f t="shared" si="34"/>
        <v>41815.955999388825</v>
      </c>
      <c r="M222" s="51">
        <f t="shared" si="34"/>
        <v>42481.040391071845</v>
      </c>
      <c r="N222" s="51">
        <f t="shared" si="34"/>
        <v>43159.426470588514</v>
      </c>
      <c r="O222" s="51">
        <f t="shared" si="34"/>
        <v>43851.380271695525</v>
      </c>
      <c r="P222" s="51">
        <f t="shared" si="34"/>
        <v>44557.173148824673</v>
      </c>
      <c r="Q222" s="51">
        <f t="shared" si="34"/>
        <v>45277.081883496401</v>
      </c>
      <c r="R222" s="51">
        <f t="shared" si="34"/>
        <v>46011.388792861559</v>
      </c>
      <c r="S222" s="51">
        <f t="shared" si="34"/>
        <v>46760.381840414033</v>
      </c>
      <c r="T222" s="51">
        <f t="shared" si="34"/>
        <v>47524.354748917554</v>
      </c>
      <c r="U222" s="51">
        <f t="shared" si="34"/>
        <v>48303.607115591149</v>
      </c>
      <c r="V222" s="51">
        <f t="shared" si="34"/>
        <v>49098.4445295982</v>
      </c>
    </row>
    <row r="223" spans="1:22" x14ac:dyDescent="0.25">
      <c r="B223" s="50" t="s">
        <v>100</v>
      </c>
      <c r="C223" s="51">
        <f>SUMIF($B160:$B214,$B223,C$160:C$214)</f>
        <v>0</v>
      </c>
      <c r="D223" s="51">
        <f t="shared" ref="D223:V223" si="35">SUMIF($B160:$B214,$B223,D$160:D$214)</f>
        <v>0</v>
      </c>
      <c r="E223" s="51">
        <f t="shared" si="35"/>
        <v>0</v>
      </c>
      <c r="F223" s="51">
        <f t="shared" si="35"/>
        <v>0</v>
      </c>
      <c r="G223" s="51">
        <f t="shared" si="35"/>
        <v>0</v>
      </c>
      <c r="H223" s="51">
        <f t="shared" si="35"/>
        <v>0</v>
      </c>
      <c r="I223" s="51">
        <f t="shared" si="35"/>
        <v>0</v>
      </c>
      <c r="J223" s="51">
        <f t="shared" si="35"/>
        <v>0</v>
      </c>
      <c r="K223" s="51">
        <f t="shared" si="35"/>
        <v>0</v>
      </c>
      <c r="L223" s="51">
        <f t="shared" si="35"/>
        <v>0</v>
      </c>
      <c r="M223" s="51">
        <f t="shared" si="35"/>
        <v>0</v>
      </c>
      <c r="N223" s="51">
        <f t="shared" si="35"/>
        <v>0</v>
      </c>
      <c r="O223" s="51">
        <f t="shared" si="35"/>
        <v>0</v>
      </c>
      <c r="P223" s="51">
        <f t="shared" si="35"/>
        <v>0</v>
      </c>
      <c r="Q223" s="51">
        <f t="shared" si="35"/>
        <v>0</v>
      </c>
      <c r="R223" s="51">
        <f t="shared" si="35"/>
        <v>0</v>
      </c>
      <c r="S223" s="51">
        <f t="shared" si="35"/>
        <v>0</v>
      </c>
      <c r="T223" s="51">
        <f t="shared" si="35"/>
        <v>0</v>
      </c>
      <c r="U223" s="51">
        <f t="shared" si="35"/>
        <v>0</v>
      </c>
      <c r="V223" s="51">
        <f t="shared" si="35"/>
        <v>0</v>
      </c>
    </row>
    <row r="224" spans="1:22" x14ac:dyDescent="0.25">
      <c r="B224" s="50" t="s">
        <v>60</v>
      </c>
      <c r="C224" s="51">
        <f>SUMIF($B160:$B214,$B224,C$160:C$214)</f>
        <v>0</v>
      </c>
      <c r="D224" s="51">
        <f t="shared" ref="D224:V224" si="36">SUMIF($B160:$B214,$B224,D$160:D$214)</f>
        <v>0</v>
      </c>
      <c r="E224" s="51">
        <f t="shared" si="36"/>
        <v>0</v>
      </c>
      <c r="F224" s="51">
        <f t="shared" si="36"/>
        <v>0</v>
      </c>
      <c r="G224" s="51">
        <f t="shared" si="36"/>
        <v>0</v>
      </c>
      <c r="H224" s="51">
        <f t="shared" si="36"/>
        <v>0</v>
      </c>
      <c r="I224" s="51">
        <f t="shared" si="36"/>
        <v>0</v>
      </c>
      <c r="J224" s="51">
        <f t="shared" si="36"/>
        <v>0</v>
      </c>
      <c r="K224" s="51">
        <f t="shared" si="36"/>
        <v>0</v>
      </c>
      <c r="L224" s="51">
        <f t="shared" si="36"/>
        <v>0</v>
      </c>
      <c r="M224" s="51">
        <f t="shared" si="36"/>
        <v>0</v>
      </c>
      <c r="N224" s="51">
        <f t="shared" si="36"/>
        <v>0</v>
      </c>
      <c r="O224" s="51">
        <f t="shared" si="36"/>
        <v>0</v>
      </c>
      <c r="P224" s="51">
        <f t="shared" si="36"/>
        <v>0</v>
      </c>
      <c r="Q224" s="51">
        <f t="shared" si="36"/>
        <v>0</v>
      </c>
      <c r="R224" s="51">
        <f t="shared" si="36"/>
        <v>0</v>
      </c>
      <c r="S224" s="51">
        <f t="shared" si="36"/>
        <v>0</v>
      </c>
      <c r="T224" s="51">
        <f t="shared" si="36"/>
        <v>0</v>
      </c>
      <c r="U224" s="51">
        <f t="shared" si="36"/>
        <v>0</v>
      </c>
      <c r="V224" s="51">
        <f t="shared" si="36"/>
        <v>0</v>
      </c>
    </row>
    <row r="225" spans="1:22" x14ac:dyDescent="0.25">
      <c r="B225" s="50" t="s">
        <v>101</v>
      </c>
      <c r="C225" s="51">
        <f>SUMIF($B160:$B214,$B225,C$160:C$214)</f>
        <v>0</v>
      </c>
      <c r="D225" s="51">
        <f t="shared" ref="D225:V225" si="37">SUMIF($B160:$B214,$B225,D$160:D$214)</f>
        <v>0</v>
      </c>
      <c r="E225" s="51">
        <f t="shared" si="37"/>
        <v>0</v>
      </c>
      <c r="F225" s="51">
        <f t="shared" si="37"/>
        <v>0</v>
      </c>
      <c r="G225" s="51">
        <f t="shared" si="37"/>
        <v>0</v>
      </c>
      <c r="H225" s="51">
        <f t="shared" si="37"/>
        <v>0</v>
      </c>
      <c r="I225" s="51">
        <f t="shared" si="37"/>
        <v>0</v>
      </c>
      <c r="J225" s="51">
        <f t="shared" si="37"/>
        <v>0</v>
      </c>
      <c r="K225" s="51">
        <f t="shared" si="37"/>
        <v>0</v>
      </c>
      <c r="L225" s="51">
        <f t="shared" si="37"/>
        <v>0</v>
      </c>
      <c r="M225" s="51">
        <f t="shared" si="37"/>
        <v>0</v>
      </c>
      <c r="N225" s="51">
        <f t="shared" si="37"/>
        <v>0</v>
      </c>
      <c r="O225" s="51">
        <f t="shared" si="37"/>
        <v>0</v>
      </c>
      <c r="P225" s="51">
        <f t="shared" si="37"/>
        <v>0</v>
      </c>
      <c r="Q225" s="51">
        <f t="shared" si="37"/>
        <v>0</v>
      </c>
      <c r="R225" s="51">
        <f t="shared" si="37"/>
        <v>0</v>
      </c>
      <c r="S225" s="51">
        <f t="shared" si="37"/>
        <v>0</v>
      </c>
      <c r="T225" s="51">
        <f t="shared" si="37"/>
        <v>0</v>
      </c>
      <c r="U225" s="51">
        <f t="shared" si="37"/>
        <v>0</v>
      </c>
      <c r="V225" s="51">
        <f t="shared" si="37"/>
        <v>0</v>
      </c>
    </row>
    <row r="226" spans="1:22" x14ac:dyDescent="0.25">
      <c r="B226" s="50" t="s">
        <v>58</v>
      </c>
      <c r="C226" s="51">
        <f>SUMIF($B160:$B214,$B226,C$160:C$214)</f>
        <v>1833.3430277777777</v>
      </c>
      <c r="D226" s="51">
        <f t="shared" ref="D226:V226" si="38">SUMIF($B160:$B214,$B226,D$160:D$214)</f>
        <v>2247.5370077111111</v>
      </c>
      <c r="E226" s="51">
        <f t="shared" si="38"/>
        <v>2585.8861262479995</v>
      </c>
      <c r="F226" s="51">
        <f t="shared" si="38"/>
        <v>3008.1705682083907</v>
      </c>
      <c r="G226" s="51">
        <f t="shared" si="38"/>
        <v>4174.1746934325329</v>
      </c>
      <c r="H226" s="51">
        <f t="shared" si="38"/>
        <v>4626.897445956909</v>
      </c>
      <c r="I226" s="51">
        <f t="shared" si="38"/>
        <v>5096.6363295244419</v>
      </c>
      <c r="J226" s="51">
        <f t="shared" si="38"/>
        <v>5583.8909002758483</v>
      </c>
      <c r="K226" s="51">
        <f t="shared" si="38"/>
        <v>6089.1738901450572</v>
      </c>
      <c r="L226" s="51">
        <f t="shared" si="38"/>
        <v>6613.0115340684797</v>
      </c>
      <c r="M226" s="51">
        <f t="shared" si="38"/>
        <v>6716.4272237720716</v>
      </c>
      <c r="N226" s="51">
        <f t="shared" si="38"/>
        <v>6821.9112272697348</v>
      </c>
      <c r="O226" s="51">
        <f t="shared" si="38"/>
        <v>6929.5049108373523</v>
      </c>
      <c r="P226" s="51">
        <f t="shared" si="38"/>
        <v>7039.2504680763213</v>
      </c>
      <c r="Q226" s="51">
        <f t="shared" si="38"/>
        <v>7151.1909364600706</v>
      </c>
      <c r="R226" s="51">
        <f t="shared" si="38"/>
        <v>7265.3702142114926</v>
      </c>
      <c r="S226" s="51">
        <f t="shared" si="38"/>
        <v>7381.8330775179456</v>
      </c>
      <c r="T226" s="51">
        <f t="shared" si="38"/>
        <v>7500.6251980905272</v>
      </c>
      <c r="U226" s="51">
        <f t="shared" si="38"/>
        <v>7621.7931610745591</v>
      </c>
      <c r="V226" s="51">
        <f t="shared" si="38"/>
        <v>7745.3844833182729</v>
      </c>
    </row>
    <row r="227" spans="1:22" ht="14.4" thickBot="1" x14ac:dyDescent="0.3">
      <c r="B227" s="56" t="s">
        <v>61</v>
      </c>
      <c r="C227" s="51">
        <f>SUMIF($B160:$B214,$B227,C$160:C$214)</f>
        <v>117676.64002100003</v>
      </c>
      <c r="D227" s="51">
        <f t="shared" ref="D227:V227" si="39">SUMIF($B160:$B214,$B227,D$160:D$214)</f>
        <v>236892.68340832897</v>
      </c>
      <c r="E227" s="51">
        <f t="shared" si="39"/>
        <v>267668.85159645369</v>
      </c>
      <c r="F227" s="51">
        <f t="shared" si="39"/>
        <v>299691.64574676368</v>
      </c>
      <c r="G227" s="51">
        <f t="shared" si="39"/>
        <v>332916.84066680435</v>
      </c>
      <c r="H227" s="51">
        <f t="shared" si="39"/>
        <v>464758.04532317875</v>
      </c>
      <c r="I227" s="51">
        <f t="shared" si="39"/>
        <v>502485.99460208608</v>
      </c>
      <c r="J227" s="51">
        <f t="shared" si="39"/>
        <v>541572.94016915502</v>
      </c>
      <c r="K227" s="51">
        <f t="shared" si="39"/>
        <v>582058.15069620044</v>
      </c>
      <c r="L227" s="51">
        <f t="shared" si="39"/>
        <v>623981.92200339492</v>
      </c>
      <c r="M227" s="51">
        <f t="shared" si="39"/>
        <v>634672.48368672957</v>
      </c>
      <c r="N227" s="51">
        <f t="shared" si="39"/>
        <v>645576.8566037307</v>
      </c>
      <c r="O227" s="51">
        <f t="shared" si="39"/>
        <v>656699.31697907206</v>
      </c>
      <c r="P227" s="51">
        <f t="shared" si="39"/>
        <v>668044.22656192014</v>
      </c>
      <c r="Q227" s="51">
        <f t="shared" si="39"/>
        <v>679616.03433642525</v>
      </c>
      <c r="R227" s="51">
        <f t="shared" si="39"/>
        <v>691419.27826642024</v>
      </c>
      <c r="S227" s="51">
        <f t="shared" si="39"/>
        <v>703458.58707501541</v>
      </c>
      <c r="T227" s="51">
        <f t="shared" si="39"/>
        <v>715738.68205978244</v>
      </c>
      <c r="U227" s="51">
        <f t="shared" si="39"/>
        <v>728264.3789442447</v>
      </c>
      <c r="V227" s="51">
        <f t="shared" si="39"/>
        <v>741040.58976639621</v>
      </c>
    </row>
    <row r="228" spans="1:22" x14ac:dyDescent="0.25">
      <c r="L228" s="67"/>
      <c r="M228" s="67"/>
    </row>
    <row r="229" spans="1:22" x14ac:dyDescent="0.25">
      <c r="C229" s="115">
        <f>SUM(C220:C227)</f>
        <v>1942254.400350095</v>
      </c>
      <c r="D229" s="115">
        <f t="shared" ref="D229:U229" si="40">SUM(D220:D227)</f>
        <v>2008681.1038510227</v>
      </c>
      <c r="E229" s="115">
        <f t="shared" si="40"/>
        <v>2072194.3967503817</v>
      </c>
      <c r="F229" s="115">
        <f t="shared" si="40"/>
        <v>2131846.9977258439</v>
      </c>
      <c r="G229" s="115">
        <f t="shared" si="40"/>
        <v>2444341.4792996654</v>
      </c>
      <c r="H229" s="115">
        <f t="shared" si="40"/>
        <v>2730943.2871780726</v>
      </c>
      <c r="I229" s="115">
        <f t="shared" si="40"/>
        <v>2936398.9245077781</v>
      </c>
      <c r="J229" s="115">
        <f t="shared" si="40"/>
        <v>3255536.3164914544</v>
      </c>
      <c r="K229" s="115">
        <f t="shared" si="40"/>
        <v>3528105.2996602445</v>
      </c>
      <c r="L229" s="130">
        <f t="shared" si="40"/>
        <v>3810593.8300228249</v>
      </c>
      <c r="M229" s="130">
        <f t="shared" si="40"/>
        <v>4280525.9026073609</v>
      </c>
      <c r="N229" s="115">
        <f t="shared" si="40"/>
        <v>4350358.7215123121</v>
      </c>
      <c r="O229" s="115">
        <f t="shared" si="40"/>
        <v>4421588.1967953667</v>
      </c>
      <c r="P229" s="115">
        <f t="shared" si="40"/>
        <v>4494242.2615840798</v>
      </c>
      <c r="Q229" s="115">
        <f t="shared" si="40"/>
        <v>4568349.4076685682</v>
      </c>
      <c r="R229" s="115">
        <f t="shared" si="40"/>
        <v>4643938.6966747446</v>
      </c>
      <c r="S229" s="115">
        <f t="shared" si="40"/>
        <v>4721039.7714610463</v>
      </c>
      <c r="T229" s="115">
        <f t="shared" si="40"/>
        <v>4799682.867743074</v>
      </c>
      <c r="U229" s="115">
        <f t="shared" si="40"/>
        <v>4879898.8259507418</v>
      </c>
      <c r="V229" s="115">
        <f>SUM(V220:V227)</f>
        <v>4961719.1033225628</v>
      </c>
    </row>
    <row r="230" spans="1:22" x14ac:dyDescent="0.25">
      <c r="C230" s="115"/>
      <c r="D230" s="115"/>
      <c r="E230" s="115"/>
      <c r="F230" s="115"/>
      <c r="G230" s="115"/>
      <c r="H230" s="115"/>
      <c r="I230" s="115"/>
      <c r="J230" s="115"/>
      <c r="K230" s="115"/>
      <c r="L230" s="130"/>
      <c r="M230" s="130"/>
      <c r="N230" s="115"/>
      <c r="O230" s="115"/>
      <c r="P230" s="115"/>
      <c r="Q230" s="115"/>
      <c r="R230" s="115"/>
      <c r="S230" s="115"/>
      <c r="T230" s="115"/>
      <c r="U230" s="115"/>
      <c r="V230" s="115"/>
    </row>
    <row r="231" spans="1:22" ht="14.4" thickBot="1" x14ac:dyDescent="0.3">
      <c r="B231" s="3" t="s">
        <v>95</v>
      </c>
      <c r="L231" s="67"/>
      <c r="M231" s="67"/>
    </row>
    <row r="232" spans="1:22" x14ac:dyDescent="0.25">
      <c r="B232" s="75" t="s">
        <v>102</v>
      </c>
      <c r="C232" s="95">
        <v>2021</v>
      </c>
      <c r="D232" s="95">
        <v>2022</v>
      </c>
      <c r="E232" s="95">
        <v>2023</v>
      </c>
      <c r="F232" s="95">
        <v>2024</v>
      </c>
      <c r="G232" s="95">
        <v>2025</v>
      </c>
      <c r="H232" s="95">
        <v>2026</v>
      </c>
      <c r="I232" s="95">
        <v>2027</v>
      </c>
      <c r="J232" s="95">
        <v>2028</v>
      </c>
      <c r="K232" s="95">
        <v>2029</v>
      </c>
      <c r="L232" s="95">
        <v>2030</v>
      </c>
      <c r="M232" s="95">
        <v>2031</v>
      </c>
      <c r="N232" s="95">
        <v>2032</v>
      </c>
      <c r="O232" s="95">
        <v>2033</v>
      </c>
      <c r="P232" s="95">
        <v>2034</v>
      </c>
      <c r="Q232" s="95">
        <v>2035</v>
      </c>
      <c r="R232" s="95">
        <v>2036</v>
      </c>
      <c r="S232" s="95">
        <v>2037</v>
      </c>
      <c r="T232" s="95">
        <v>2038</v>
      </c>
      <c r="U232" s="95">
        <v>2039</v>
      </c>
      <c r="V232" s="95">
        <v>2040</v>
      </c>
    </row>
    <row r="233" spans="1:22" x14ac:dyDescent="0.25">
      <c r="B233" s="50" t="s">
        <v>115</v>
      </c>
      <c r="C233" s="129">
        <f>SUM(C160:C206)</f>
        <v>1752490.7143116661</v>
      </c>
      <c r="D233" s="129">
        <f t="shared" ref="D233:V233" si="41">SUM(D160:D206)</f>
        <v>1484345.8994103172</v>
      </c>
      <c r="E233" s="129">
        <f t="shared" si="41"/>
        <v>1340904.3555357142</v>
      </c>
      <c r="F233" s="129">
        <f>SUM(F160:F206)</f>
        <v>1077474.1436682539</v>
      </c>
      <c r="G233" s="129">
        <f t="shared" si="41"/>
        <v>1075186.4077471427</v>
      </c>
      <c r="H233" s="129">
        <f t="shared" si="41"/>
        <v>936868.51792507921</v>
      </c>
      <c r="I233" s="129">
        <f t="shared" si="41"/>
        <v>801695.03898690466</v>
      </c>
      <c r="J233" s="129">
        <f t="shared" si="41"/>
        <v>797898.18758468248</v>
      </c>
      <c r="K233" s="129">
        <f t="shared" si="41"/>
        <v>797898.18758468248</v>
      </c>
      <c r="L233" s="129">
        <f t="shared" si="41"/>
        <v>797898.18758468248</v>
      </c>
      <c r="M233" s="129">
        <f t="shared" si="41"/>
        <v>789277.16085634916</v>
      </c>
      <c r="N233" s="129">
        <f t="shared" si="41"/>
        <v>789277.16085634916</v>
      </c>
      <c r="O233" s="129">
        <f t="shared" si="41"/>
        <v>789277.16085634916</v>
      </c>
      <c r="P233" s="129">
        <f t="shared" si="41"/>
        <v>789277.16085634916</v>
      </c>
      <c r="Q233" s="129">
        <f t="shared" si="41"/>
        <v>789277.16085634916</v>
      </c>
      <c r="R233" s="129">
        <f t="shared" si="41"/>
        <v>789277.16085634916</v>
      </c>
      <c r="S233" s="129">
        <f t="shared" si="41"/>
        <v>789277.16085634916</v>
      </c>
      <c r="T233" s="129">
        <f t="shared" si="41"/>
        <v>789277.16085634916</v>
      </c>
      <c r="U233" s="129">
        <f t="shared" si="41"/>
        <v>789277.16085634916</v>
      </c>
      <c r="V233" s="129">
        <f t="shared" si="41"/>
        <v>789277.16085634916</v>
      </c>
    </row>
    <row r="234" spans="1:22" x14ac:dyDescent="0.25">
      <c r="B234" s="50" t="s">
        <v>116</v>
      </c>
      <c r="C234" s="117">
        <f>SUM(C207:C214)</f>
        <v>190271.8260856508</v>
      </c>
      <c r="D234" s="117">
        <f t="shared" ref="D234:V234" si="42">SUM(D207:D214)</f>
        <v>524712.79582959425</v>
      </c>
      <c r="E234" s="117">
        <f t="shared" si="42"/>
        <v>731597.28982577892</v>
      </c>
      <c r="F234" s="117">
        <f>SUM(F207:F214)</f>
        <v>1054765.0575542564</v>
      </c>
      <c r="G234" s="117">
        <f t="shared" si="42"/>
        <v>1369547.2750491893</v>
      </c>
      <c r="H234" s="117">
        <f t="shared" si="42"/>
        <v>1794466.97274966</v>
      </c>
      <c r="I234" s="117">
        <f t="shared" si="42"/>
        <v>2135096.0890175402</v>
      </c>
      <c r="J234" s="117">
        <f t="shared" si="42"/>
        <v>2458030.3324034382</v>
      </c>
      <c r="K234" s="117">
        <f t="shared" si="42"/>
        <v>2730599.3155722287</v>
      </c>
      <c r="L234" s="117">
        <f t="shared" si="42"/>
        <v>3013087.8459348092</v>
      </c>
      <c r="M234" s="117">
        <f t="shared" si="42"/>
        <v>3491640.9452476776</v>
      </c>
      <c r="N234" s="117">
        <f t="shared" si="42"/>
        <v>3561473.7641526302</v>
      </c>
      <c r="O234" s="117">
        <f t="shared" si="42"/>
        <v>3632703.2394356839</v>
      </c>
      <c r="P234" s="117">
        <f t="shared" si="42"/>
        <v>3705357.3042243971</v>
      </c>
      <c r="Q234" s="117">
        <f t="shared" si="42"/>
        <v>3779464.4503088859</v>
      </c>
      <c r="R234" s="117">
        <f t="shared" si="42"/>
        <v>3855053.7393150623</v>
      </c>
      <c r="S234" s="117">
        <f t="shared" si="42"/>
        <v>3932154.8141013635</v>
      </c>
      <c r="T234" s="117">
        <f t="shared" si="42"/>
        <v>4010797.9103833917</v>
      </c>
      <c r="U234" s="117">
        <f t="shared" si="42"/>
        <v>4091013.868591059</v>
      </c>
      <c r="V234" s="117">
        <f t="shared" si="42"/>
        <v>4172834.14596288</v>
      </c>
    </row>
    <row r="236" spans="1:22" x14ac:dyDescent="0.25">
      <c r="C236" s="40">
        <f>SUM(C233:C234)</f>
        <v>1942762.5403973169</v>
      </c>
      <c r="D236" s="40">
        <f t="shared" ref="D236:V236" si="43">SUM(D233:D234)</f>
        <v>2009058.6952399113</v>
      </c>
      <c r="E236" s="40">
        <f t="shared" si="43"/>
        <v>2072501.6453614931</v>
      </c>
      <c r="F236" s="40">
        <f t="shared" si="43"/>
        <v>2132239.2012225101</v>
      </c>
      <c r="G236" s="40">
        <f t="shared" si="43"/>
        <v>2444733.6827963321</v>
      </c>
      <c r="H236" s="40">
        <f t="shared" si="43"/>
        <v>2731335.4906747392</v>
      </c>
      <c r="I236" s="40">
        <f t="shared" si="43"/>
        <v>2936791.1280044448</v>
      </c>
      <c r="J236" s="40">
        <f t="shared" si="43"/>
        <v>3255928.5199881205</v>
      </c>
      <c r="K236" s="40">
        <f t="shared" si="43"/>
        <v>3528497.5031569111</v>
      </c>
      <c r="L236" s="40">
        <f t="shared" si="43"/>
        <v>3810986.0335194916</v>
      </c>
      <c r="M236" s="40">
        <f t="shared" si="43"/>
        <v>4280918.1061040265</v>
      </c>
      <c r="N236" s="40">
        <f t="shared" si="43"/>
        <v>4350750.9250089796</v>
      </c>
      <c r="O236" s="40">
        <f t="shared" si="43"/>
        <v>4421980.4002920333</v>
      </c>
      <c r="P236" s="40">
        <f t="shared" si="43"/>
        <v>4494634.4650807464</v>
      </c>
      <c r="Q236" s="40">
        <f t="shared" si="43"/>
        <v>4568741.6111652348</v>
      </c>
      <c r="R236" s="40">
        <f t="shared" si="43"/>
        <v>4644330.9001714112</v>
      </c>
      <c r="S236" s="40">
        <f t="shared" si="43"/>
        <v>4721431.9749577129</v>
      </c>
      <c r="T236" s="40">
        <f t="shared" si="43"/>
        <v>4800075.0712397406</v>
      </c>
      <c r="U236" s="40">
        <f t="shared" si="43"/>
        <v>4880291.0294474084</v>
      </c>
      <c r="V236" s="40">
        <f t="shared" si="43"/>
        <v>4962111.3068192294</v>
      </c>
    </row>
    <row r="238" spans="1:22" ht="14.4" x14ac:dyDescent="0.3">
      <c r="A238" s="118" t="s">
        <v>160</v>
      </c>
    </row>
    <row r="239" spans="1:22" ht="14.4" x14ac:dyDescent="0.3">
      <c r="A239" s="118"/>
    </row>
    <row r="240" spans="1:22" x14ac:dyDescent="0.25">
      <c r="A240" s="127"/>
    </row>
  </sheetData>
  <autoFilter ref="A1:V48" xr:uid="{3A8DBBC3-2F6E-4F74-9731-6A90B0FA0F89}">
    <sortState xmlns:xlrd2="http://schemas.microsoft.com/office/spreadsheetml/2017/richdata2" ref="A2:V48">
      <sortCondition ref="A1:A48"/>
    </sortState>
  </autoFilter>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D954-DD93-491B-A7CC-AA61CB9FC61A}">
  <sheetPr codeName="Sheet11">
    <tabColor rgb="FF0B3D91"/>
  </sheetPr>
  <dimension ref="A1:R48"/>
  <sheetViews>
    <sheetView zoomScaleNormal="100" workbookViewId="0">
      <selection activeCell="M31" sqref="M31"/>
    </sheetView>
  </sheetViews>
  <sheetFormatPr defaultRowHeight="13.8" x14ac:dyDescent="0.25"/>
  <cols>
    <col min="1" max="1" width="19.77734375" style="3" customWidth="1"/>
    <col min="2" max="2" width="56.21875" style="3" customWidth="1"/>
    <col min="3" max="3" width="10.77734375" style="3" customWidth="1"/>
    <col min="4" max="12" width="9.33203125" style="3" bestFit="1" customWidth="1"/>
    <col min="13" max="13" width="10" style="3" customWidth="1"/>
    <col min="14" max="14" width="10.77734375" style="3" customWidth="1"/>
    <col min="15" max="15" width="11.109375" style="3" customWidth="1"/>
    <col min="16" max="16" width="17.33203125" style="3" customWidth="1"/>
    <col min="17" max="16384" width="8.88671875" style="3"/>
  </cols>
  <sheetData>
    <row r="1" spans="1:18" x14ac:dyDescent="0.25">
      <c r="A1" s="133" t="s">
        <v>32</v>
      </c>
      <c r="B1" s="133" t="s">
        <v>102</v>
      </c>
      <c r="C1" s="133" t="s">
        <v>88</v>
      </c>
      <c r="D1" s="134" t="s">
        <v>122</v>
      </c>
      <c r="E1" s="134" t="s">
        <v>123</v>
      </c>
      <c r="F1" s="134" t="s">
        <v>124</v>
      </c>
      <c r="G1" s="134" t="s">
        <v>125</v>
      </c>
      <c r="H1" s="134" t="s">
        <v>126</v>
      </c>
      <c r="I1" s="134" t="s">
        <v>127</v>
      </c>
      <c r="J1" s="134" t="s">
        <v>128</v>
      </c>
      <c r="K1" s="134" t="s">
        <v>129</v>
      </c>
      <c r="L1" s="134" t="s">
        <v>130</v>
      </c>
      <c r="M1" s="134" t="s">
        <v>131</v>
      </c>
      <c r="N1" s="134" t="s">
        <v>132</v>
      </c>
      <c r="O1" s="134" t="s">
        <v>133</v>
      </c>
      <c r="P1" s="133" t="s">
        <v>224</v>
      </c>
    </row>
    <row r="2" spans="1:18" x14ac:dyDescent="0.25">
      <c r="A2" s="46" t="s">
        <v>33</v>
      </c>
      <c r="B2" s="46" t="s">
        <v>57</v>
      </c>
      <c r="C2" s="135"/>
      <c r="D2" s="136">
        <v>9513</v>
      </c>
      <c r="E2" s="136">
        <v>8105</v>
      </c>
      <c r="F2" s="136">
        <v>7202</v>
      </c>
      <c r="G2" s="137">
        <v>6616</v>
      </c>
      <c r="H2" s="136">
        <v>6675</v>
      </c>
      <c r="I2" s="136">
        <v>8337</v>
      </c>
      <c r="J2" s="136">
        <v>8154</v>
      </c>
      <c r="K2" s="136">
        <v>13265</v>
      </c>
      <c r="L2" s="136">
        <v>11647</v>
      </c>
      <c r="M2" s="136">
        <v>11887</v>
      </c>
      <c r="N2" s="136">
        <v>15313</v>
      </c>
      <c r="O2" s="136">
        <v>11765</v>
      </c>
      <c r="P2" s="136">
        <f>SUM(D2:O2)</f>
        <v>118479</v>
      </c>
    </row>
    <row r="3" spans="1:18" x14ac:dyDescent="0.25">
      <c r="A3" s="46" t="s">
        <v>65</v>
      </c>
      <c r="B3" s="46" t="s">
        <v>57</v>
      </c>
      <c r="C3" s="135"/>
      <c r="D3" s="136">
        <v>5899</v>
      </c>
      <c r="E3" s="136">
        <v>5763</v>
      </c>
      <c r="F3" s="136">
        <v>6406</v>
      </c>
      <c r="G3" s="137">
        <v>6007</v>
      </c>
      <c r="H3" s="136">
        <v>5829</v>
      </c>
      <c r="I3" s="136">
        <v>5732</v>
      </c>
      <c r="J3" s="136">
        <v>4638</v>
      </c>
      <c r="K3" s="136">
        <v>5840</v>
      </c>
      <c r="L3" s="136">
        <v>5805</v>
      </c>
      <c r="M3" s="136">
        <v>6036</v>
      </c>
      <c r="N3" s="136">
        <v>5771</v>
      </c>
      <c r="O3" s="136">
        <v>5792</v>
      </c>
      <c r="P3" s="136">
        <f t="shared" ref="P3:P4" si="0">SUM(D3:O3)</f>
        <v>69518</v>
      </c>
      <c r="R3" s="127"/>
    </row>
    <row r="4" spans="1:18" x14ac:dyDescent="0.25">
      <c r="A4" s="46" t="s">
        <v>67</v>
      </c>
      <c r="B4" s="46" t="s">
        <v>58</v>
      </c>
      <c r="C4" s="135"/>
      <c r="D4" s="136">
        <v>0</v>
      </c>
      <c r="E4" s="136">
        <v>0</v>
      </c>
      <c r="F4" s="136">
        <v>0</v>
      </c>
      <c r="G4" s="137">
        <v>0</v>
      </c>
      <c r="H4" s="136">
        <v>0</v>
      </c>
      <c r="I4" s="136">
        <v>0</v>
      </c>
      <c r="J4" s="136">
        <v>0</v>
      </c>
      <c r="K4" s="136">
        <v>628</v>
      </c>
      <c r="L4" s="136">
        <v>0</v>
      </c>
      <c r="M4" s="136">
        <v>0</v>
      </c>
      <c r="N4" s="136">
        <v>75</v>
      </c>
      <c r="O4" s="136">
        <v>165</v>
      </c>
      <c r="P4" s="136">
        <f t="shared" si="0"/>
        <v>868</v>
      </c>
    </row>
    <row r="5" spans="1:18" x14ac:dyDescent="0.25">
      <c r="A5" s="46" t="s">
        <v>68</v>
      </c>
      <c r="B5" s="46" t="s">
        <v>57</v>
      </c>
      <c r="C5" s="135"/>
      <c r="D5" s="136">
        <v>3658</v>
      </c>
      <c r="E5" s="136">
        <v>3264</v>
      </c>
      <c r="F5" s="136">
        <v>4289</v>
      </c>
      <c r="G5" s="137">
        <v>3828</v>
      </c>
      <c r="H5" s="136">
        <v>3424</v>
      </c>
      <c r="I5" s="136">
        <v>3123</v>
      </c>
      <c r="J5" s="136">
        <v>2689</v>
      </c>
      <c r="K5" s="136">
        <v>3178</v>
      </c>
      <c r="L5" s="136">
        <v>3397</v>
      </c>
      <c r="M5" s="136">
        <v>4408</v>
      </c>
      <c r="N5" s="136">
        <v>3164</v>
      </c>
      <c r="O5" s="136">
        <v>3305</v>
      </c>
      <c r="P5" s="136">
        <f>SUM(D5:O5)</f>
        <v>41727</v>
      </c>
    </row>
    <row r="6" spans="1:18" x14ac:dyDescent="0.25">
      <c r="A6" s="46" t="s">
        <v>34</v>
      </c>
      <c r="B6" s="46" t="s">
        <v>64</v>
      </c>
      <c r="C6" s="135"/>
      <c r="D6" s="136">
        <v>2624</v>
      </c>
      <c r="E6" s="136">
        <v>2628</v>
      </c>
      <c r="F6" s="136">
        <v>3240</v>
      </c>
      <c r="G6" s="137">
        <v>1516</v>
      </c>
      <c r="H6" s="136">
        <v>2804</v>
      </c>
      <c r="I6" s="136">
        <v>2764</v>
      </c>
      <c r="J6" s="136">
        <v>1360</v>
      </c>
      <c r="K6" s="136">
        <v>920</v>
      </c>
      <c r="L6" s="136">
        <v>699</v>
      </c>
      <c r="M6" s="136">
        <v>844</v>
      </c>
      <c r="N6" s="136">
        <v>496</v>
      </c>
      <c r="O6" s="136">
        <v>1812</v>
      </c>
      <c r="P6" s="136">
        <f t="shared" ref="P6:P43" si="1">SUM(D6:O6)</f>
        <v>21707</v>
      </c>
    </row>
    <row r="7" spans="1:18" x14ac:dyDescent="0.25">
      <c r="A7" s="46" t="s">
        <v>71</v>
      </c>
      <c r="B7" s="46" t="s">
        <v>58</v>
      </c>
      <c r="C7" s="135"/>
      <c r="D7" s="136">
        <v>335</v>
      </c>
      <c r="E7" s="136">
        <v>0</v>
      </c>
      <c r="F7" s="136">
        <v>302</v>
      </c>
      <c r="G7" s="137">
        <v>0</v>
      </c>
      <c r="H7" s="136">
        <v>0</v>
      </c>
      <c r="I7" s="136">
        <v>0</v>
      </c>
      <c r="J7" s="136">
        <v>0</v>
      </c>
      <c r="K7" s="136">
        <v>275</v>
      </c>
      <c r="L7" s="136">
        <v>0</v>
      </c>
      <c r="M7" s="136">
        <v>0</v>
      </c>
      <c r="N7" s="136">
        <v>0</v>
      </c>
      <c r="O7" s="136">
        <v>0</v>
      </c>
      <c r="P7" s="136">
        <f t="shared" si="1"/>
        <v>912</v>
      </c>
    </row>
    <row r="8" spans="1:18" x14ac:dyDescent="0.25">
      <c r="A8" s="46" t="s">
        <v>72</v>
      </c>
      <c r="B8" s="46" t="s">
        <v>59</v>
      </c>
      <c r="C8" s="135"/>
      <c r="D8" s="136">
        <v>2212</v>
      </c>
      <c r="E8" s="136">
        <v>36</v>
      </c>
      <c r="F8" s="136">
        <v>2672</v>
      </c>
      <c r="G8" s="137">
        <v>60</v>
      </c>
      <c r="H8" s="136">
        <v>3422</v>
      </c>
      <c r="I8" s="136">
        <v>847</v>
      </c>
      <c r="J8" s="136">
        <v>71</v>
      </c>
      <c r="K8" s="136">
        <v>851</v>
      </c>
      <c r="L8" s="136">
        <v>0</v>
      </c>
      <c r="M8" s="136">
        <v>635</v>
      </c>
      <c r="N8" s="136">
        <v>326</v>
      </c>
      <c r="O8" s="136">
        <v>3582</v>
      </c>
      <c r="P8" s="136">
        <f t="shared" si="1"/>
        <v>14714</v>
      </c>
    </row>
    <row r="9" spans="1:18" x14ac:dyDescent="0.25">
      <c r="A9" s="46" t="s">
        <v>35</v>
      </c>
      <c r="B9" s="46" t="s">
        <v>57</v>
      </c>
      <c r="C9" s="135"/>
      <c r="D9" s="136">
        <v>3668</v>
      </c>
      <c r="E9" s="136">
        <v>3622</v>
      </c>
      <c r="F9" s="136">
        <v>3748</v>
      </c>
      <c r="G9" s="137">
        <v>3428</v>
      </c>
      <c r="H9" s="136">
        <v>3665</v>
      </c>
      <c r="I9" s="136">
        <v>3337</v>
      </c>
      <c r="J9" s="136">
        <v>2587</v>
      </c>
      <c r="K9" s="136">
        <v>4411</v>
      </c>
      <c r="L9" s="136">
        <v>3323</v>
      </c>
      <c r="M9" s="136">
        <v>3579</v>
      </c>
      <c r="N9" s="136">
        <v>3465</v>
      </c>
      <c r="O9" s="136">
        <v>3873</v>
      </c>
      <c r="P9" s="136">
        <f t="shared" si="1"/>
        <v>42706</v>
      </c>
    </row>
    <row r="10" spans="1:18" x14ac:dyDescent="0.25">
      <c r="A10" s="46" t="s">
        <v>36</v>
      </c>
      <c r="B10" s="46" t="s">
        <v>57</v>
      </c>
      <c r="C10" s="135"/>
      <c r="D10" s="136">
        <v>17712</v>
      </c>
      <c r="E10" s="136">
        <v>16506</v>
      </c>
      <c r="F10" s="136">
        <v>18061</v>
      </c>
      <c r="G10" s="137">
        <v>13528</v>
      </c>
      <c r="H10" s="136">
        <v>16923</v>
      </c>
      <c r="I10" s="136">
        <v>16374</v>
      </c>
      <c r="J10" s="136">
        <v>11132</v>
      </c>
      <c r="K10" s="136">
        <v>15734</v>
      </c>
      <c r="L10" s="136">
        <v>16471</v>
      </c>
      <c r="M10" s="136">
        <v>16741</v>
      </c>
      <c r="N10" s="136">
        <v>15311</v>
      </c>
      <c r="O10" s="136">
        <v>16888</v>
      </c>
      <c r="P10" s="136">
        <f t="shared" si="1"/>
        <v>191381</v>
      </c>
    </row>
    <row r="11" spans="1:18" x14ac:dyDescent="0.25">
      <c r="A11" s="46" t="s">
        <v>37</v>
      </c>
      <c r="B11" s="46" t="s">
        <v>57</v>
      </c>
      <c r="C11" s="135"/>
      <c r="D11" s="136">
        <v>17322</v>
      </c>
      <c r="E11" s="136">
        <v>16134</v>
      </c>
      <c r="F11" s="136">
        <v>17000</v>
      </c>
      <c r="G11" s="137">
        <v>16488</v>
      </c>
      <c r="H11" s="136">
        <v>16567</v>
      </c>
      <c r="I11" s="136">
        <v>17181</v>
      </c>
      <c r="J11" s="136">
        <v>13692</v>
      </c>
      <c r="K11" s="136">
        <v>17482</v>
      </c>
      <c r="L11" s="136">
        <v>17543</v>
      </c>
      <c r="M11" s="136">
        <v>16911</v>
      </c>
      <c r="N11" s="136">
        <v>17126</v>
      </c>
      <c r="O11" s="136">
        <v>19111</v>
      </c>
      <c r="P11" s="136">
        <f t="shared" si="1"/>
        <v>202557</v>
      </c>
    </row>
    <row r="12" spans="1:18" x14ac:dyDescent="0.25">
      <c r="A12" s="46" t="s">
        <v>73</v>
      </c>
      <c r="B12" s="46" t="s">
        <v>57</v>
      </c>
      <c r="C12" s="135"/>
      <c r="D12" s="136">
        <v>33</v>
      </c>
      <c r="E12" s="136">
        <v>42</v>
      </c>
      <c r="F12" s="136">
        <v>0</v>
      </c>
      <c r="G12" s="137">
        <v>34</v>
      </c>
      <c r="H12" s="136">
        <v>20</v>
      </c>
      <c r="I12" s="136">
        <v>35</v>
      </c>
      <c r="J12" s="136">
        <v>42</v>
      </c>
      <c r="K12" s="136">
        <v>28</v>
      </c>
      <c r="L12" s="136">
        <v>30</v>
      </c>
      <c r="M12" s="136">
        <v>10</v>
      </c>
      <c r="N12" s="136">
        <v>14</v>
      </c>
      <c r="O12" s="136">
        <v>5</v>
      </c>
      <c r="P12" s="136">
        <f t="shared" si="1"/>
        <v>293</v>
      </c>
    </row>
    <row r="13" spans="1:18" x14ac:dyDescent="0.25">
      <c r="A13" s="46" t="s">
        <v>38</v>
      </c>
      <c r="B13" s="46" t="s">
        <v>57</v>
      </c>
      <c r="C13" s="135"/>
      <c r="D13" s="136">
        <v>0</v>
      </c>
      <c r="E13" s="136">
        <v>0</v>
      </c>
      <c r="F13" s="136">
        <v>0</v>
      </c>
      <c r="G13" s="137">
        <v>0</v>
      </c>
      <c r="H13" s="136">
        <v>0</v>
      </c>
      <c r="I13" s="136">
        <v>0</v>
      </c>
      <c r="J13" s="136">
        <v>0</v>
      </c>
      <c r="K13" s="136">
        <v>0</v>
      </c>
      <c r="L13" s="136">
        <v>0</v>
      </c>
      <c r="M13" s="136">
        <v>2625</v>
      </c>
      <c r="N13" s="136">
        <v>1713</v>
      </c>
      <c r="O13" s="136">
        <v>296</v>
      </c>
      <c r="P13" s="136">
        <f t="shared" si="1"/>
        <v>4634</v>
      </c>
    </row>
    <row r="14" spans="1:18" x14ac:dyDescent="0.25">
      <c r="A14" s="46" t="s">
        <v>39</v>
      </c>
      <c r="B14" s="46" t="s">
        <v>59</v>
      </c>
      <c r="C14" s="135"/>
      <c r="D14" s="136">
        <v>41038</v>
      </c>
      <c r="E14" s="136">
        <v>36338</v>
      </c>
      <c r="F14" s="136">
        <v>40737</v>
      </c>
      <c r="G14" s="137">
        <v>39996</v>
      </c>
      <c r="H14" s="136">
        <v>41360</v>
      </c>
      <c r="I14" s="136">
        <v>40128</v>
      </c>
      <c r="J14" s="136">
        <v>31666</v>
      </c>
      <c r="K14" s="136">
        <v>41519</v>
      </c>
      <c r="L14" s="136">
        <v>40133</v>
      </c>
      <c r="M14" s="136">
        <v>41313</v>
      </c>
      <c r="N14" s="136">
        <v>40204</v>
      </c>
      <c r="O14" s="136">
        <v>41219</v>
      </c>
      <c r="P14" s="136">
        <f t="shared" si="1"/>
        <v>475651</v>
      </c>
    </row>
    <row r="15" spans="1:18" x14ac:dyDescent="0.25">
      <c r="A15" s="46" t="s">
        <v>40</v>
      </c>
      <c r="B15" s="46" t="s">
        <v>58</v>
      </c>
      <c r="C15" s="135"/>
      <c r="D15" s="136">
        <v>0</v>
      </c>
      <c r="E15" s="136">
        <v>0</v>
      </c>
      <c r="F15" s="136">
        <v>0</v>
      </c>
      <c r="G15" s="137">
        <v>0</v>
      </c>
      <c r="H15" s="136">
        <v>0</v>
      </c>
      <c r="I15" s="136">
        <v>358</v>
      </c>
      <c r="J15" s="136">
        <v>0</v>
      </c>
      <c r="K15" s="136">
        <v>0</v>
      </c>
      <c r="L15" s="136">
        <v>4830</v>
      </c>
      <c r="M15" s="136">
        <v>0</v>
      </c>
      <c r="N15" s="136">
        <v>1709</v>
      </c>
      <c r="O15" s="136">
        <v>0</v>
      </c>
      <c r="P15" s="136">
        <f t="shared" si="1"/>
        <v>6897</v>
      </c>
    </row>
    <row r="16" spans="1:18" s="81" customFormat="1" x14ac:dyDescent="0.25">
      <c r="A16" s="122" t="s">
        <v>41</v>
      </c>
      <c r="B16" s="122" t="s">
        <v>60</v>
      </c>
      <c r="C16" s="138"/>
      <c r="D16" s="139">
        <v>0</v>
      </c>
      <c r="E16" s="139">
        <v>0</v>
      </c>
      <c r="F16" s="139">
        <v>106</v>
      </c>
      <c r="G16" s="140">
        <v>40</v>
      </c>
      <c r="H16" s="139">
        <v>0</v>
      </c>
      <c r="I16" s="139">
        <v>80</v>
      </c>
      <c r="J16" s="139">
        <v>0</v>
      </c>
      <c r="K16" s="139">
        <v>169</v>
      </c>
      <c r="L16" s="139">
        <v>65</v>
      </c>
      <c r="M16" s="139">
        <v>38</v>
      </c>
      <c r="N16" s="139">
        <v>0</v>
      </c>
      <c r="O16" s="139">
        <v>69</v>
      </c>
      <c r="P16" s="139">
        <f t="shared" si="1"/>
        <v>567</v>
      </c>
    </row>
    <row r="17" spans="1:16" s="81" customFormat="1" x14ac:dyDescent="0.25">
      <c r="A17" s="122" t="s">
        <v>74</v>
      </c>
      <c r="B17" s="122" t="s">
        <v>57</v>
      </c>
      <c r="C17" s="138"/>
      <c r="D17" s="139">
        <v>35</v>
      </c>
      <c r="E17" s="139">
        <v>10</v>
      </c>
      <c r="F17" s="139">
        <v>0</v>
      </c>
      <c r="G17" s="140">
        <v>21</v>
      </c>
      <c r="H17" s="139">
        <v>20</v>
      </c>
      <c r="I17" s="139">
        <v>0</v>
      </c>
      <c r="J17" s="139">
        <v>22</v>
      </c>
      <c r="K17" s="139">
        <v>15</v>
      </c>
      <c r="L17" s="139">
        <v>107</v>
      </c>
      <c r="M17" s="139">
        <v>47</v>
      </c>
      <c r="N17" s="139">
        <v>0</v>
      </c>
      <c r="O17" s="139">
        <v>70</v>
      </c>
      <c r="P17" s="139">
        <f t="shared" si="1"/>
        <v>347</v>
      </c>
    </row>
    <row r="18" spans="1:16" s="81" customFormat="1" x14ac:dyDescent="0.25">
      <c r="A18" s="122" t="s">
        <v>75</v>
      </c>
      <c r="B18" s="122" t="s">
        <v>57</v>
      </c>
      <c r="C18" s="138"/>
      <c r="D18" s="139">
        <v>56</v>
      </c>
      <c r="E18" s="139">
        <v>20</v>
      </c>
      <c r="F18" s="139">
        <v>88</v>
      </c>
      <c r="G18" s="140">
        <v>34</v>
      </c>
      <c r="H18" s="139">
        <v>203</v>
      </c>
      <c r="I18" s="139">
        <v>38</v>
      </c>
      <c r="J18" s="139">
        <v>62</v>
      </c>
      <c r="K18" s="139">
        <v>19</v>
      </c>
      <c r="L18" s="139">
        <v>74</v>
      </c>
      <c r="M18" s="139">
        <v>26</v>
      </c>
      <c r="N18" s="139">
        <v>225</v>
      </c>
      <c r="O18" s="139">
        <v>119</v>
      </c>
      <c r="P18" s="139">
        <f t="shared" si="1"/>
        <v>964</v>
      </c>
    </row>
    <row r="19" spans="1:16" s="81" customFormat="1" x14ac:dyDescent="0.25">
      <c r="A19" s="122" t="s">
        <v>76</v>
      </c>
      <c r="B19" s="122" t="s">
        <v>57</v>
      </c>
      <c r="C19" s="138"/>
      <c r="D19" s="139" t="s">
        <v>134</v>
      </c>
      <c r="E19" s="139">
        <v>0</v>
      </c>
      <c r="F19" s="139">
        <v>0</v>
      </c>
      <c r="G19" s="140">
        <v>0</v>
      </c>
      <c r="H19" s="139">
        <v>0</v>
      </c>
      <c r="I19" s="139">
        <v>0</v>
      </c>
      <c r="J19" s="139">
        <v>0</v>
      </c>
      <c r="K19" s="139">
        <v>0</v>
      </c>
      <c r="L19" s="139">
        <v>170</v>
      </c>
      <c r="M19" s="139">
        <v>1271</v>
      </c>
      <c r="N19" s="139">
        <v>0</v>
      </c>
      <c r="O19" s="139">
        <v>0</v>
      </c>
      <c r="P19" s="139">
        <f t="shared" si="1"/>
        <v>1441</v>
      </c>
    </row>
    <row r="20" spans="1:16" s="81" customFormat="1" x14ac:dyDescent="0.25">
      <c r="A20" s="122" t="s">
        <v>42</v>
      </c>
      <c r="B20" s="122" t="s">
        <v>61</v>
      </c>
      <c r="C20" s="138"/>
      <c r="D20" s="139">
        <v>0</v>
      </c>
      <c r="E20" s="139">
        <v>0</v>
      </c>
      <c r="F20" s="139">
        <v>0</v>
      </c>
      <c r="G20" s="140">
        <v>0</v>
      </c>
      <c r="H20" s="139">
        <v>0</v>
      </c>
      <c r="I20" s="139">
        <v>0</v>
      </c>
      <c r="J20" s="139">
        <v>0</v>
      </c>
      <c r="K20" s="139">
        <v>47</v>
      </c>
      <c r="L20" s="139">
        <v>0</v>
      </c>
      <c r="M20" s="139">
        <v>0</v>
      </c>
      <c r="N20" s="139">
        <v>0</v>
      </c>
      <c r="O20" s="139">
        <v>0</v>
      </c>
      <c r="P20" s="139">
        <f t="shared" si="1"/>
        <v>47</v>
      </c>
    </row>
    <row r="21" spans="1:16" s="81" customFormat="1" x14ac:dyDescent="0.25">
      <c r="A21" s="122" t="s">
        <v>77</v>
      </c>
      <c r="B21" s="122" t="s">
        <v>58</v>
      </c>
      <c r="C21" s="138"/>
      <c r="D21" s="139">
        <v>0</v>
      </c>
      <c r="E21" s="139">
        <v>0</v>
      </c>
      <c r="F21" s="139">
        <v>0</v>
      </c>
      <c r="G21" s="140">
        <v>0</v>
      </c>
      <c r="H21" s="139">
        <v>499</v>
      </c>
      <c r="I21" s="139">
        <v>0</v>
      </c>
      <c r="J21" s="139">
        <v>0</v>
      </c>
      <c r="K21" s="139">
        <v>0</v>
      </c>
      <c r="L21" s="139">
        <v>0</v>
      </c>
      <c r="M21" s="139">
        <v>0</v>
      </c>
      <c r="N21" s="139">
        <v>0</v>
      </c>
      <c r="O21" s="139">
        <v>0</v>
      </c>
      <c r="P21" s="139">
        <f t="shared" si="1"/>
        <v>499</v>
      </c>
    </row>
    <row r="22" spans="1:16" s="81" customFormat="1" x14ac:dyDescent="0.25">
      <c r="A22" s="122" t="s">
        <v>135</v>
      </c>
      <c r="B22" s="122" t="s">
        <v>56</v>
      </c>
      <c r="C22" s="138"/>
      <c r="D22" s="139">
        <v>436</v>
      </c>
      <c r="E22" s="139">
        <v>307</v>
      </c>
      <c r="F22" s="139">
        <v>445</v>
      </c>
      <c r="G22" s="140">
        <v>452</v>
      </c>
      <c r="H22" s="139">
        <v>451</v>
      </c>
      <c r="I22" s="139">
        <v>216</v>
      </c>
      <c r="J22" s="139">
        <v>307</v>
      </c>
      <c r="K22" s="139">
        <v>469</v>
      </c>
      <c r="L22" s="139">
        <v>367</v>
      </c>
      <c r="M22" s="139">
        <v>257</v>
      </c>
      <c r="N22" s="139">
        <v>252</v>
      </c>
      <c r="O22" s="139">
        <v>407</v>
      </c>
      <c r="P22" s="139">
        <f t="shared" si="1"/>
        <v>4366</v>
      </c>
    </row>
    <row r="23" spans="1:16" s="81" customFormat="1" x14ac:dyDescent="0.25">
      <c r="A23" s="122" t="s">
        <v>136</v>
      </c>
      <c r="B23" s="122" t="s">
        <v>56</v>
      </c>
      <c r="C23" s="138"/>
      <c r="D23" s="139">
        <v>384</v>
      </c>
      <c r="E23" s="139">
        <v>269</v>
      </c>
      <c r="F23" s="139">
        <v>362</v>
      </c>
      <c r="G23" s="140">
        <v>360</v>
      </c>
      <c r="H23" s="139">
        <v>371</v>
      </c>
      <c r="I23" s="139">
        <v>188</v>
      </c>
      <c r="J23" s="139">
        <v>251</v>
      </c>
      <c r="K23" s="139">
        <v>401</v>
      </c>
      <c r="L23" s="139">
        <v>295</v>
      </c>
      <c r="M23" s="139">
        <v>217</v>
      </c>
      <c r="N23" s="139">
        <v>224</v>
      </c>
      <c r="O23" s="139">
        <v>355</v>
      </c>
      <c r="P23" s="139">
        <f t="shared" si="1"/>
        <v>3677</v>
      </c>
    </row>
    <row r="24" spans="1:16" s="81" customFormat="1" x14ac:dyDescent="0.25">
      <c r="A24" s="122" t="s">
        <v>137</v>
      </c>
      <c r="B24" s="122" t="s">
        <v>56</v>
      </c>
      <c r="C24" s="138"/>
      <c r="D24" s="139">
        <v>398</v>
      </c>
      <c r="E24" s="139">
        <v>335</v>
      </c>
      <c r="F24" s="139">
        <v>359</v>
      </c>
      <c r="G24" s="140">
        <v>362</v>
      </c>
      <c r="H24" s="139">
        <v>385</v>
      </c>
      <c r="I24" s="139">
        <v>202</v>
      </c>
      <c r="J24" s="139">
        <v>255</v>
      </c>
      <c r="K24" s="139">
        <v>414</v>
      </c>
      <c r="L24" s="139">
        <v>299</v>
      </c>
      <c r="M24" s="139">
        <v>224</v>
      </c>
      <c r="N24" s="139">
        <v>224</v>
      </c>
      <c r="O24" s="139">
        <v>345</v>
      </c>
      <c r="P24" s="139">
        <f t="shared" si="1"/>
        <v>3802</v>
      </c>
    </row>
    <row r="25" spans="1:16" s="81" customFormat="1" x14ac:dyDescent="0.25">
      <c r="A25" s="122" t="s">
        <v>138</v>
      </c>
      <c r="B25" s="122" t="s">
        <v>56</v>
      </c>
      <c r="C25" s="138"/>
      <c r="D25" s="139">
        <v>466</v>
      </c>
      <c r="E25" s="139">
        <v>301</v>
      </c>
      <c r="F25" s="139">
        <v>443</v>
      </c>
      <c r="G25" s="140">
        <v>448</v>
      </c>
      <c r="H25" s="139">
        <v>444</v>
      </c>
      <c r="I25" s="139">
        <v>221</v>
      </c>
      <c r="J25" s="139">
        <v>295</v>
      </c>
      <c r="K25" s="139">
        <v>471</v>
      </c>
      <c r="L25" s="139">
        <v>364</v>
      </c>
      <c r="M25" s="139">
        <v>260</v>
      </c>
      <c r="N25" s="139">
        <v>244</v>
      </c>
      <c r="O25" s="139">
        <v>410</v>
      </c>
      <c r="P25" s="139">
        <f t="shared" si="1"/>
        <v>4367</v>
      </c>
    </row>
    <row r="26" spans="1:16" s="81" customFormat="1" x14ac:dyDescent="0.25">
      <c r="A26" s="122" t="s">
        <v>43</v>
      </c>
      <c r="B26" s="122" t="s">
        <v>61</v>
      </c>
      <c r="C26" s="138"/>
      <c r="D26" s="139">
        <v>538</v>
      </c>
      <c r="E26" s="139">
        <v>540</v>
      </c>
      <c r="F26" s="139">
        <v>1304</v>
      </c>
      <c r="G26" s="140">
        <v>1727</v>
      </c>
      <c r="H26" s="139">
        <v>1550</v>
      </c>
      <c r="I26" s="139">
        <v>1881</v>
      </c>
      <c r="J26" s="139">
        <v>1082</v>
      </c>
      <c r="K26" s="139">
        <v>919</v>
      </c>
      <c r="L26" s="139">
        <v>1596</v>
      </c>
      <c r="M26" s="139">
        <v>1662</v>
      </c>
      <c r="N26" s="139">
        <v>1148</v>
      </c>
      <c r="O26" s="139">
        <v>824</v>
      </c>
      <c r="P26" s="139">
        <f t="shared" si="1"/>
        <v>14771</v>
      </c>
    </row>
    <row r="27" spans="1:16" s="81" customFormat="1" x14ac:dyDescent="0.25">
      <c r="A27" s="122" t="s">
        <v>44</v>
      </c>
      <c r="B27" s="122" t="s">
        <v>57</v>
      </c>
      <c r="C27" s="138"/>
      <c r="D27" s="139">
        <v>40</v>
      </c>
      <c r="E27" s="139">
        <v>94</v>
      </c>
      <c r="F27" s="139">
        <v>341</v>
      </c>
      <c r="G27" s="140">
        <v>173</v>
      </c>
      <c r="H27" s="139">
        <v>21</v>
      </c>
      <c r="I27" s="139">
        <v>239</v>
      </c>
      <c r="J27" s="139">
        <v>40</v>
      </c>
      <c r="K27" s="139">
        <v>60</v>
      </c>
      <c r="L27" s="139">
        <v>105</v>
      </c>
      <c r="M27" s="139">
        <v>95</v>
      </c>
      <c r="N27" s="139">
        <v>78</v>
      </c>
      <c r="O27" s="139">
        <v>54</v>
      </c>
      <c r="P27" s="139">
        <f t="shared" si="1"/>
        <v>1340</v>
      </c>
    </row>
    <row r="28" spans="1:16" s="81" customFormat="1" x14ac:dyDescent="0.25">
      <c r="A28" s="122" t="s">
        <v>78</v>
      </c>
      <c r="B28" s="122" t="s">
        <v>57</v>
      </c>
      <c r="C28" s="138"/>
      <c r="D28" s="139">
        <v>283</v>
      </c>
      <c r="E28" s="139">
        <v>263</v>
      </c>
      <c r="F28" s="139">
        <v>369</v>
      </c>
      <c r="G28" s="140">
        <v>317</v>
      </c>
      <c r="H28" s="139">
        <v>317</v>
      </c>
      <c r="I28" s="139">
        <v>240</v>
      </c>
      <c r="J28" s="139">
        <v>207</v>
      </c>
      <c r="K28" s="139">
        <v>327</v>
      </c>
      <c r="L28" s="139">
        <v>491</v>
      </c>
      <c r="M28" s="139">
        <v>312</v>
      </c>
      <c r="N28" s="139">
        <v>274</v>
      </c>
      <c r="O28" s="139">
        <v>295</v>
      </c>
      <c r="P28" s="139">
        <f t="shared" si="1"/>
        <v>3695</v>
      </c>
    </row>
    <row r="29" spans="1:16" s="81" customFormat="1" x14ac:dyDescent="0.25">
      <c r="A29" s="122" t="s">
        <v>45</v>
      </c>
      <c r="B29" s="122" t="s">
        <v>57</v>
      </c>
      <c r="C29" s="138"/>
      <c r="D29" s="139">
        <v>0</v>
      </c>
      <c r="E29" s="139">
        <v>0</v>
      </c>
      <c r="F29" s="139">
        <v>38</v>
      </c>
      <c r="G29" s="140">
        <v>40</v>
      </c>
      <c r="H29" s="139">
        <v>0</v>
      </c>
      <c r="I29" s="139">
        <v>512</v>
      </c>
      <c r="J29" s="139">
        <v>0</v>
      </c>
      <c r="K29" s="139">
        <v>40</v>
      </c>
      <c r="L29" s="139">
        <v>0</v>
      </c>
      <c r="M29" s="139">
        <v>20</v>
      </c>
      <c r="N29" s="139">
        <v>0</v>
      </c>
      <c r="O29" s="139">
        <v>0</v>
      </c>
      <c r="P29" s="139">
        <f t="shared" si="1"/>
        <v>650</v>
      </c>
    </row>
    <row r="30" spans="1:16" s="81" customFormat="1" x14ac:dyDescent="0.25">
      <c r="A30" s="122" t="s">
        <v>46</v>
      </c>
      <c r="B30" s="122" t="s">
        <v>59</v>
      </c>
      <c r="C30" s="138"/>
      <c r="D30" s="139">
        <v>0</v>
      </c>
      <c r="E30" s="139">
        <v>350</v>
      </c>
      <c r="F30" s="139">
        <v>0</v>
      </c>
      <c r="G30" s="140">
        <v>0</v>
      </c>
      <c r="H30" s="139">
        <v>0</v>
      </c>
      <c r="I30" s="139">
        <v>0</v>
      </c>
      <c r="J30" s="139">
        <v>180</v>
      </c>
      <c r="K30" s="139">
        <v>0</v>
      </c>
      <c r="L30" s="139">
        <v>0</v>
      </c>
      <c r="M30" s="139">
        <v>0</v>
      </c>
      <c r="N30" s="139">
        <v>0</v>
      </c>
      <c r="O30" s="139">
        <v>0</v>
      </c>
      <c r="P30" s="139">
        <f t="shared" si="1"/>
        <v>530</v>
      </c>
    </row>
    <row r="31" spans="1:16" s="81" customFormat="1" x14ac:dyDescent="0.25">
      <c r="A31" s="122" t="s">
        <v>70</v>
      </c>
      <c r="B31" s="122" t="s">
        <v>59</v>
      </c>
      <c r="C31" s="138"/>
      <c r="D31" s="139">
        <v>5512</v>
      </c>
      <c r="E31" s="139">
        <v>13712</v>
      </c>
      <c r="F31" s="139">
        <v>0</v>
      </c>
      <c r="G31" s="140">
        <v>4657</v>
      </c>
      <c r="H31" s="139">
        <v>6133</v>
      </c>
      <c r="I31" s="139">
        <v>4980</v>
      </c>
      <c r="J31" s="139">
        <v>4393</v>
      </c>
      <c r="K31" s="139">
        <v>16690</v>
      </c>
      <c r="L31" s="139">
        <v>2312</v>
      </c>
      <c r="M31" s="139">
        <v>1725</v>
      </c>
      <c r="N31" s="139">
        <v>7761</v>
      </c>
      <c r="O31" s="139">
        <v>7275</v>
      </c>
      <c r="P31" s="139">
        <f t="shared" si="1"/>
        <v>75150</v>
      </c>
    </row>
    <row r="32" spans="1:16" s="81" customFormat="1" x14ac:dyDescent="0.25">
      <c r="A32" s="122" t="s">
        <v>47</v>
      </c>
      <c r="B32" s="122" t="s">
        <v>64</v>
      </c>
      <c r="C32" s="138"/>
      <c r="D32" s="139">
        <v>30</v>
      </c>
      <c r="E32" s="139">
        <v>30</v>
      </c>
      <c r="F32" s="139">
        <v>56</v>
      </c>
      <c r="G32" s="140">
        <v>0</v>
      </c>
      <c r="H32" s="139">
        <v>30</v>
      </c>
      <c r="I32" s="139">
        <v>60</v>
      </c>
      <c r="J32" s="139">
        <v>0</v>
      </c>
      <c r="K32" s="139">
        <v>0</v>
      </c>
      <c r="L32" s="139">
        <v>0</v>
      </c>
      <c r="M32" s="139">
        <v>0</v>
      </c>
      <c r="N32" s="139">
        <v>0</v>
      </c>
      <c r="O32" s="139">
        <v>0</v>
      </c>
      <c r="P32" s="139">
        <f t="shared" si="1"/>
        <v>206</v>
      </c>
    </row>
    <row r="33" spans="1:17" s="81" customFormat="1" x14ac:dyDescent="0.25">
      <c r="A33" s="122" t="s">
        <v>48</v>
      </c>
      <c r="B33" s="122" t="s">
        <v>64</v>
      </c>
      <c r="C33" s="138"/>
      <c r="D33" s="139">
        <v>60</v>
      </c>
      <c r="E33" s="139">
        <v>0</v>
      </c>
      <c r="F33" s="139">
        <v>60</v>
      </c>
      <c r="G33" s="140">
        <v>30</v>
      </c>
      <c r="H33" s="139">
        <v>30</v>
      </c>
      <c r="I33" s="139">
        <v>30</v>
      </c>
      <c r="J33" s="139">
        <v>0</v>
      </c>
      <c r="K33" s="139">
        <v>0</v>
      </c>
      <c r="L33" s="139">
        <v>0</v>
      </c>
      <c r="M33" s="139">
        <v>0</v>
      </c>
      <c r="N33" s="139">
        <v>0</v>
      </c>
      <c r="O33" s="139">
        <v>0</v>
      </c>
      <c r="P33" s="139">
        <f t="shared" si="1"/>
        <v>210</v>
      </c>
    </row>
    <row r="34" spans="1:17" s="81" customFormat="1" x14ac:dyDescent="0.25">
      <c r="A34" s="122" t="s">
        <v>49</v>
      </c>
      <c r="B34" s="122" t="s">
        <v>57</v>
      </c>
      <c r="C34" s="138"/>
      <c r="D34" s="139">
        <v>24952</v>
      </c>
      <c r="E34" s="139">
        <v>23500</v>
      </c>
      <c r="F34" s="139">
        <v>25464</v>
      </c>
      <c r="G34" s="140">
        <v>25430</v>
      </c>
      <c r="H34" s="139">
        <v>24609</v>
      </c>
      <c r="I34" s="139">
        <v>27074</v>
      </c>
      <c r="J34" s="139">
        <v>19416</v>
      </c>
      <c r="K34" s="139">
        <v>26742</v>
      </c>
      <c r="L34" s="139">
        <v>24300</v>
      </c>
      <c r="M34" s="139">
        <v>24866</v>
      </c>
      <c r="N34" s="139">
        <v>25794</v>
      </c>
      <c r="O34" s="139">
        <v>25847</v>
      </c>
      <c r="P34" s="139">
        <f t="shared" si="1"/>
        <v>297994</v>
      </c>
    </row>
    <row r="35" spans="1:17" s="81" customFormat="1" x14ac:dyDescent="0.25">
      <c r="A35" s="122" t="s">
        <v>50</v>
      </c>
      <c r="B35" s="122" t="s">
        <v>61</v>
      </c>
      <c r="C35" s="138"/>
      <c r="D35" s="139">
        <v>7381</v>
      </c>
      <c r="E35" s="139">
        <v>6650</v>
      </c>
      <c r="F35" s="139">
        <v>8472</v>
      </c>
      <c r="G35" s="140">
        <v>6962</v>
      </c>
      <c r="H35" s="139">
        <v>6777</v>
      </c>
      <c r="I35" s="139">
        <v>7146</v>
      </c>
      <c r="J35" s="139">
        <v>5329</v>
      </c>
      <c r="K35" s="139">
        <v>8049</v>
      </c>
      <c r="L35" s="139">
        <v>7577</v>
      </c>
      <c r="M35" s="139">
        <v>7415</v>
      </c>
      <c r="N35" s="139">
        <v>7060</v>
      </c>
      <c r="O35" s="139">
        <v>7582</v>
      </c>
      <c r="P35" s="139">
        <f t="shared" si="1"/>
        <v>86400</v>
      </c>
    </row>
    <row r="36" spans="1:17" s="81" customFormat="1" x14ac:dyDescent="0.25">
      <c r="A36" s="122" t="s">
        <v>79</v>
      </c>
      <c r="B36" s="122" t="s">
        <v>59</v>
      </c>
      <c r="C36" s="138"/>
      <c r="D36" s="139">
        <v>0</v>
      </c>
      <c r="E36" s="139">
        <v>0</v>
      </c>
      <c r="F36" s="139">
        <v>0</v>
      </c>
      <c r="G36" s="140">
        <v>600</v>
      </c>
      <c r="H36" s="139">
        <v>355</v>
      </c>
      <c r="I36" s="139">
        <v>0</v>
      </c>
      <c r="J36" s="139">
        <v>240</v>
      </c>
      <c r="K36" s="139">
        <v>580</v>
      </c>
      <c r="L36" s="139">
        <v>766</v>
      </c>
      <c r="M36" s="139">
        <v>501</v>
      </c>
      <c r="N36" s="139">
        <v>361</v>
      </c>
      <c r="O36" s="139">
        <v>4947</v>
      </c>
      <c r="P36" s="139">
        <f t="shared" si="1"/>
        <v>8350</v>
      </c>
    </row>
    <row r="37" spans="1:17" s="81" customFormat="1" x14ac:dyDescent="0.25">
      <c r="A37" s="122" t="s">
        <v>80</v>
      </c>
      <c r="B37" s="122" t="s">
        <v>60</v>
      </c>
      <c r="C37" s="138"/>
      <c r="D37" s="139">
        <v>50</v>
      </c>
      <c r="E37" s="139">
        <v>31</v>
      </c>
      <c r="F37" s="139">
        <v>61</v>
      </c>
      <c r="G37" s="140">
        <v>33</v>
      </c>
      <c r="H37" s="139">
        <v>18</v>
      </c>
      <c r="I37" s="139">
        <v>8</v>
      </c>
      <c r="J37" s="139">
        <v>0</v>
      </c>
      <c r="K37" s="139">
        <v>0</v>
      </c>
      <c r="L37" s="139">
        <v>45</v>
      </c>
      <c r="M37" s="139">
        <v>8</v>
      </c>
      <c r="N37" s="139">
        <v>96</v>
      </c>
      <c r="O37" s="139">
        <v>4</v>
      </c>
      <c r="P37" s="139">
        <f t="shared" si="1"/>
        <v>354</v>
      </c>
      <c r="Q37" s="141"/>
    </row>
    <row r="38" spans="1:17" x14ac:dyDescent="0.25">
      <c r="A38" s="46" t="s">
        <v>81</v>
      </c>
      <c r="B38" s="46" t="s">
        <v>57</v>
      </c>
      <c r="C38" s="135"/>
      <c r="D38" s="136">
        <v>16071</v>
      </c>
      <c r="E38" s="136">
        <v>14850</v>
      </c>
      <c r="F38" s="136">
        <v>16423</v>
      </c>
      <c r="G38" s="137">
        <v>15580</v>
      </c>
      <c r="H38" s="136">
        <v>16151</v>
      </c>
      <c r="I38" s="136">
        <v>15640</v>
      </c>
      <c r="J38" s="136">
        <v>12397</v>
      </c>
      <c r="K38" s="136">
        <v>16137</v>
      </c>
      <c r="L38" s="136">
        <v>15588</v>
      </c>
      <c r="M38" s="136">
        <v>16237</v>
      </c>
      <c r="N38" s="136">
        <v>15552</v>
      </c>
      <c r="O38" s="136">
        <v>16163</v>
      </c>
      <c r="P38" s="136">
        <f t="shared" si="1"/>
        <v>186789</v>
      </c>
    </row>
    <row r="39" spans="1:17" x14ac:dyDescent="0.25">
      <c r="A39" s="46" t="s">
        <v>51</v>
      </c>
      <c r="B39" s="46" t="s">
        <v>56</v>
      </c>
      <c r="C39" s="135"/>
      <c r="D39" s="136">
        <v>15</v>
      </c>
      <c r="E39" s="136">
        <v>0</v>
      </c>
      <c r="F39" s="136">
        <v>15</v>
      </c>
      <c r="G39" s="137">
        <v>0</v>
      </c>
      <c r="H39" s="136">
        <v>0</v>
      </c>
      <c r="I39" s="136">
        <v>15</v>
      </c>
      <c r="J39" s="136">
        <v>0</v>
      </c>
      <c r="K39" s="136">
        <v>0</v>
      </c>
      <c r="L39" s="136">
        <v>15</v>
      </c>
      <c r="M39" s="136">
        <v>0</v>
      </c>
      <c r="N39" s="136">
        <v>10</v>
      </c>
      <c r="O39" s="136">
        <v>0</v>
      </c>
      <c r="P39" s="136">
        <f t="shared" si="1"/>
        <v>70</v>
      </c>
    </row>
    <row r="40" spans="1:17" x14ac:dyDescent="0.25">
      <c r="A40" s="46" t="s">
        <v>52</v>
      </c>
      <c r="B40" s="46" t="s">
        <v>56</v>
      </c>
      <c r="C40" s="135"/>
      <c r="D40" s="136">
        <v>0</v>
      </c>
      <c r="E40" s="136">
        <v>87</v>
      </c>
      <c r="F40" s="136">
        <v>0</v>
      </c>
      <c r="G40" s="137">
        <v>0</v>
      </c>
      <c r="H40" s="136">
        <v>0</v>
      </c>
      <c r="I40" s="136">
        <v>108</v>
      </c>
      <c r="J40" s="136">
        <v>0</v>
      </c>
      <c r="K40" s="136">
        <v>0</v>
      </c>
      <c r="L40" s="136">
        <v>0</v>
      </c>
      <c r="M40" s="136">
        <v>0</v>
      </c>
      <c r="N40" s="136">
        <v>0</v>
      </c>
      <c r="O40" s="136">
        <v>0</v>
      </c>
      <c r="P40" s="136">
        <f t="shared" si="1"/>
        <v>195</v>
      </c>
    </row>
    <row r="41" spans="1:17" x14ac:dyDescent="0.25">
      <c r="A41" s="46" t="s">
        <v>53</v>
      </c>
      <c r="B41" s="46" t="s">
        <v>56</v>
      </c>
      <c r="C41" s="135"/>
      <c r="D41" s="136">
        <v>0</v>
      </c>
      <c r="E41" s="136">
        <v>15</v>
      </c>
      <c r="F41" s="136">
        <v>15</v>
      </c>
      <c r="G41" s="137">
        <v>15</v>
      </c>
      <c r="H41" s="136">
        <v>0</v>
      </c>
      <c r="I41" s="136">
        <v>13</v>
      </c>
      <c r="J41" s="136">
        <v>0</v>
      </c>
      <c r="K41" s="136">
        <v>15</v>
      </c>
      <c r="L41" s="136">
        <v>0</v>
      </c>
      <c r="M41" s="136">
        <v>0</v>
      </c>
      <c r="N41" s="136">
        <v>0</v>
      </c>
      <c r="O41" s="136">
        <v>0</v>
      </c>
      <c r="P41" s="136">
        <f t="shared" si="1"/>
        <v>73</v>
      </c>
    </row>
    <row r="42" spans="1:17" x14ac:dyDescent="0.25">
      <c r="A42" s="46" t="s">
        <v>54</v>
      </c>
      <c r="B42" s="46" t="s">
        <v>57</v>
      </c>
      <c r="C42" s="135"/>
      <c r="D42" s="136">
        <v>0</v>
      </c>
      <c r="E42" s="136">
        <v>55</v>
      </c>
      <c r="F42" s="136">
        <v>0</v>
      </c>
      <c r="G42" s="137">
        <v>10</v>
      </c>
      <c r="H42" s="136">
        <v>43</v>
      </c>
      <c r="I42" s="136">
        <v>54</v>
      </c>
      <c r="J42" s="136">
        <v>0</v>
      </c>
      <c r="K42" s="136">
        <v>60</v>
      </c>
      <c r="L42" s="136">
        <v>0</v>
      </c>
      <c r="M42" s="136">
        <v>55</v>
      </c>
      <c r="N42" s="136">
        <v>0</v>
      </c>
      <c r="O42" s="136">
        <v>55</v>
      </c>
      <c r="P42" s="136">
        <f t="shared" si="1"/>
        <v>332</v>
      </c>
    </row>
    <row r="43" spans="1:17" x14ac:dyDescent="0.25">
      <c r="A43" s="46" t="s">
        <v>55</v>
      </c>
      <c r="B43" s="46" t="s">
        <v>57</v>
      </c>
      <c r="C43" s="135"/>
      <c r="D43" s="136">
        <v>3095</v>
      </c>
      <c r="E43" s="136">
        <v>2772</v>
      </c>
      <c r="F43" s="136">
        <v>3129</v>
      </c>
      <c r="G43" s="137">
        <v>2936</v>
      </c>
      <c r="H43" s="136">
        <v>3062</v>
      </c>
      <c r="I43" s="136">
        <v>2908</v>
      </c>
      <c r="J43" s="136">
        <v>2374</v>
      </c>
      <c r="K43" s="136">
        <v>3559</v>
      </c>
      <c r="L43" s="136">
        <v>3087</v>
      </c>
      <c r="M43" s="136">
        <v>3093</v>
      </c>
      <c r="N43" s="136">
        <v>2930</v>
      </c>
      <c r="O43" s="136">
        <v>2815</v>
      </c>
      <c r="P43" s="136">
        <f t="shared" si="1"/>
        <v>35760</v>
      </c>
    </row>
    <row r="44" spans="1:17" x14ac:dyDescent="0.25">
      <c r="A44" s="46"/>
      <c r="B44" s="46"/>
      <c r="C44" s="135"/>
      <c r="D44" s="136"/>
      <c r="E44" s="136"/>
      <c r="F44" s="136"/>
      <c r="G44" s="137"/>
      <c r="H44" s="136"/>
      <c r="I44" s="136"/>
      <c r="J44" s="136"/>
      <c r="K44" s="136"/>
      <c r="L44" s="136"/>
      <c r="M44" s="136"/>
      <c r="N44" s="136"/>
      <c r="O44" s="136"/>
      <c r="P44" s="136"/>
    </row>
    <row r="45" spans="1:17" x14ac:dyDescent="0.25">
      <c r="A45" s="46" t="s">
        <v>139</v>
      </c>
      <c r="B45" s="46"/>
      <c r="C45" s="135"/>
      <c r="D45" s="142">
        <f t="shared" ref="D45:P45" si="2">SUM(D2:D43)</f>
        <v>163816</v>
      </c>
      <c r="E45" s="142">
        <f t="shared" si="2"/>
        <v>156629</v>
      </c>
      <c r="F45" s="142">
        <f t="shared" si="2"/>
        <v>161207</v>
      </c>
      <c r="G45" s="142">
        <f t="shared" si="2"/>
        <v>151728</v>
      </c>
      <c r="H45" s="142">
        <f t="shared" si="2"/>
        <v>162158</v>
      </c>
      <c r="I45" s="142">
        <f t="shared" si="2"/>
        <v>160069</v>
      </c>
      <c r="J45" s="142">
        <f t="shared" si="2"/>
        <v>122881</v>
      </c>
      <c r="K45" s="142">
        <f t="shared" si="2"/>
        <v>179314</v>
      </c>
      <c r="L45" s="142">
        <f t="shared" si="2"/>
        <v>161501</v>
      </c>
      <c r="M45" s="142">
        <f t="shared" si="2"/>
        <v>163318</v>
      </c>
      <c r="N45" s="142">
        <f t="shared" si="2"/>
        <v>166920</v>
      </c>
      <c r="O45" s="142">
        <f t="shared" si="2"/>
        <v>175449</v>
      </c>
      <c r="P45" s="142">
        <f t="shared" si="2"/>
        <v>1924990</v>
      </c>
    </row>
    <row r="47" spans="1:17" ht="14.4" x14ac:dyDescent="0.3">
      <c r="A47" s="118" t="s">
        <v>161</v>
      </c>
    </row>
    <row r="48" spans="1:17" x14ac:dyDescent="0.25">
      <c r="A48" s="3" t="s">
        <v>163</v>
      </c>
    </row>
  </sheetData>
  <conditionalFormatting sqref="P1:P1048576">
    <cfRule type="dataBar" priority="1">
      <dataBar>
        <cfvo type="min"/>
        <cfvo type="max"/>
        <color rgb="FF63C384"/>
      </dataBar>
      <extLst>
        <ext xmlns:x14="http://schemas.microsoft.com/office/spreadsheetml/2009/9/main" uri="{B025F937-C7B1-47D3-B67F-A62EFF666E3E}">
          <x14:id>{3198F690-651A-4F94-93BD-93FFF248DF28}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98F690-651A-4F94-93BD-93FFF248DF28}">
            <x14:dataBar minLength="0" maxLength="100" border="1" negativeBarBorderColorSameAsPositive="0">
              <x14:cfvo type="autoMin"/>
              <x14:cfvo type="autoMax"/>
              <x14:borderColor rgb="FF63C384"/>
              <x14:negativeFillColor rgb="FFFF0000"/>
              <x14:negativeBorderColor rgb="FFFF0000"/>
              <x14:axisColor rgb="FF000000"/>
            </x14:dataBar>
          </x14:cfRule>
          <xm:sqref>P1:P1048576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EC30-2B86-42CD-8F72-67DC8861C0D4}">
  <sheetPr>
    <tabColor rgb="FF0B3D91"/>
  </sheetPr>
  <dimension ref="A1:X53"/>
  <sheetViews>
    <sheetView zoomScaleNormal="100" workbookViewId="0">
      <selection activeCell="M61" sqref="M61"/>
    </sheetView>
  </sheetViews>
  <sheetFormatPr defaultRowHeight="13.8" x14ac:dyDescent="0.25"/>
  <cols>
    <col min="1" max="1" width="17.5546875" style="3" customWidth="1"/>
    <col min="2" max="2" width="53.77734375" style="3" customWidth="1"/>
    <col min="3" max="3" width="6.77734375" style="3" customWidth="1"/>
    <col min="4" max="23" width="11.44140625" style="104" bestFit="1" customWidth="1"/>
    <col min="24" max="24" width="13.21875" style="3" bestFit="1" customWidth="1"/>
    <col min="25" max="16384" width="8.88671875" style="3"/>
  </cols>
  <sheetData>
    <row r="1" spans="1:24" x14ac:dyDescent="0.25">
      <c r="A1" s="98" t="s">
        <v>32</v>
      </c>
      <c r="B1" s="98" t="s">
        <v>102</v>
      </c>
      <c r="C1" s="98" t="s">
        <v>88</v>
      </c>
      <c r="D1" s="97">
        <v>2021</v>
      </c>
      <c r="E1" s="98">
        <v>2022</v>
      </c>
      <c r="F1" s="97">
        <v>2023</v>
      </c>
      <c r="G1" s="98">
        <v>2024</v>
      </c>
      <c r="H1" s="97">
        <v>2025</v>
      </c>
      <c r="I1" s="98">
        <v>2026</v>
      </c>
      <c r="J1" s="97">
        <v>2027</v>
      </c>
      <c r="K1" s="98">
        <v>2028</v>
      </c>
      <c r="L1" s="97">
        <v>2029</v>
      </c>
      <c r="M1" s="98">
        <v>2030</v>
      </c>
      <c r="N1" s="97">
        <v>2031</v>
      </c>
      <c r="O1" s="98">
        <v>2032</v>
      </c>
      <c r="P1" s="97">
        <v>2033</v>
      </c>
      <c r="Q1" s="98">
        <v>2034</v>
      </c>
      <c r="R1" s="97">
        <v>2035</v>
      </c>
      <c r="S1" s="98">
        <v>2036</v>
      </c>
      <c r="T1" s="97">
        <v>2037</v>
      </c>
      <c r="U1" s="98">
        <v>2038</v>
      </c>
      <c r="V1" s="97">
        <v>2039</v>
      </c>
      <c r="W1" s="98">
        <v>2040</v>
      </c>
    </row>
    <row r="2" spans="1:24" x14ac:dyDescent="0.25">
      <c r="A2" s="46" t="s">
        <v>33</v>
      </c>
      <c r="B2" s="46" t="s">
        <v>57</v>
      </c>
      <c r="C2" s="135"/>
      <c r="D2" s="128">
        <f>IFERROR(INDEX(Minutes_by_use_case!$C$2:$C$9,MATCH($B2,Minutes_by_use_case!$A$2:$A$9,0)),"-")</f>
        <v>66700.388888888891</v>
      </c>
      <c r="E2" s="128">
        <f>IFERROR(INDEX(Minutes_by_use_case!$C$2:$C$9,MATCH($B2,Minutes_by_use_case!$A$2:$A$9,0)),"-")</f>
        <v>66700.388888888891</v>
      </c>
      <c r="F2" s="128">
        <f>IFERROR(INDEX(Minutes_by_use_case!$C$2:$C$9,MATCH($B2,Minutes_by_use_case!$A$2:$A$9,0)),"-")</f>
        <v>66700.388888888891</v>
      </c>
      <c r="G2" s="128">
        <f>IFERROR(INDEX(Minutes_by_use_case!$C$2:$C$9,MATCH($B2,Minutes_by_use_case!$A$2:$A$9,0)),"-")</f>
        <v>66700.388888888891</v>
      </c>
      <c r="H2" s="128">
        <f>IFERROR(INDEX(Minutes_by_use_case!$C$2:$C$9,MATCH($B2,Minutes_by_use_case!$A$2:$A$9,0)),"-")</f>
        <v>66700.388888888891</v>
      </c>
      <c r="I2" s="128">
        <f>IFERROR(INDEX(Minutes_by_use_case!$C$2:$C$9,MATCH($B2,Minutes_by_use_case!$A$2:$A$9,0)),"-")</f>
        <v>66700.388888888891</v>
      </c>
      <c r="J2" s="128">
        <f>IFERROR(INDEX(Minutes_by_use_case!$C$2:$C$9,MATCH($B2,Minutes_by_use_case!$A$2:$A$9,0)),"-")</f>
        <v>66700.388888888891</v>
      </c>
      <c r="K2" s="128">
        <f>IFERROR(INDEX(Minutes_by_use_case!$C$2:$C$9,MATCH($B2,Minutes_by_use_case!$A$2:$A$9,0)),"-")</f>
        <v>66700.388888888891</v>
      </c>
      <c r="L2" s="128">
        <f>IFERROR(INDEX(Minutes_by_use_case!$C$2:$C$9,MATCH($B2,Minutes_by_use_case!$A$2:$A$9,0)),"-")</f>
        <v>66700.388888888891</v>
      </c>
      <c r="M2" s="128">
        <f>IFERROR(INDEX(Minutes_by_use_case!$C$2:$C$9,MATCH($B2,Minutes_by_use_case!$A$2:$A$9,0)),"-")</f>
        <v>66700.388888888891</v>
      </c>
      <c r="N2" s="128">
        <f>IFERROR(INDEX(Minutes_by_use_case!$C$2:$C$9,MATCH($B2,Minutes_by_use_case!$A$2:$A$9,0)),"-")</f>
        <v>66700.388888888891</v>
      </c>
      <c r="O2" s="128">
        <f>IFERROR(INDEX(Minutes_by_use_case!$C$2:$C$9,MATCH($B2,Minutes_by_use_case!$A$2:$A$9,0)),"-")</f>
        <v>66700.388888888891</v>
      </c>
      <c r="P2" s="128">
        <f>IFERROR(INDEX(Minutes_by_use_case!$C$2:$C$9,MATCH($B2,Minutes_by_use_case!$A$2:$A$9,0)),"-")</f>
        <v>66700.388888888891</v>
      </c>
      <c r="Q2" s="128">
        <f>IFERROR(INDEX(Minutes_by_use_case!$C$2:$C$9,MATCH($B2,Minutes_by_use_case!$A$2:$A$9,0)),"-")</f>
        <v>66700.388888888891</v>
      </c>
      <c r="R2" s="128">
        <f>IFERROR(INDEX(Minutes_by_use_case!$C$2:$C$9,MATCH($B2,Minutes_by_use_case!$A$2:$A$9,0)),"-")</f>
        <v>66700.388888888891</v>
      </c>
      <c r="S2" s="128">
        <f>IFERROR(INDEX(Minutes_by_use_case!$C$2:$C$9,MATCH($B2,Minutes_by_use_case!$A$2:$A$9,0)),"-")</f>
        <v>66700.388888888891</v>
      </c>
      <c r="T2" s="128">
        <f>IFERROR(INDEX(Minutes_by_use_case!$C$2:$C$9,MATCH($B2,Minutes_by_use_case!$A$2:$A$9,0)),"-")</f>
        <v>66700.388888888891</v>
      </c>
      <c r="U2" s="128">
        <f>IFERROR(INDEX(Minutes_by_use_case!$C$2:$C$9,MATCH($B2,Minutes_by_use_case!$A$2:$A$9,0)),"-")</f>
        <v>66700.388888888891</v>
      </c>
      <c r="V2" s="128">
        <f>IFERROR(INDEX(Minutes_by_use_case!$C$2:$C$9,MATCH($B2,Minutes_by_use_case!$A$2:$A$9,0)),"-")</f>
        <v>66700.388888888891</v>
      </c>
      <c r="W2" s="128">
        <f>IFERROR(INDEX(Minutes_by_use_case!$C$2:$C$9,MATCH($B2,Minutes_by_use_case!$A$2:$A$9,0)),"-")</f>
        <v>66700.388888888891</v>
      </c>
      <c r="X2" s="36"/>
    </row>
    <row r="3" spans="1:24" x14ac:dyDescent="0.25">
      <c r="A3" s="46" t="s">
        <v>65</v>
      </c>
      <c r="B3" s="46" t="s">
        <v>57</v>
      </c>
      <c r="C3" s="135"/>
      <c r="D3" s="128">
        <f>IFERROR(INDEX(Minutes_by_use_case!$C$2:$C$9,MATCH($B3,Minutes_by_use_case!$A$2:$A$9,0)),"-")</f>
        <v>66700.388888888891</v>
      </c>
      <c r="E3" s="128">
        <f>IFERROR(INDEX(Minutes_by_use_case!$C$2:$C$9,MATCH($B3,Minutes_by_use_case!$A$2:$A$9,0)),"-")</f>
        <v>66700.388888888891</v>
      </c>
      <c r="F3" s="128">
        <f>IFERROR(INDEX(Minutes_by_use_case!$C$2:$C$9,MATCH($B3,Minutes_by_use_case!$A$2:$A$9,0)),"-")</f>
        <v>66700.388888888891</v>
      </c>
      <c r="G3" s="128">
        <f>IFERROR(INDEX(Minutes_by_use_case!$C$2:$C$9,MATCH($B3,Minutes_by_use_case!$A$2:$A$9,0)),"-")</f>
        <v>66700.388888888891</v>
      </c>
      <c r="H3" s="128">
        <f>IFERROR(INDEX(Minutes_by_use_case!$C$2:$C$9,MATCH($B3,Minutes_by_use_case!$A$2:$A$9,0)),"-")</f>
        <v>66700.388888888891</v>
      </c>
      <c r="I3" s="128">
        <f>IFERROR(INDEX(Minutes_by_use_case!$C$2:$C$9,MATCH($B3,Minutes_by_use_case!$A$2:$A$9,0)),"-")</f>
        <v>66700.388888888891</v>
      </c>
      <c r="J3" s="128">
        <f>IFERROR(INDEX(Minutes_by_use_case!$C$2:$C$9,MATCH($B3,Minutes_by_use_case!$A$2:$A$9,0)),"-")</f>
        <v>66700.388888888891</v>
      </c>
      <c r="K3" s="128">
        <f>IFERROR(INDEX(Minutes_by_use_case!$C$2:$C$9,MATCH($B3,Minutes_by_use_case!$A$2:$A$9,0)),"-")</f>
        <v>66700.388888888891</v>
      </c>
      <c r="L3" s="128">
        <f>IFERROR(INDEX(Minutes_by_use_case!$C$2:$C$9,MATCH($B3,Minutes_by_use_case!$A$2:$A$9,0)),"-")</f>
        <v>66700.388888888891</v>
      </c>
      <c r="M3" s="128">
        <f>IFERROR(INDEX(Minutes_by_use_case!$C$2:$C$9,MATCH($B3,Minutes_by_use_case!$A$2:$A$9,0)),"-")</f>
        <v>66700.388888888891</v>
      </c>
      <c r="N3" s="128">
        <f>IFERROR(INDEX(Minutes_by_use_case!$C$2:$C$9,MATCH($B3,Minutes_by_use_case!$A$2:$A$9,0)),"-")</f>
        <v>66700.388888888891</v>
      </c>
      <c r="O3" s="128">
        <f>IFERROR(INDEX(Minutes_by_use_case!$C$2:$C$9,MATCH($B3,Minutes_by_use_case!$A$2:$A$9,0)),"-")</f>
        <v>66700.388888888891</v>
      </c>
      <c r="P3" s="128">
        <f>IFERROR(INDEX(Minutes_by_use_case!$C$2:$C$9,MATCH($B3,Minutes_by_use_case!$A$2:$A$9,0)),"-")</f>
        <v>66700.388888888891</v>
      </c>
      <c r="Q3" s="128">
        <f>IFERROR(INDEX(Minutes_by_use_case!$C$2:$C$9,MATCH($B3,Minutes_by_use_case!$A$2:$A$9,0)),"-")</f>
        <v>66700.388888888891</v>
      </c>
      <c r="R3" s="128">
        <f>IFERROR(INDEX(Minutes_by_use_case!$C$2:$C$9,MATCH($B3,Minutes_by_use_case!$A$2:$A$9,0)),"-")</f>
        <v>66700.388888888891</v>
      </c>
      <c r="S3" s="128">
        <f>IFERROR(INDEX(Minutes_by_use_case!$C$2:$C$9,MATCH($B3,Minutes_by_use_case!$A$2:$A$9,0)),"-")</f>
        <v>66700.388888888891</v>
      </c>
      <c r="T3" s="128">
        <f>IFERROR(INDEX(Minutes_by_use_case!$C$2:$C$9,MATCH($B3,Minutes_by_use_case!$A$2:$A$9,0)),"-")</f>
        <v>66700.388888888891</v>
      </c>
      <c r="U3" s="128">
        <f>IFERROR(INDEX(Minutes_by_use_case!$C$2:$C$9,MATCH($B3,Minutes_by_use_case!$A$2:$A$9,0)),"-")</f>
        <v>66700.388888888891</v>
      </c>
      <c r="V3" s="128">
        <f>IFERROR(INDEX(Minutes_by_use_case!$C$2:$C$9,MATCH($B3,Minutes_by_use_case!$A$2:$A$9,0)),"-")</f>
        <v>66700.388888888891</v>
      </c>
      <c r="W3" s="128">
        <f>IFERROR(INDEX(Minutes_by_use_case!$C$2:$C$9,MATCH($B3,Minutes_by_use_case!$A$2:$A$9,0)),"-")</f>
        <v>66700.388888888891</v>
      </c>
    </row>
    <row r="4" spans="1:24" x14ac:dyDescent="0.25">
      <c r="A4" s="46" t="s">
        <v>67</v>
      </c>
      <c r="B4" s="46" t="s">
        <v>58</v>
      </c>
      <c r="C4" s="135"/>
      <c r="D4" s="128">
        <f>IFERROR(INDEX(Minutes_by_use_case!$C$2:$C$9,MATCH($B4,Minutes_by_use_case!$A$2:$A$9,0)),"-")</f>
        <v>2294</v>
      </c>
      <c r="E4" s="128">
        <f>IFERROR(INDEX(Minutes_by_use_case!$C$2:$C$9,MATCH($B4,Minutes_by_use_case!$A$2:$A$9,0)),"-")</f>
        <v>2294</v>
      </c>
      <c r="F4" s="128">
        <f>IFERROR(INDEX(Minutes_by_use_case!$C$2:$C$9,MATCH($B4,Minutes_by_use_case!$A$2:$A$9,0)),"-")</f>
        <v>2294</v>
      </c>
      <c r="G4" s="128">
        <f>IFERROR(INDEX(Minutes_by_use_case!$C$2:$C$9,MATCH($B4,Minutes_by_use_case!$A$2:$A$9,0)),"-")</f>
        <v>2294</v>
      </c>
      <c r="H4" s="128">
        <f>IFERROR(INDEX(Minutes_by_use_case!$C$2:$C$9,MATCH($B4,Minutes_by_use_case!$A$2:$A$9,0)),"-")</f>
        <v>2294</v>
      </c>
      <c r="I4" s="128">
        <f>IFERROR(INDEX(Minutes_by_use_case!$C$2:$C$9,MATCH($B4,Minutes_by_use_case!$A$2:$A$9,0)),"-")</f>
        <v>2294</v>
      </c>
      <c r="J4" s="128">
        <f>IFERROR(INDEX(Minutes_by_use_case!$C$2:$C$9,MATCH($B4,Minutes_by_use_case!$A$2:$A$9,0)),"-")</f>
        <v>2294</v>
      </c>
      <c r="K4" s="128">
        <f>IFERROR(INDEX(Minutes_by_use_case!$C$2:$C$9,MATCH($B4,Minutes_by_use_case!$A$2:$A$9,0)),"-")</f>
        <v>2294</v>
      </c>
      <c r="L4" s="128">
        <f>IFERROR(INDEX(Minutes_by_use_case!$C$2:$C$9,MATCH($B4,Minutes_by_use_case!$A$2:$A$9,0)),"-")</f>
        <v>2294</v>
      </c>
      <c r="M4" s="128">
        <f>IFERROR(INDEX(Minutes_by_use_case!$C$2:$C$9,MATCH($B4,Minutes_by_use_case!$A$2:$A$9,0)),"-")</f>
        <v>2294</v>
      </c>
      <c r="N4" s="128">
        <f>IFERROR(INDEX(Minutes_by_use_case!$C$2:$C$9,MATCH($B4,Minutes_by_use_case!$A$2:$A$9,0)),"-")</f>
        <v>2294</v>
      </c>
      <c r="O4" s="128">
        <f>IFERROR(INDEX(Minutes_by_use_case!$C$2:$C$9,MATCH($B4,Minutes_by_use_case!$A$2:$A$9,0)),"-")</f>
        <v>2294</v>
      </c>
      <c r="P4" s="128">
        <f>IFERROR(INDEX(Minutes_by_use_case!$C$2:$C$9,MATCH($B4,Minutes_by_use_case!$A$2:$A$9,0)),"-")</f>
        <v>2294</v>
      </c>
      <c r="Q4" s="128">
        <f>IFERROR(INDEX(Minutes_by_use_case!$C$2:$C$9,MATCH($B4,Minutes_by_use_case!$A$2:$A$9,0)),"-")</f>
        <v>2294</v>
      </c>
      <c r="R4" s="128">
        <f>IFERROR(INDEX(Minutes_by_use_case!$C$2:$C$9,MATCH($B4,Minutes_by_use_case!$A$2:$A$9,0)),"-")</f>
        <v>2294</v>
      </c>
      <c r="S4" s="128">
        <f>IFERROR(INDEX(Minutes_by_use_case!$C$2:$C$9,MATCH($B4,Minutes_by_use_case!$A$2:$A$9,0)),"-")</f>
        <v>2294</v>
      </c>
      <c r="T4" s="128">
        <f>IFERROR(INDEX(Minutes_by_use_case!$C$2:$C$9,MATCH($B4,Minutes_by_use_case!$A$2:$A$9,0)),"-")</f>
        <v>2294</v>
      </c>
      <c r="U4" s="128">
        <f>IFERROR(INDEX(Minutes_by_use_case!$C$2:$C$9,MATCH($B4,Minutes_by_use_case!$A$2:$A$9,0)),"-")</f>
        <v>2294</v>
      </c>
      <c r="V4" s="128">
        <f>IFERROR(INDEX(Minutes_by_use_case!$C$2:$C$9,MATCH($B4,Minutes_by_use_case!$A$2:$A$9,0)),"-")</f>
        <v>2294</v>
      </c>
      <c r="W4" s="128">
        <f>IFERROR(INDEX(Minutes_by_use_case!$C$2:$C$9,MATCH($B4,Minutes_by_use_case!$A$2:$A$9,0)),"-")</f>
        <v>2294</v>
      </c>
    </row>
    <row r="5" spans="1:24" x14ac:dyDescent="0.25">
      <c r="A5" s="46" t="s">
        <v>68</v>
      </c>
      <c r="B5" s="46" t="s">
        <v>57</v>
      </c>
      <c r="C5" s="135"/>
      <c r="D5" s="128">
        <f>IFERROR(INDEX(Minutes_by_use_case!$C$2:$C$9,MATCH($B5,Minutes_by_use_case!$A$2:$A$9,0)),"-")</f>
        <v>66700.388888888891</v>
      </c>
      <c r="E5" s="128">
        <f>IFERROR(INDEX(Minutes_by_use_case!$C$2:$C$9,MATCH($B5,Minutes_by_use_case!$A$2:$A$9,0)),"-")</f>
        <v>66700.388888888891</v>
      </c>
      <c r="F5" s="128">
        <f>IFERROR(INDEX(Minutes_by_use_case!$C$2:$C$9,MATCH($B5,Minutes_by_use_case!$A$2:$A$9,0)),"-")</f>
        <v>66700.388888888891</v>
      </c>
      <c r="G5" s="128">
        <f>IFERROR(INDEX(Minutes_by_use_case!$C$2:$C$9,MATCH($B5,Minutes_by_use_case!$A$2:$A$9,0)),"-")</f>
        <v>66700.388888888891</v>
      </c>
      <c r="H5" s="128">
        <f>IFERROR(INDEX(Minutes_by_use_case!$C$2:$C$9,MATCH($B5,Minutes_by_use_case!$A$2:$A$9,0)),"-")</f>
        <v>66700.388888888891</v>
      </c>
      <c r="I5" s="128">
        <f>IFERROR(INDEX(Minutes_by_use_case!$C$2:$C$9,MATCH($B5,Minutes_by_use_case!$A$2:$A$9,0)),"-")</f>
        <v>66700.388888888891</v>
      </c>
      <c r="J5" s="128">
        <f>IFERROR(INDEX(Minutes_by_use_case!$C$2:$C$9,MATCH($B5,Minutes_by_use_case!$A$2:$A$9,0)),"-")</f>
        <v>66700.388888888891</v>
      </c>
      <c r="K5" s="128">
        <f>IFERROR(INDEX(Minutes_by_use_case!$C$2:$C$9,MATCH($B5,Minutes_by_use_case!$A$2:$A$9,0)),"-")</f>
        <v>66700.388888888891</v>
      </c>
      <c r="L5" s="128">
        <f>IFERROR(INDEX(Minutes_by_use_case!$C$2:$C$9,MATCH($B5,Minutes_by_use_case!$A$2:$A$9,0)),"-")</f>
        <v>66700.388888888891</v>
      </c>
      <c r="M5" s="128">
        <f>IFERROR(INDEX(Minutes_by_use_case!$C$2:$C$9,MATCH($B5,Minutes_by_use_case!$A$2:$A$9,0)),"-")</f>
        <v>66700.388888888891</v>
      </c>
      <c r="N5" s="128">
        <f>IFERROR(INDEX(Minutes_by_use_case!$C$2:$C$9,MATCH($B5,Minutes_by_use_case!$A$2:$A$9,0)),"-")</f>
        <v>66700.388888888891</v>
      </c>
      <c r="O5" s="128">
        <f>IFERROR(INDEX(Minutes_by_use_case!$C$2:$C$9,MATCH($B5,Minutes_by_use_case!$A$2:$A$9,0)),"-")</f>
        <v>66700.388888888891</v>
      </c>
      <c r="P5" s="128">
        <f>IFERROR(INDEX(Minutes_by_use_case!$C$2:$C$9,MATCH($B5,Minutes_by_use_case!$A$2:$A$9,0)),"-")</f>
        <v>66700.388888888891</v>
      </c>
      <c r="Q5" s="128">
        <f>IFERROR(INDEX(Minutes_by_use_case!$C$2:$C$9,MATCH($B5,Minutes_by_use_case!$A$2:$A$9,0)),"-")</f>
        <v>66700.388888888891</v>
      </c>
      <c r="R5" s="128">
        <f>IFERROR(INDEX(Minutes_by_use_case!$C$2:$C$9,MATCH($B5,Minutes_by_use_case!$A$2:$A$9,0)),"-")</f>
        <v>66700.388888888891</v>
      </c>
      <c r="S5" s="128">
        <f>IFERROR(INDEX(Minutes_by_use_case!$C$2:$C$9,MATCH($B5,Minutes_by_use_case!$A$2:$A$9,0)),"-")</f>
        <v>66700.388888888891</v>
      </c>
      <c r="T5" s="128">
        <f>IFERROR(INDEX(Minutes_by_use_case!$C$2:$C$9,MATCH($B5,Minutes_by_use_case!$A$2:$A$9,0)),"-")</f>
        <v>66700.388888888891</v>
      </c>
      <c r="U5" s="128">
        <f>IFERROR(INDEX(Minutes_by_use_case!$C$2:$C$9,MATCH($B5,Minutes_by_use_case!$A$2:$A$9,0)),"-")</f>
        <v>66700.388888888891</v>
      </c>
      <c r="V5" s="128">
        <f>IFERROR(INDEX(Minutes_by_use_case!$C$2:$C$9,MATCH($B5,Minutes_by_use_case!$A$2:$A$9,0)),"-")</f>
        <v>66700.388888888891</v>
      </c>
      <c r="W5" s="128">
        <f>IFERROR(INDEX(Minutes_by_use_case!$C$2:$C$9,MATCH($B5,Minutes_by_use_case!$A$2:$A$9,0)),"-")</f>
        <v>66700.388888888891</v>
      </c>
    </row>
    <row r="6" spans="1:24" x14ac:dyDescent="0.25">
      <c r="A6" s="46" t="s">
        <v>34</v>
      </c>
      <c r="B6" s="46" t="s">
        <v>64</v>
      </c>
      <c r="C6" s="135"/>
      <c r="D6" s="128" t="str">
        <f>IFERROR(INDEX(Minutes_by_use_case!$C$2:$C$9,MATCH($B6,Minutes_by_use_case!$A$2:$A$9,0)),"-")</f>
        <v>-</v>
      </c>
      <c r="E6" s="128" t="str">
        <f>IFERROR(INDEX(Minutes_by_use_case!$C$2:$C$9,MATCH($B6,Minutes_by_use_case!$A$2:$A$9,0)),"-")</f>
        <v>-</v>
      </c>
      <c r="F6" s="128" t="str">
        <f>IFERROR(INDEX(Minutes_by_use_case!$C$2:$C$9,MATCH($B6,Minutes_by_use_case!$A$2:$A$9,0)),"-")</f>
        <v>-</v>
      </c>
      <c r="G6" s="128" t="str">
        <f>IFERROR(INDEX(Minutes_by_use_case!$C$2:$C$9,MATCH($B6,Minutes_by_use_case!$A$2:$A$9,0)),"-")</f>
        <v>-</v>
      </c>
      <c r="H6" s="128" t="str">
        <f>IFERROR(INDEX(Minutes_by_use_case!$C$2:$C$9,MATCH($B6,Minutes_by_use_case!$A$2:$A$9,0)),"-")</f>
        <v>-</v>
      </c>
      <c r="I6" s="128" t="str">
        <f>IFERROR(INDEX(Minutes_by_use_case!$C$2:$C$9,MATCH($B6,Minutes_by_use_case!$A$2:$A$9,0)),"-")</f>
        <v>-</v>
      </c>
      <c r="J6" s="128" t="str">
        <f>IFERROR(INDEX(Minutes_by_use_case!$C$2:$C$9,MATCH($B6,Minutes_by_use_case!$A$2:$A$9,0)),"-")</f>
        <v>-</v>
      </c>
      <c r="K6" s="128" t="str">
        <f>IFERROR(INDEX(Minutes_by_use_case!$C$2:$C$9,MATCH($B6,Minutes_by_use_case!$A$2:$A$9,0)),"-")</f>
        <v>-</v>
      </c>
      <c r="L6" s="128" t="str">
        <f>IFERROR(INDEX(Minutes_by_use_case!$C$2:$C$9,MATCH($B6,Minutes_by_use_case!$A$2:$A$9,0)),"-")</f>
        <v>-</v>
      </c>
      <c r="M6" s="128" t="str">
        <f>IFERROR(INDEX(Minutes_by_use_case!$C$2:$C$9,MATCH($B6,Minutes_by_use_case!$A$2:$A$9,0)),"-")</f>
        <v>-</v>
      </c>
      <c r="N6" s="128" t="str">
        <f>IFERROR(INDEX(Minutes_by_use_case!$C$2:$C$9,MATCH($B6,Minutes_by_use_case!$A$2:$A$9,0)),"-")</f>
        <v>-</v>
      </c>
      <c r="O6" s="128" t="str">
        <f>IFERROR(INDEX(Minutes_by_use_case!$C$2:$C$9,MATCH($B6,Minutes_by_use_case!$A$2:$A$9,0)),"-")</f>
        <v>-</v>
      </c>
      <c r="P6" s="128" t="str">
        <f>IFERROR(INDEX(Minutes_by_use_case!$C$2:$C$9,MATCH($B6,Minutes_by_use_case!$A$2:$A$9,0)),"-")</f>
        <v>-</v>
      </c>
      <c r="Q6" s="128" t="str">
        <f>IFERROR(INDEX(Minutes_by_use_case!$C$2:$C$9,MATCH($B6,Minutes_by_use_case!$A$2:$A$9,0)),"-")</f>
        <v>-</v>
      </c>
      <c r="R6" s="128" t="str">
        <f>IFERROR(INDEX(Minutes_by_use_case!$C$2:$C$9,MATCH($B6,Minutes_by_use_case!$A$2:$A$9,0)),"-")</f>
        <v>-</v>
      </c>
      <c r="S6" s="128" t="str">
        <f>IFERROR(INDEX(Minutes_by_use_case!$C$2:$C$9,MATCH($B6,Minutes_by_use_case!$A$2:$A$9,0)),"-")</f>
        <v>-</v>
      </c>
      <c r="T6" s="128" t="str">
        <f>IFERROR(INDEX(Minutes_by_use_case!$C$2:$C$9,MATCH($B6,Minutes_by_use_case!$A$2:$A$9,0)),"-")</f>
        <v>-</v>
      </c>
      <c r="U6" s="128" t="str">
        <f>IFERROR(INDEX(Minutes_by_use_case!$C$2:$C$9,MATCH($B6,Minutes_by_use_case!$A$2:$A$9,0)),"-")</f>
        <v>-</v>
      </c>
      <c r="V6" s="128" t="str">
        <f>IFERROR(INDEX(Minutes_by_use_case!$C$2:$C$9,MATCH($B6,Minutes_by_use_case!$A$2:$A$9,0)),"-")</f>
        <v>-</v>
      </c>
      <c r="W6" s="128" t="str">
        <f>IFERROR(INDEX(Minutes_by_use_case!$C$2:$C$9,MATCH($B6,Minutes_by_use_case!$A$2:$A$9,0)),"-")</f>
        <v>-</v>
      </c>
    </row>
    <row r="7" spans="1:24" x14ac:dyDescent="0.25">
      <c r="A7" s="46" t="s">
        <v>71</v>
      </c>
      <c r="B7" s="46" t="s">
        <v>58</v>
      </c>
      <c r="C7" s="135"/>
      <c r="D7" s="128">
        <f>IFERROR(INDEX(Minutes_by_use_case!$C$2:$C$9,MATCH($B7,Minutes_by_use_case!$A$2:$A$9,0)),"-")</f>
        <v>2294</v>
      </c>
      <c r="E7" s="128">
        <f>IFERROR(INDEX(Minutes_by_use_case!$C$2:$C$9,MATCH($B7,Minutes_by_use_case!$A$2:$A$9,0)),"-")</f>
        <v>2294</v>
      </c>
      <c r="F7" s="128">
        <f>IFERROR(INDEX(Minutes_by_use_case!$C$2:$C$9,MATCH($B7,Minutes_by_use_case!$A$2:$A$9,0)),"-")</f>
        <v>2294</v>
      </c>
      <c r="G7" s="128">
        <f>IFERROR(INDEX(Minutes_by_use_case!$C$2:$C$9,MATCH($B7,Minutes_by_use_case!$A$2:$A$9,0)),"-")</f>
        <v>2294</v>
      </c>
      <c r="H7" s="128">
        <f>IFERROR(INDEX(Minutes_by_use_case!$C$2:$C$9,MATCH($B7,Minutes_by_use_case!$A$2:$A$9,0)),"-")</f>
        <v>2294</v>
      </c>
      <c r="I7" s="128">
        <f>IFERROR(INDEX(Minutes_by_use_case!$C$2:$C$9,MATCH($B7,Minutes_by_use_case!$A$2:$A$9,0)),"-")</f>
        <v>2294</v>
      </c>
      <c r="J7" s="128">
        <f>IFERROR(INDEX(Minutes_by_use_case!$C$2:$C$9,MATCH($B7,Minutes_by_use_case!$A$2:$A$9,0)),"-")</f>
        <v>2294</v>
      </c>
      <c r="K7" s="128">
        <f>IFERROR(INDEX(Minutes_by_use_case!$C$2:$C$9,MATCH($B7,Minutes_by_use_case!$A$2:$A$9,0)),"-")</f>
        <v>2294</v>
      </c>
      <c r="L7" s="128">
        <f>IFERROR(INDEX(Minutes_by_use_case!$C$2:$C$9,MATCH($B7,Minutes_by_use_case!$A$2:$A$9,0)),"-")</f>
        <v>2294</v>
      </c>
      <c r="M7" s="128">
        <f>IFERROR(INDEX(Minutes_by_use_case!$C$2:$C$9,MATCH($B7,Minutes_by_use_case!$A$2:$A$9,0)),"-")</f>
        <v>2294</v>
      </c>
      <c r="N7" s="128">
        <f>IFERROR(INDEX(Minutes_by_use_case!$C$2:$C$9,MATCH($B7,Minutes_by_use_case!$A$2:$A$9,0)),"-")</f>
        <v>2294</v>
      </c>
      <c r="O7" s="128">
        <f>IFERROR(INDEX(Minutes_by_use_case!$C$2:$C$9,MATCH($B7,Minutes_by_use_case!$A$2:$A$9,0)),"-")</f>
        <v>2294</v>
      </c>
      <c r="P7" s="128">
        <f>IFERROR(INDEX(Minutes_by_use_case!$C$2:$C$9,MATCH($B7,Minutes_by_use_case!$A$2:$A$9,0)),"-")</f>
        <v>2294</v>
      </c>
      <c r="Q7" s="128">
        <f>IFERROR(INDEX(Minutes_by_use_case!$C$2:$C$9,MATCH($B7,Minutes_by_use_case!$A$2:$A$9,0)),"-")</f>
        <v>2294</v>
      </c>
      <c r="R7" s="128">
        <f>IFERROR(INDEX(Minutes_by_use_case!$C$2:$C$9,MATCH($B7,Minutes_by_use_case!$A$2:$A$9,0)),"-")</f>
        <v>2294</v>
      </c>
      <c r="S7" s="128">
        <f>IFERROR(INDEX(Minutes_by_use_case!$C$2:$C$9,MATCH($B7,Minutes_by_use_case!$A$2:$A$9,0)),"-")</f>
        <v>2294</v>
      </c>
      <c r="T7" s="128">
        <f>IFERROR(INDEX(Minutes_by_use_case!$C$2:$C$9,MATCH($B7,Minutes_by_use_case!$A$2:$A$9,0)),"-")</f>
        <v>2294</v>
      </c>
      <c r="U7" s="128">
        <f>IFERROR(INDEX(Minutes_by_use_case!$C$2:$C$9,MATCH($B7,Minutes_by_use_case!$A$2:$A$9,0)),"-")</f>
        <v>2294</v>
      </c>
      <c r="V7" s="128">
        <f>IFERROR(INDEX(Minutes_by_use_case!$C$2:$C$9,MATCH($B7,Minutes_by_use_case!$A$2:$A$9,0)),"-")</f>
        <v>2294</v>
      </c>
      <c r="W7" s="128">
        <f>IFERROR(INDEX(Minutes_by_use_case!$C$2:$C$9,MATCH($B7,Minutes_by_use_case!$A$2:$A$9,0)),"-")</f>
        <v>2294</v>
      </c>
    </row>
    <row r="8" spans="1:24" x14ac:dyDescent="0.25">
      <c r="A8" s="46" t="s">
        <v>72</v>
      </c>
      <c r="B8" s="46" t="s">
        <v>59</v>
      </c>
      <c r="C8" s="135"/>
      <c r="D8" s="128">
        <f>IFERROR(INDEX(Minutes_by_use_case!$C$2:$C$9,MATCH($B8,Minutes_by_use_case!$A$2:$A$9,0)),"-")</f>
        <v>114879</v>
      </c>
      <c r="E8" s="128">
        <f>IFERROR(INDEX(Minutes_by_use_case!$C$2:$C$9,MATCH($B8,Minutes_by_use_case!$A$2:$A$9,0)),"-")</f>
        <v>114879</v>
      </c>
      <c r="F8" s="128">
        <f>IFERROR(INDEX(Minutes_by_use_case!$C$2:$C$9,MATCH($B8,Minutes_by_use_case!$A$2:$A$9,0)),"-")</f>
        <v>114879</v>
      </c>
      <c r="G8" s="128">
        <f>IFERROR(INDEX(Minutes_by_use_case!$C$2:$C$9,MATCH($B8,Minutes_by_use_case!$A$2:$A$9,0)),"-")</f>
        <v>114879</v>
      </c>
      <c r="H8" s="128">
        <f>IFERROR(INDEX(Minutes_by_use_case!$C$2:$C$9,MATCH($B8,Minutes_by_use_case!$A$2:$A$9,0)),"-")</f>
        <v>114879</v>
      </c>
      <c r="I8" s="128">
        <f>IFERROR(INDEX(Minutes_by_use_case!$C$2:$C$9,MATCH($B8,Minutes_by_use_case!$A$2:$A$9,0)),"-")</f>
        <v>114879</v>
      </c>
      <c r="J8" s="128">
        <f>IFERROR(INDEX(Minutes_by_use_case!$C$2:$C$9,MATCH($B8,Minutes_by_use_case!$A$2:$A$9,0)),"-")</f>
        <v>114879</v>
      </c>
      <c r="K8" s="128">
        <f>IFERROR(INDEX(Minutes_by_use_case!$C$2:$C$9,MATCH($B8,Minutes_by_use_case!$A$2:$A$9,0)),"-")</f>
        <v>114879</v>
      </c>
      <c r="L8" s="128">
        <f>IFERROR(INDEX(Minutes_by_use_case!$C$2:$C$9,MATCH($B8,Minutes_by_use_case!$A$2:$A$9,0)),"-")</f>
        <v>114879</v>
      </c>
      <c r="M8" s="128">
        <f>IFERROR(INDEX(Minutes_by_use_case!$C$2:$C$9,MATCH($B8,Minutes_by_use_case!$A$2:$A$9,0)),"-")</f>
        <v>114879</v>
      </c>
      <c r="N8" s="128">
        <f>IFERROR(INDEX(Minutes_by_use_case!$C$2:$C$9,MATCH($B8,Minutes_by_use_case!$A$2:$A$9,0)),"-")</f>
        <v>114879</v>
      </c>
      <c r="O8" s="128">
        <f>IFERROR(INDEX(Minutes_by_use_case!$C$2:$C$9,MATCH($B8,Minutes_by_use_case!$A$2:$A$9,0)),"-")</f>
        <v>114879</v>
      </c>
      <c r="P8" s="128">
        <f>IFERROR(INDEX(Minutes_by_use_case!$C$2:$C$9,MATCH($B8,Minutes_by_use_case!$A$2:$A$9,0)),"-")</f>
        <v>114879</v>
      </c>
      <c r="Q8" s="128">
        <f>IFERROR(INDEX(Minutes_by_use_case!$C$2:$C$9,MATCH($B8,Minutes_by_use_case!$A$2:$A$9,0)),"-")</f>
        <v>114879</v>
      </c>
      <c r="R8" s="128">
        <f>IFERROR(INDEX(Minutes_by_use_case!$C$2:$C$9,MATCH($B8,Minutes_by_use_case!$A$2:$A$9,0)),"-")</f>
        <v>114879</v>
      </c>
      <c r="S8" s="128">
        <f>IFERROR(INDEX(Minutes_by_use_case!$C$2:$C$9,MATCH($B8,Minutes_by_use_case!$A$2:$A$9,0)),"-")</f>
        <v>114879</v>
      </c>
      <c r="T8" s="128">
        <f>IFERROR(INDEX(Minutes_by_use_case!$C$2:$C$9,MATCH($B8,Minutes_by_use_case!$A$2:$A$9,0)),"-")</f>
        <v>114879</v>
      </c>
      <c r="U8" s="128">
        <f>IFERROR(INDEX(Minutes_by_use_case!$C$2:$C$9,MATCH($B8,Minutes_by_use_case!$A$2:$A$9,0)),"-")</f>
        <v>114879</v>
      </c>
      <c r="V8" s="128">
        <f>IFERROR(INDEX(Minutes_by_use_case!$C$2:$C$9,MATCH($B8,Minutes_by_use_case!$A$2:$A$9,0)),"-")</f>
        <v>114879</v>
      </c>
      <c r="W8" s="128">
        <f>IFERROR(INDEX(Minutes_by_use_case!$C$2:$C$9,MATCH($B8,Minutes_by_use_case!$A$2:$A$9,0)),"-")</f>
        <v>114879</v>
      </c>
    </row>
    <row r="9" spans="1:24" x14ac:dyDescent="0.25">
      <c r="A9" s="46" t="s">
        <v>35</v>
      </c>
      <c r="B9" s="46" t="s">
        <v>57</v>
      </c>
      <c r="C9" s="135"/>
      <c r="D9" s="128">
        <f>IFERROR(INDEX(Minutes_by_use_case!$C$2:$C$9,MATCH($B9,Minutes_by_use_case!$A$2:$A$9,0)),"-")</f>
        <v>66700.388888888891</v>
      </c>
      <c r="E9" s="128">
        <f>IFERROR(INDEX(Minutes_by_use_case!$C$2:$C$9,MATCH($B9,Minutes_by_use_case!$A$2:$A$9,0)),"-")</f>
        <v>66700.388888888891</v>
      </c>
      <c r="F9" s="128">
        <f>IFERROR(INDEX(Minutes_by_use_case!$C$2:$C$9,MATCH($B9,Minutes_by_use_case!$A$2:$A$9,0)),"-")</f>
        <v>66700.388888888891</v>
      </c>
      <c r="G9" s="128">
        <f>IFERROR(INDEX(Minutes_by_use_case!$C$2:$C$9,MATCH($B9,Minutes_by_use_case!$A$2:$A$9,0)),"-")</f>
        <v>66700.388888888891</v>
      </c>
      <c r="H9" s="128">
        <f>IFERROR(INDEX(Minutes_by_use_case!$C$2:$C$9,MATCH($B9,Minutes_by_use_case!$A$2:$A$9,0)),"-")</f>
        <v>66700.388888888891</v>
      </c>
      <c r="I9" s="128">
        <f>IFERROR(INDEX(Minutes_by_use_case!$C$2:$C$9,MATCH($B9,Minutes_by_use_case!$A$2:$A$9,0)),"-")</f>
        <v>66700.388888888891</v>
      </c>
      <c r="J9" s="128">
        <f>IFERROR(INDEX(Minutes_by_use_case!$C$2:$C$9,MATCH($B9,Minutes_by_use_case!$A$2:$A$9,0)),"-")</f>
        <v>66700.388888888891</v>
      </c>
      <c r="K9" s="128">
        <f>IFERROR(INDEX(Minutes_by_use_case!$C$2:$C$9,MATCH($B9,Minutes_by_use_case!$A$2:$A$9,0)),"-")</f>
        <v>66700.388888888891</v>
      </c>
      <c r="L9" s="128">
        <f>IFERROR(INDEX(Minutes_by_use_case!$C$2:$C$9,MATCH($B9,Minutes_by_use_case!$A$2:$A$9,0)),"-")</f>
        <v>66700.388888888891</v>
      </c>
      <c r="M9" s="128">
        <f>IFERROR(INDEX(Minutes_by_use_case!$C$2:$C$9,MATCH($B9,Minutes_by_use_case!$A$2:$A$9,0)),"-")</f>
        <v>66700.388888888891</v>
      </c>
      <c r="N9" s="128">
        <f>IFERROR(INDEX(Minutes_by_use_case!$C$2:$C$9,MATCH($B9,Minutes_by_use_case!$A$2:$A$9,0)),"-")</f>
        <v>66700.388888888891</v>
      </c>
      <c r="O9" s="128">
        <f>IFERROR(INDEX(Minutes_by_use_case!$C$2:$C$9,MATCH($B9,Minutes_by_use_case!$A$2:$A$9,0)),"-")</f>
        <v>66700.388888888891</v>
      </c>
      <c r="P9" s="128">
        <f>IFERROR(INDEX(Minutes_by_use_case!$C$2:$C$9,MATCH($B9,Minutes_by_use_case!$A$2:$A$9,0)),"-")</f>
        <v>66700.388888888891</v>
      </c>
      <c r="Q9" s="128">
        <f>IFERROR(INDEX(Minutes_by_use_case!$C$2:$C$9,MATCH($B9,Minutes_by_use_case!$A$2:$A$9,0)),"-")</f>
        <v>66700.388888888891</v>
      </c>
      <c r="R9" s="128">
        <f>IFERROR(INDEX(Minutes_by_use_case!$C$2:$C$9,MATCH($B9,Minutes_by_use_case!$A$2:$A$9,0)),"-")</f>
        <v>66700.388888888891</v>
      </c>
      <c r="S9" s="128">
        <f>IFERROR(INDEX(Minutes_by_use_case!$C$2:$C$9,MATCH($B9,Minutes_by_use_case!$A$2:$A$9,0)),"-")</f>
        <v>66700.388888888891</v>
      </c>
      <c r="T9" s="128">
        <f>IFERROR(INDEX(Minutes_by_use_case!$C$2:$C$9,MATCH($B9,Minutes_by_use_case!$A$2:$A$9,0)),"-")</f>
        <v>66700.388888888891</v>
      </c>
      <c r="U9" s="128">
        <f>IFERROR(INDEX(Minutes_by_use_case!$C$2:$C$9,MATCH($B9,Minutes_by_use_case!$A$2:$A$9,0)),"-")</f>
        <v>66700.388888888891</v>
      </c>
      <c r="V9" s="128">
        <f>IFERROR(INDEX(Minutes_by_use_case!$C$2:$C$9,MATCH($B9,Minutes_by_use_case!$A$2:$A$9,0)),"-")</f>
        <v>66700.388888888891</v>
      </c>
      <c r="W9" s="128">
        <f>IFERROR(INDEX(Minutes_by_use_case!$C$2:$C$9,MATCH($B9,Minutes_by_use_case!$A$2:$A$9,0)),"-")</f>
        <v>66700.388888888891</v>
      </c>
    </row>
    <row r="10" spans="1:24" x14ac:dyDescent="0.25">
      <c r="A10" s="46" t="s">
        <v>36</v>
      </c>
      <c r="B10" s="46" t="s">
        <v>57</v>
      </c>
      <c r="C10" s="135"/>
      <c r="D10" s="128">
        <f>IFERROR(INDEX(Minutes_by_use_case!$C$2:$C$9,MATCH($B10,Minutes_by_use_case!$A$2:$A$9,0)),"-")</f>
        <v>66700.388888888891</v>
      </c>
      <c r="E10" s="128">
        <f>IFERROR(INDEX(Minutes_by_use_case!$C$2:$C$9,MATCH($B10,Minutes_by_use_case!$A$2:$A$9,0)),"-")</f>
        <v>66700.388888888891</v>
      </c>
      <c r="F10" s="128">
        <f>IFERROR(INDEX(Minutes_by_use_case!$C$2:$C$9,MATCH($B10,Minutes_by_use_case!$A$2:$A$9,0)),"-")</f>
        <v>66700.388888888891</v>
      </c>
      <c r="G10" s="128">
        <f>IFERROR(INDEX(Minutes_by_use_case!$C$2:$C$9,MATCH($B10,Minutes_by_use_case!$A$2:$A$9,0)),"-")</f>
        <v>66700.388888888891</v>
      </c>
      <c r="H10" s="128">
        <f>IFERROR(INDEX(Minutes_by_use_case!$C$2:$C$9,MATCH($B10,Minutes_by_use_case!$A$2:$A$9,0)),"-")</f>
        <v>66700.388888888891</v>
      </c>
      <c r="I10" s="128">
        <f>IFERROR(INDEX(Minutes_by_use_case!$C$2:$C$9,MATCH($B10,Minutes_by_use_case!$A$2:$A$9,0)),"-")</f>
        <v>66700.388888888891</v>
      </c>
      <c r="J10" s="128">
        <f>IFERROR(INDEX(Minutes_by_use_case!$C$2:$C$9,MATCH($B10,Minutes_by_use_case!$A$2:$A$9,0)),"-")</f>
        <v>66700.388888888891</v>
      </c>
      <c r="K10" s="128">
        <f>IFERROR(INDEX(Minutes_by_use_case!$C$2:$C$9,MATCH($B10,Minutes_by_use_case!$A$2:$A$9,0)),"-")</f>
        <v>66700.388888888891</v>
      </c>
      <c r="L10" s="128">
        <f>IFERROR(INDEX(Minutes_by_use_case!$C$2:$C$9,MATCH($B10,Minutes_by_use_case!$A$2:$A$9,0)),"-")</f>
        <v>66700.388888888891</v>
      </c>
      <c r="M10" s="128">
        <f>IFERROR(INDEX(Minutes_by_use_case!$C$2:$C$9,MATCH($B10,Minutes_by_use_case!$A$2:$A$9,0)),"-")</f>
        <v>66700.388888888891</v>
      </c>
      <c r="N10" s="128">
        <f>IFERROR(INDEX(Minutes_by_use_case!$C$2:$C$9,MATCH($B10,Minutes_by_use_case!$A$2:$A$9,0)),"-")</f>
        <v>66700.388888888891</v>
      </c>
      <c r="O10" s="128">
        <f>IFERROR(INDEX(Minutes_by_use_case!$C$2:$C$9,MATCH($B10,Minutes_by_use_case!$A$2:$A$9,0)),"-")</f>
        <v>66700.388888888891</v>
      </c>
      <c r="P10" s="128">
        <f>IFERROR(INDEX(Minutes_by_use_case!$C$2:$C$9,MATCH($B10,Minutes_by_use_case!$A$2:$A$9,0)),"-")</f>
        <v>66700.388888888891</v>
      </c>
      <c r="Q10" s="128">
        <f>IFERROR(INDEX(Minutes_by_use_case!$C$2:$C$9,MATCH($B10,Minutes_by_use_case!$A$2:$A$9,0)),"-")</f>
        <v>66700.388888888891</v>
      </c>
      <c r="R10" s="128">
        <f>IFERROR(INDEX(Minutes_by_use_case!$C$2:$C$9,MATCH($B10,Minutes_by_use_case!$A$2:$A$9,0)),"-")</f>
        <v>66700.388888888891</v>
      </c>
      <c r="S10" s="128">
        <f>IFERROR(INDEX(Minutes_by_use_case!$C$2:$C$9,MATCH($B10,Minutes_by_use_case!$A$2:$A$9,0)),"-")</f>
        <v>66700.388888888891</v>
      </c>
      <c r="T10" s="128">
        <f>IFERROR(INDEX(Minutes_by_use_case!$C$2:$C$9,MATCH($B10,Minutes_by_use_case!$A$2:$A$9,0)),"-")</f>
        <v>66700.388888888891</v>
      </c>
      <c r="U10" s="128">
        <f>IFERROR(INDEX(Minutes_by_use_case!$C$2:$C$9,MATCH($B10,Minutes_by_use_case!$A$2:$A$9,0)),"-")</f>
        <v>66700.388888888891</v>
      </c>
      <c r="V10" s="128">
        <f>IFERROR(INDEX(Minutes_by_use_case!$C$2:$C$9,MATCH($B10,Minutes_by_use_case!$A$2:$A$9,0)),"-")</f>
        <v>66700.388888888891</v>
      </c>
      <c r="W10" s="128">
        <f>IFERROR(INDEX(Minutes_by_use_case!$C$2:$C$9,MATCH($B10,Minutes_by_use_case!$A$2:$A$9,0)),"-")</f>
        <v>66700.388888888891</v>
      </c>
    </row>
    <row r="11" spans="1:24" x14ac:dyDescent="0.25">
      <c r="A11" s="46" t="s">
        <v>37</v>
      </c>
      <c r="B11" s="46" t="s">
        <v>57</v>
      </c>
      <c r="C11" s="135"/>
      <c r="D11" s="128">
        <f>IFERROR(INDEX(Minutes_by_use_case!$C$2:$C$9,MATCH($B11,Minutes_by_use_case!$A$2:$A$9,0)),"-")</f>
        <v>66700.388888888891</v>
      </c>
      <c r="E11" s="128">
        <f>IFERROR(INDEX(Minutes_by_use_case!$C$2:$C$9,MATCH($B11,Minutes_by_use_case!$A$2:$A$9,0)),"-")</f>
        <v>66700.388888888891</v>
      </c>
      <c r="F11" s="128">
        <f>IFERROR(INDEX(Minutes_by_use_case!$C$2:$C$9,MATCH($B11,Minutes_by_use_case!$A$2:$A$9,0)),"-")</f>
        <v>66700.388888888891</v>
      </c>
      <c r="G11" s="128">
        <f>IFERROR(INDEX(Minutes_by_use_case!$C$2:$C$9,MATCH($B11,Minutes_by_use_case!$A$2:$A$9,0)),"-")</f>
        <v>66700.388888888891</v>
      </c>
      <c r="H11" s="128">
        <f>IFERROR(INDEX(Minutes_by_use_case!$C$2:$C$9,MATCH($B11,Minutes_by_use_case!$A$2:$A$9,0)),"-")</f>
        <v>66700.388888888891</v>
      </c>
      <c r="I11" s="128">
        <f>IFERROR(INDEX(Minutes_by_use_case!$C$2:$C$9,MATCH($B11,Minutes_by_use_case!$A$2:$A$9,0)),"-")</f>
        <v>66700.388888888891</v>
      </c>
      <c r="J11" s="128">
        <f>IFERROR(INDEX(Minutes_by_use_case!$C$2:$C$9,MATCH($B11,Minutes_by_use_case!$A$2:$A$9,0)),"-")</f>
        <v>66700.388888888891</v>
      </c>
      <c r="K11" s="128">
        <f>IFERROR(INDEX(Minutes_by_use_case!$C$2:$C$9,MATCH($B11,Minutes_by_use_case!$A$2:$A$9,0)),"-")</f>
        <v>66700.388888888891</v>
      </c>
      <c r="L11" s="128">
        <f>IFERROR(INDEX(Minutes_by_use_case!$C$2:$C$9,MATCH($B11,Minutes_by_use_case!$A$2:$A$9,0)),"-")</f>
        <v>66700.388888888891</v>
      </c>
      <c r="M11" s="128">
        <f>IFERROR(INDEX(Minutes_by_use_case!$C$2:$C$9,MATCH($B11,Minutes_by_use_case!$A$2:$A$9,0)),"-")</f>
        <v>66700.388888888891</v>
      </c>
      <c r="N11" s="128">
        <f>IFERROR(INDEX(Minutes_by_use_case!$C$2:$C$9,MATCH($B11,Minutes_by_use_case!$A$2:$A$9,0)),"-")</f>
        <v>66700.388888888891</v>
      </c>
      <c r="O11" s="128">
        <f>IFERROR(INDEX(Minutes_by_use_case!$C$2:$C$9,MATCH($B11,Minutes_by_use_case!$A$2:$A$9,0)),"-")</f>
        <v>66700.388888888891</v>
      </c>
      <c r="P11" s="128">
        <f>IFERROR(INDEX(Minutes_by_use_case!$C$2:$C$9,MATCH($B11,Minutes_by_use_case!$A$2:$A$9,0)),"-")</f>
        <v>66700.388888888891</v>
      </c>
      <c r="Q11" s="128">
        <f>IFERROR(INDEX(Minutes_by_use_case!$C$2:$C$9,MATCH($B11,Minutes_by_use_case!$A$2:$A$9,0)),"-")</f>
        <v>66700.388888888891</v>
      </c>
      <c r="R11" s="128">
        <f>IFERROR(INDEX(Minutes_by_use_case!$C$2:$C$9,MATCH($B11,Minutes_by_use_case!$A$2:$A$9,0)),"-")</f>
        <v>66700.388888888891</v>
      </c>
      <c r="S11" s="128">
        <f>IFERROR(INDEX(Minutes_by_use_case!$C$2:$C$9,MATCH($B11,Minutes_by_use_case!$A$2:$A$9,0)),"-")</f>
        <v>66700.388888888891</v>
      </c>
      <c r="T11" s="128">
        <f>IFERROR(INDEX(Minutes_by_use_case!$C$2:$C$9,MATCH($B11,Minutes_by_use_case!$A$2:$A$9,0)),"-")</f>
        <v>66700.388888888891</v>
      </c>
      <c r="U11" s="128">
        <f>IFERROR(INDEX(Minutes_by_use_case!$C$2:$C$9,MATCH($B11,Minutes_by_use_case!$A$2:$A$9,0)),"-")</f>
        <v>66700.388888888891</v>
      </c>
      <c r="V11" s="128">
        <f>IFERROR(INDEX(Minutes_by_use_case!$C$2:$C$9,MATCH($B11,Minutes_by_use_case!$A$2:$A$9,0)),"-")</f>
        <v>66700.388888888891</v>
      </c>
      <c r="W11" s="128">
        <f>IFERROR(INDEX(Minutes_by_use_case!$C$2:$C$9,MATCH($B11,Minutes_by_use_case!$A$2:$A$9,0)),"-")</f>
        <v>66700.388888888891</v>
      </c>
    </row>
    <row r="12" spans="1:24" x14ac:dyDescent="0.25">
      <c r="A12" s="46" t="s">
        <v>73</v>
      </c>
      <c r="B12" s="46" t="s">
        <v>57</v>
      </c>
      <c r="C12" s="135"/>
      <c r="D12" s="128">
        <f>IFERROR(INDEX(Minutes_by_use_case!$C$2:$C$9,MATCH($B12,Minutes_by_use_case!$A$2:$A$9,0)),"-")</f>
        <v>66700.388888888891</v>
      </c>
      <c r="E12" s="128">
        <f>IFERROR(INDEX(Minutes_by_use_case!$C$2:$C$9,MATCH($B12,Minutes_by_use_case!$A$2:$A$9,0)),"-")</f>
        <v>66700.388888888891</v>
      </c>
      <c r="F12" s="128">
        <f>IFERROR(INDEX(Minutes_by_use_case!$C$2:$C$9,MATCH($B12,Minutes_by_use_case!$A$2:$A$9,0)),"-")</f>
        <v>66700.388888888891</v>
      </c>
      <c r="G12" s="128">
        <f>IFERROR(INDEX(Minutes_by_use_case!$C$2:$C$9,MATCH($B12,Minutes_by_use_case!$A$2:$A$9,0)),"-")</f>
        <v>66700.388888888891</v>
      </c>
      <c r="H12" s="128">
        <f>IFERROR(INDEX(Minutes_by_use_case!$C$2:$C$9,MATCH($B12,Minutes_by_use_case!$A$2:$A$9,0)),"-")</f>
        <v>66700.388888888891</v>
      </c>
      <c r="I12" s="128">
        <f>IFERROR(INDEX(Minutes_by_use_case!$C$2:$C$9,MATCH($B12,Minutes_by_use_case!$A$2:$A$9,0)),"-")</f>
        <v>66700.388888888891</v>
      </c>
      <c r="J12" s="128">
        <f>IFERROR(INDEX(Minutes_by_use_case!$C$2:$C$9,MATCH($B12,Minutes_by_use_case!$A$2:$A$9,0)),"-")</f>
        <v>66700.388888888891</v>
      </c>
      <c r="K12" s="128">
        <f>IFERROR(INDEX(Minutes_by_use_case!$C$2:$C$9,MATCH($B12,Minutes_by_use_case!$A$2:$A$9,0)),"-")</f>
        <v>66700.388888888891</v>
      </c>
      <c r="L12" s="128">
        <f>IFERROR(INDEX(Minutes_by_use_case!$C$2:$C$9,MATCH($B12,Minutes_by_use_case!$A$2:$A$9,0)),"-")</f>
        <v>66700.388888888891</v>
      </c>
      <c r="M12" s="128">
        <f>IFERROR(INDEX(Minutes_by_use_case!$C$2:$C$9,MATCH($B12,Minutes_by_use_case!$A$2:$A$9,0)),"-")</f>
        <v>66700.388888888891</v>
      </c>
      <c r="N12" s="128">
        <f>IFERROR(INDEX(Minutes_by_use_case!$C$2:$C$9,MATCH($B12,Minutes_by_use_case!$A$2:$A$9,0)),"-")</f>
        <v>66700.388888888891</v>
      </c>
      <c r="O12" s="128">
        <f>IFERROR(INDEX(Minutes_by_use_case!$C$2:$C$9,MATCH($B12,Minutes_by_use_case!$A$2:$A$9,0)),"-")</f>
        <v>66700.388888888891</v>
      </c>
      <c r="P12" s="128">
        <f>IFERROR(INDEX(Minutes_by_use_case!$C$2:$C$9,MATCH($B12,Minutes_by_use_case!$A$2:$A$9,0)),"-")</f>
        <v>66700.388888888891</v>
      </c>
      <c r="Q12" s="128">
        <f>IFERROR(INDEX(Minutes_by_use_case!$C$2:$C$9,MATCH($B12,Minutes_by_use_case!$A$2:$A$9,0)),"-")</f>
        <v>66700.388888888891</v>
      </c>
      <c r="R12" s="128">
        <f>IFERROR(INDEX(Minutes_by_use_case!$C$2:$C$9,MATCH($B12,Minutes_by_use_case!$A$2:$A$9,0)),"-")</f>
        <v>66700.388888888891</v>
      </c>
      <c r="S12" s="128">
        <f>IFERROR(INDEX(Minutes_by_use_case!$C$2:$C$9,MATCH($B12,Minutes_by_use_case!$A$2:$A$9,0)),"-")</f>
        <v>66700.388888888891</v>
      </c>
      <c r="T12" s="128">
        <f>IFERROR(INDEX(Minutes_by_use_case!$C$2:$C$9,MATCH($B12,Minutes_by_use_case!$A$2:$A$9,0)),"-")</f>
        <v>66700.388888888891</v>
      </c>
      <c r="U12" s="128">
        <f>IFERROR(INDEX(Minutes_by_use_case!$C$2:$C$9,MATCH($B12,Minutes_by_use_case!$A$2:$A$9,0)),"-")</f>
        <v>66700.388888888891</v>
      </c>
      <c r="V12" s="128">
        <f>IFERROR(INDEX(Minutes_by_use_case!$C$2:$C$9,MATCH($B12,Minutes_by_use_case!$A$2:$A$9,0)),"-")</f>
        <v>66700.388888888891</v>
      </c>
      <c r="W12" s="128">
        <f>IFERROR(INDEX(Minutes_by_use_case!$C$2:$C$9,MATCH($B12,Minutes_by_use_case!$A$2:$A$9,0)),"-")</f>
        <v>66700.388888888891</v>
      </c>
    </row>
    <row r="13" spans="1:24" x14ac:dyDescent="0.25">
      <c r="A13" s="46" t="s">
        <v>38</v>
      </c>
      <c r="B13" s="46" t="s">
        <v>57</v>
      </c>
      <c r="C13" s="135"/>
      <c r="D13" s="128">
        <f>IFERROR(INDEX(Minutes_by_use_case!$C$2:$C$9,MATCH($B13,Minutes_by_use_case!$A$2:$A$9,0)),"-")</f>
        <v>66700.388888888891</v>
      </c>
      <c r="E13" s="128">
        <f>IFERROR(INDEX(Minutes_by_use_case!$C$2:$C$9,MATCH($B13,Minutes_by_use_case!$A$2:$A$9,0)),"-")</f>
        <v>66700.388888888891</v>
      </c>
      <c r="F13" s="128">
        <f>IFERROR(INDEX(Minutes_by_use_case!$C$2:$C$9,MATCH($B13,Minutes_by_use_case!$A$2:$A$9,0)),"-")</f>
        <v>66700.388888888891</v>
      </c>
      <c r="G13" s="128">
        <f>IFERROR(INDEX(Minutes_by_use_case!$C$2:$C$9,MATCH($B13,Minutes_by_use_case!$A$2:$A$9,0)),"-")</f>
        <v>66700.388888888891</v>
      </c>
      <c r="H13" s="128">
        <f>IFERROR(INDEX(Minutes_by_use_case!$C$2:$C$9,MATCH($B13,Minutes_by_use_case!$A$2:$A$9,0)),"-")</f>
        <v>66700.388888888891</v>
      </c>
      <c r="I13" s="128">
        <f>IFERROR(INDEX(Minutes_by_use_case!$C$2:$C$9,MATCH($B13,Minutes_by_use_case!$A$2:$A$9,0)),"-")</f>
        <v>66700.388888888891</v>
      </c>
      <c r="J13" s="128">
        <f>IFERROR(INDEX(Minutes_by_use_case!$C$2:$C$9,MATCH($B13,Minutes_by_use_case!$A$2:$A$9,0)),"-")</f>
        <v>66700.388888888891</v>
      </c>
      <c r="K13" s="128">
        <f>IFERROR(INDEX(Minutes_by_use_case!$C$2:$C$9,MATCH($B13,Minutes_by_use_case!$A$2:$A$9,0)),"-")</f>
        <v>66700.388888888891</v>
      </c>
      <c r="L13" s="128">
        <f>IFERROR(INDEX(Minutes_by_use_case!$C$2:$C$9,MATCH($B13,Minutes_by_use_case!$A$2:$A$9,0)),"-")</f>
        <v>66700.388888888891</v>
      </c>
      <c r="M13" s="128">
        <f>IFERROR(INDEX(Minutes_by_use_case!$C$2:$C$9,MATCH($B13,Minutes_by_use_case!$A$2:$A$9,0)),"-")</f>
        <v>66700.388888888891</v>
      </c>
      <c r="N13" s="128">
        <f>IFERROR(INDEX(Minutes_by_use_case!$C$2:$C$9,MATCH($B13,Minutes_by_use_case!$A$2:$A$9,0)),"-")</f>
        <v>66700.388888888891</v>
      </c>
      <c r="O13" s="128">
        <f>IFERROR(INDEX(Minutes_by_use_case!$C$2:$C$9,MATCH($B13,Minutes_by_use_case!$A$2:$A$9,0)),"-")</f>
        <v>66700.388888888891</v>
      </c>
      <c r="P13" s="128">
        <f>IFERROR(INDEX(Minutes_by_use_case!$C$2:$C$9,MATCH($B13,Minutes_by_use_case!$A$2:$A$9,0)),"-")</f>
        <v>66700.388888888891</v>
      </c>
      <c r="Q13" s="128">
        <f>IFERROR(INDEX(Minutes_by_use_case!$C$2:$C$9,MATCH($B13,Minutes_by_use_case!$A$2:$A$9,0)),"-")</f>
        <v>66700.388888888891</v>
      </c>
      <c r="R13" s="128">
        <f>IFERROR(INDEX(Minutes_by_use_case!$C$2:$C$9,MATCH($B13,Minutes_by_use_case!$A$2:$A$9,0)),"-")</f>
        <v>66700.388888888891</v>
      </c>
      <c r="S13" s="128">
        <f>IFERROR(INDEX(Minutes_by_use_case!$C$2:$C$9,MATCH($B13,Minutes_by_use_case!$A$2:$A$9,0)),"-")</f>
        <v>66700.388888888891</v>
      </c>
      <c r="T13" s="128">
        <f>IFERROR(INDEX(Minutes_by_use_case!$C$2:$C$9,MATCH($B13,Minutes_by_use_case!$A$2:$A$9,0)),"-")</f>
        <v>66700.388888888891</v>
      </c>
      <c r="U13" s="128">
        <f>IFERROR(INDEX(Minutes_by_use_case!$C$2:$C$9,MATCH($B13,Minutes_by_use_case!$A$2:$A$9,0)),"-")</f>
        <v>66700.388888888891</v>
      </c>
      <c r="V13" s="128">
        <f>IFERROR(INDEX(Minutes_by_use_case!$C$2:$C$9,MATCH($B13,Minutes_by_use_case!$A$2:$A$9,0)),"-")</f>
        <v>66700.388888888891</v>
      </c>
      <c r="W13" s="128">
        <f>IFERROR(INDEX(Minutes_by_use_case!$C$2:$C$9,MATCH($B13,Minutes_by_use_case!$A$2:$A$9,0)),"-")</f>
        <v>66700.388888888891</v>
      </c>
    </row>
    <row r="14" spans="1:24" x14ac:dyDescent="0.25">
      <c r="A14" s="46" t="s">
        <v>39</v>
      </c>
      <c r="B14" s="46" t="s">
        <v>59</v>
      </c>
      <c r="C14" s="135"/>
      <c r="D14" s="128">
        <f>IFERROR(INDEX(Minutes_by_use_case!$C$2:$C$9,MATCH($B14,Minutes_by_use_case!$A$2:$A$9,0)),"-")</f>
        <v>114879</v>
      </c>
      <c r="E14" s="128">
        <f>IFERROR(INDEX(Minutes_by_use_case!$C$2:$C$9,MATCH($B14,Minutes_by_use_case!$A$2:$A$9,0)),"-")</f>
        <v>114879</v>
      </c>
      <c r="F14" s="128">
        <f>IFERROR(INDEX(Minutes_by_use_case!$C$2:$C$9,MATCH($B14,Minutes_by_use_case!$A$2:$A$9,0)),"-")</f>
        <v>114879</v>
      </c>
      <c r="G14" s="128">
        <f>IFERROR(INDEX(Minutes_by_use_case!$C$2:$C$9,MATCH($B14,Minutes_by_use_case!$A$2:$A$9,0)),"-")</f>
        <v>114879</v>
      </c>
      <c r="H14" s="128">
        <f>IFERROR(INDEX(Minutes_by_use_case!$C$2:$C$9,MATCH($B14,Minutes_by_use_case!$A$2:$A$9,0)),"-")</f>
        <v>114879</v>
      </c>
      <c r="I14" s="128">
        <f>IFERROR(INDEX(Minutes_by_use_case!$C$2:$C$9,MATCH($B14,Minutes_by_use_case!$A$2:$A$9,0)),"-")</f>
        <v>114879</v>
      </c>
      <c r="J14" s="128">
        <f>IFERROR(INDEX(Minutes_by_use_case!$C$2:$C$9,MATCH($B14,Minutes_by_use_case!$A$2:$A$9,0)),"-")</f>
        <v>114879</v>
      </c>
      <c r="K14" s="128">
        <f>IFERROR(INDEX(Minutes_by_use_case!$C$2:$C$9,MATCH($B14,Minutes_by_use_case!$A$2:$A$9,0)),"-")</f>
        <v>114879</v>
      </c>
      <c r="L14" s="128">
        <f>IFERROR(INDEX(Minutes_by_use_case!$C$2:$C$9,MATCH($B14,Minutes_by_use_case!$A$2:$A$9,0)),"-")</f>
        <v>114879</v>
      </c>
      <c r="M14" s="128">
        <f>IFERROR(INDEX(Minutes_by_use_case!$C$2:$C$9,MATCH($B14,Minutes_by_use_case!$A$2:$A$9,0)),"-")</f>
        <v>114879</v>
      </c>
      <c r="N14" s="128">
        <f>IFERROR(INDEX(Minutes_by_use_case!$C$2:$C$9,MATCH($B14,Minutes_by_use_case!$A$2:$A$9,0)),"-")</f>
        <v>114879</v>
      </c>
      <c r="O14" s="128">
        <f>IFERROR(INDEX(Minutes_by_use_case!$C$2:$C$9,MATCH($B14,Minutes_by_use_case!$A$2:$A$9,0)),"-")</f>
        <v>114879</v>
      </c>
      <c r="P14" s="128">
        <f>IFERROR(INDEX(Minutes_by_use_case!$C$2:$C$9,MATCH($B14,Minutes_by_use_case!$A$2:$A$9,0)),"-")</f>
        <v>114879</v>
      </c>
      <c r="Q14" s="128">
        <f>IFERROR(INDEX(Minutes_by_use_case!$C$2:$C$9,MATCH($B14,Minutes_by_use_case!$A$2:$A$9,0)),"-")</f>
        <v>114879</v>
      </c>
      <c r="R14" s="128">
        <f>IFERROR(INDEX(Minutes_by_use_case!$C$2:$C$9,MATCH($B14,Minutes_by_use_case!$A$2:$A$9,0)),"-")</f>
        <v>114879</v>
      </c>
      <c r="S14" s="128">
        <f>IFERROR(INDEX(Minutes_by_use_case!$C$2:$C$9,MATCH($B14,Minutes_by_use_case!$A$2:$A$9,0)),"-")</f>
        <v>114879</v>
      </c>
      <c r="T14" s="128">
        <f>IFERROR(INDEX(Minutes_by_use_case!$C$2:$C$9,MATCH($B14,Minutes_by_use_case!$A$2:$A$9,0)),"-")</f>
        <v>114879</v>
      </c>
      <c r="U14" s="128">
        <f>IFERROR(INDEX(Minutes_by_use_case!$C$2:$C$9,MATCH($B14,Minutes_by_use_case!$A$2:$A$9,0)),"-")</f>
        <v>114879</v>
      </c>
      <c r="V14" s="128">
        <f>IFERROR(INDEX(Minutes_by_use_case!$C$2:$C$9,MATCH($B14,Minutes_by_use_case!$A$2:$A$9,0)),"-")</f>
        <v>114879</v>
      </c>
      <c r="W14" s="128">
        <f>IFERROR(INDEX(Minutes_by_use_case!$C$2:$C$9,MATCH($B14,Minutes_by_use_case!$A$2:$A$9,0)),"-")</f>
        <v>114879</v>
      </c>
    </row>
    <row r="15" spans="1:24" x14ac:dyDescent="0.25">
      <c r="A15" s="46" t="s">
        <v>40</v>
      </c>
      <c r="B15" s="46" t="s">
        <v>58</v>
      </c>
      <c r="C15" s="135"/>
      <c r="D15" s="128">
        <f>IFERROR(INDEX(Minutes_by_use_case!$C$2:$C$9,MATCH($B15,Minutes_by_use_case!$A$2:$A$9,0)),"-")</f>
        <v>2294</v>
      </c>
      <c r="E15" s="128">
        <f>IFERROR(INDEX(Minutes_by_use_case!$C$2:$C$9,MATCH($B15,Minutes_by_use_case!$A$2:$A$9,0)),"-")</f>
        <v>2294</v>
      </c>
      <c r="F15" s="128">
        <f>IFERROR(INDEX(Minutes_by_use_case!$C$2:$C$9,MATCH($B15,Minutes_by_use_case!$A$2:$A$9,0)),"-")</f>
        <v>2294</v>
      </c>
      <c r="G15" s="128">
        <f>IFERROR(INDEX(Minutes_by_use_case!$C$2:$C$9,MATCH($B15,Minutes_by_use_case!$A$2:$A$9,0)),"-")</f>
        <v>2294</v>
      </c>
      <c r="H15" s="128">
        <f>IFERROR(INDEX(Minutes_by_use_case!$C$2:$C$9,MATCH($B15,Minutes_by_use_case!$A$2:$A$9,0)),"-")</f>
        <v>2294</v>
      </c>
      <c r="I15" s="128">
        <f>IFERROR(INDEX(Minutes_by_use_case!$C$2:$C$9,MATCH($B15,Minutes_by_use_case!$A$2:$A$9,0)),"-")</f>
        <v>2294</v>
      </c>
      <c r="J15" s="128">
        <f>IFERROR(INDEX(Minutes_by_use_case!$C$2:$C$9,MATCH($B15,Minutes_by_use_case!$A$2:$A$9,0)),"-")</f>
        <v>2294</v>
      </c>
      <c r="K15" s="128">
        <f>IFERROR(INDEX(Minutes_by_use_case!$C$2:$C$9,MATCH($B15,Minutes_by_use_case!$A$2:$A$9,0)),"-")</f>
        <v>2294</v>
      </c>
      <c r="L15" s="128">
        <f>IFERROR(INDEX(Minutes_by_use_case!$C$2:$C$9,MATCH($B15,Minutes_by_use_case!$A$2:$A$9,0)),"-")</f>
        <v>2294</v>
      </c>
      <c r="M15" s="128">
        <f>IFERROR(INDEX(Minutes_by_use_case!$C$2:$C$9,MATCH($B15,Minutes_by_use_case!$A$2:$A$9,0)),"-")</f>
        <v>2294</v>
      </c>
      <c r="N15" s="128">
        <f>IFERROR(INDEX(Minutes_by_use_case!$C$2:$C$9,MATCH($B15,Minutes_by_use_case!$A$2:$A$9,0)),"-")</f>
        <v>2294</v>
      </c>
      <c r="O15" s="128">
        <f>IFERROR(INDEX(Minutes_by_use_case!$C$2:$C$9,MATCH($B15,Minutes_by_use_case!$A$2:$A$9,0)),"-")</f>
        <v>2294</v>
      </c>
      <c r="P15" s="128">
        <f>IFERROR(INDEX(Minutes_by_use_case!$C$2:$C$9,MATCH($B15,Minutes_by_use_case!$A$2:$A$9,0)),"-")</f>
        <v>2294</v>
      </c>
      <c r="Q15" s="128">
        <f>IFERROR(INDEX(Minutes_by_use_case!$C$2:$C$9,MATCH($B15,Minutes_by_use_case!$A$2:$A$9,0)),"-")</f>
        <v>2294</v>
      </c>
      <c r="R15" s="128">
        <f>IFERROR(INDEX(Minutes_by_use_case!$C$2:$C$9,MATCH($B15,Minutes_by_use_case!$A$2:$A$9,0)),"-")</f>
        <v>2294</v>
      </c>
      <c r="S15" s="128">
        <f>IFERROR(INDEX(Minutes_by_use_case!$C$2:$C$9,MATCH($B15,Minutes_by_use_case!$A$2:$A$9,0)),"-")</f>
        <v>2294</v>
      </c>
      <c r="T15" s="128">
        <f>IFERROR(INDEX(Minutes_by_use_case!$C$2:$C$9,MATCH($B15,Minutes_by_use_case!$A$2:$A$9,0)),"-")</f>
        <v>2294</v>
      </c>
      <c r="U15" s="128">
        <f>IFERROR(INDEX(Minutes_by_use_case!$C$2:$C$9,MATCH($B15,Minutes_by_use_case!$A$2:$A$9,0)),"-")</f>
        <v>2294</v>
      </c>
      <c r="V15" s="128">
        <f>IFERROR(INDEX(Minutes_by_use_case!$C$2:$C$9,MATCH($B15,Minutes_by_use_case!$A$2:$A$9,0)),"-")</f>
        <v>2294</v>
      </c>
      <c r="W15" s="128">
        <f>IFERROR(INDEX(Minutes_by_use_case!$C$2:$C$9,MATCH($B15,Minutes_by_use_case!$A$2:$A$9,0)),"-")</f>
        <v>2294</v>
      </c>
    </row>
    <row r="16" spans="1:24" x14ac:dyDescent="0.25">
      <c r="A16" s="46" t="s">
        <v>41</v>
      </c>
      <c r="B16" s="46" t="s">
        <v>60</v>
      </c>
      <c r="C16" s="135"/>
      <c r="D16" s="128">
        <f>IFERROR(INDEX(Minutes_by_use_case!$C$2:$C$9,MATCH($B16,Minutes_by_use_case!$A$2:$A$9,0)),"-")</f>
        <v>460.5</v>
      </c>
      <c r="E16" s="128">
        <f>IFERROR(INDEX(Minutes_by_use_case!$C$2:$C$9,MATCH($B16,Minutes_by_use_case!$A$2:$A$9,0)),"-")</f>
        <v>460.5</v>
      </c>
      <c r="F16" s="128">
        <f>IFERROR(INDEX(Minutes_by_use_case!$C$2:$C$9,MATCH($B16,Minutes_by_use_case!$A$2:$A$9,0)),"-")</f>
        <v>460.5</v>
      </c>
      <c r="G16" s="128">
        <f>IFERROR(INDEX(Minutes_by_use_case!$C$2:$C$9,MATCH($B16,Minutes_by_use_case!$A$2:$A$9,0)),"-")</f>
        <v>460.5</v>
      </c>
      <c r="H16" s="128">
        <f>IFERROR(INDEX(Minutes_by_use_case!$C$2:$C$9,MATCH($B16,Minutes_by_use_case!$A$2:$A$9,0)),"-")</f>
        <v>460.5</v>
      </c>
      <c r="I16" s="128">
        <f>IFERROR(INDEX(Minutes_by_use_case!$C$2:$C$9,MATCH($B16,Minutes_by_use_case!$A$2:$A$9,0)),"-")</f>
        <v>460.5</v>
      </c>
      <c r="J16" s="128">
        <f>IFERROR(INDEX(Minutes_by_use_case!$C$2:$C$9,MATCH($B16,Minutes_by_use_case!$A$2:$A$9,0)),"-")</f>
        <v>460.5</v>
      </c>
      <c r="K16" s="128">
        <f>IFERROR(INDEX(Minutes_by_use_case!$C$2:$C$9,MATCH($B16,Minutes_by_use_case!$A$2:$A$9,0)),"-")</f>
        <v>460.5</v>
      </c>
      <c r="L16" s="128">
        <f>IFERROR(INDEX(Minutes_by_use_case!$C$2:$C$9,MATCH($B16,Minutes_by_use_case!$A$2:$A$9,0)),"-")</f>
        <v>460.5</v>
      </c>
      <c r="M16" s="128">
        <f>IFERROR(INDEX(Minutes_by_use_case!$C$2:$C$9,MATCH($B16,Minutes_by_use_case!$A$2:$A$9,0)),"-")</f>
        <v>460.5</v>
      </c>
      <c r="N16" s="128">
        <f>IFERROR(INDEX(Minutes_by_use_case!$C$2:$C$9,MATCH($B16,Minutes_by_use_case!$A$2:$A$9,0)),"-")</f>
        <v>460.5</v>
      </c>
      <c r="O16" s="128">
        <f>IFERROR(INDEX(Minutes_by_use_case!$C$2:$C$9,MATCH($B16,Minutes_by_use_case!$A$2:$A$9,0)),"-")</f>
        <v>460.5</v>
      </c>
      <c r="P16" s="128">
        <f>IFERROR(INDEX(Minutes_by_use_case!$C$2:$C$9,MATCH($B16,Minutes_by_use_case!$A$2:$A$9,0)),"-")</f>
        <v>460.5</v>
      </c>
      <c r="Q16" s="128">
        <f>IFERROR(INDEX(Minutes_by_use_case!$C$2:$C$9,MATCH($B16,Minutes_by_use_case!$A$2:$A$9,0)),"-")</f>
        <v>460.5</v>
      </c>
      <c r="R16" s="128">
        <f>IFERROR(INDEX(Minutes_by_use_case!$C$2:$C$9,MATCH($B16,Minutes_by_use_case!$A$2:$A$9,0)),"-")</f>
        <v>460.5</v>
      </c>
      <c r="S16" s="128">
        <f>IFERROR(INDEX(Minutes_by_use_case!$C$2:$C$9,MATCH($B16,Minutes_by_use_case!$A$2:$A$9,0)),"-")</f>
        <v>460.5</v>
      </c>
      <c r="T16" s="128">
        <f>IFERROR(INDEX(Minutes_by_use_case!$C$2:$C$9,MATCH($B16,Minutes_by_use_case!$A$2:$A$9,0)),"-")</f>
        <v>460.5</v>
      </c>
      <c r="U16" s="128">
        <f>IFERROR(INDEX(Minutes_by_use_case!$C$2:$C$9,MATCH($B16,Minutes_by_use_case!$A$2:$A$9,0)),"-")</f>
        <v>460.5</v>
      </c>
      <c r="V16" s="128">
        <f>IFERROR(INDEX(Minutes_by_use_case!$C$2:$C$9,MATCH($B16,Minutes_by_use_case!$A$2:$A$9,0)),"-")</f>
        <v>460.5</v>
      </c>
      <c r="W16" s="128">
        <f>IFERROR(INDEX(Minutes_by_use_case!$C$2:$C$9,MATCH($B16,Minutes_by_use_case!$A$2:$A$9,0)),"-")</f>
        <v>460.5</v>
      </c>
    </row>
    <row r="17" spans="1:23" x14ac:dyDescent="0.25">
      <c r="A17" s="46" t="s">
        <v>74</v>
      </c>
      <c r="B17" s="46" t="s">
        <v>57</v>
      </c>
      <c r="C17" s="135"/>
      <c r="D17" s="128">
        <f>IFERROR(INDEX(Minutes_by_use_case!$C$2:$C$9,MATCH($B17,Minutes_by_use_case!$A$2:$A$9,0)),"-")</f>
        <v>66700.388888888891</v>
      </c>
      <c r="E17" s="128">
        <f>IFERROR(INDEX(Minutes_by_use_case!$C$2:$C$9,MATCH($B17,Minutes_by_use_case!$A$2:$A$9,0)),"-")</f>
        <v>66700.388888888891</v>
      </c>
      <c r="F17" s="128">
        <f>IFERROR(INDEX(Minutes_by_use_case!$C$2:$C$9,MATCH($B17,Minutes_by_use_case!$A$2:$A$9,0)),"-")</f>
        <v>66700.388888888891</v>
      </c>
      <c r="G17" s="128">
        <f>IFERROR(INDEX(Minutes_by_use_case!$C$2:$C$9,MATCH($B17,Minutes_by_use_case!$A$2:$A$9,0)),"-")</f>
        <v>66700.388888888891</v>
      </c>
      <c r="H17" s="128">
        <f>IFERROR(INDEX(Minutes_by_use_case!$C$2:$C$9,MATCH($B17,Minutes_by_use_case!$A$2:$A$9,0)),"-")</f>
        <v>66700.388888888891</v>
      </c>
      <c r="I17" s="128">
        <f>IFERROR(INDEX(Minutes_by_use_case!$C$2:$C$9,MATCH($B17,Minutes_by_use_case!$A$2:$A$9,0)),"-")</f>
        <v>66700.388888888891</v>
      </c>
      <c r="J17" s="128">
        <f>IFERROR(INDEX(Minutes_by_use_case!$C$2:$C$9,MATCH($B17,Minutes_by_use_case!$A$2:$A$9,0)),"-")</f>
        <v>66700.388888888891</v>
      </c>
      <c r="K17" s="128">
        <f>IFERROR(INDEX(Minutes_by_use_case!$C$2:$C$9,MATCH($B17,Minutes_by_use_case!$A$2:$A$9,0)),"-")</f>
        <v>66700.388888888891</v>
      </c>
      <c r="L17" s="128">
        <f>IFERROR(INDEX(Minutes_by_use_case!$C$2:$C$9,MATCH($B17,Minutes_by_use_case!$A$2:$A$9,0)),"-")</f>
        <v>66700.388888888891</v>
      </c>
      <c r="M17" s="128">
        <f>IFERROR(INDEX(Minutes_by_use_case!$C$2:$C$9,MATCH($B17,Minutes_by_use_case!$A$2:$A$9,0)),"-")</f>
        <v>66700.388888888891</v>
      </c>
      <c r="N17" s="128">
        <f>IFERROR(INDEX(Minutes_by_use_case!$C$2:$C$9,MATCH($B17,Minutes_by_use_case!$A$2:$A$9,0)),"-")</f>
        <v>66700.388888888891</v>
      </c>
      <c r="O17" s="128">
        <f>IFERROR(INDEX(Minutes_by_use_case!$C$2:$C$9,MATCH($B17,Minutes_by_use_case!$A$2:$A$9,0)),"-")</f>
        <v>66700.388888888891</v>
      </c>
      <c r="P17" s="128">
        <f>IFERROR(INDEX(Minutes_by_use_case!$C$2:$C$9,MATCH($B17,Minutes_by_use_case!$A$2:$A$9,0)),"-")</f>
        <v>66700.388888888891</v>
      </c>
      <c r="Q17" s="128">
        <f>IFERROR(INDEX(Minutes_by_use_case!$C$2:$C$9,MATCH($B17,Minutes_by_use_case!$A$2:$A$9,0)),"-")</f>
        <v>66700.388888888891</v>
      </c>
      <c r="R17" s="128">
        <f>IFERROR(INDEX(Minutes_by_use_case!$C$2:$C$9,MATCH($B17,Minutes_by_use_case!$A$2:$A$9,0)),"-")</f>
        <v>66700.388888888891</v>
      </c>
      <c r="S17" s="128">
        <f>IFERROR(INDEX(Minutes_by_use_case!$C$2:$C$9,MATCH($B17,Minutes_by_use_case!$A$2:$A$9,0)),"-")</f>
        <v>66700.388888888891</v>
      </c>
      <c r="T17" s="128">
        <f>IFERROR(INDEX(Minutes_by_use_case!$C$2:$C$9,MATCH($B17,Minutes_by_use_case!$A$2:$A$9,0)),"-")</f>
        <v>66700.388888888891</v>
      </c>
      <c r="U17" s="128">
        <f>IFERROR(INDEX(Minutes_by_use_case!$C$2:$C$9,MATCH($B17,Minutes_by_use_case!$A$2:$A$9,0)),"-")</f>
        <v>66700.388888888891</v>
      </c>
      <c r="V17" s="128">
        <f>IFERROR(INDEX(Minutes_by_use_case!$C$2:$C$9,MATCH($B17,Minutes_by_use_case!$A$2:$A$9,0)),"-")</f>
        <v>66700.388888888891</v>
      </c>
      <c r="W17" s="128">
        <f>IFERROR(INDEX(Minutes_by_use_case!$C$2:$C$9,MATCH($B17,Minutes_by_use_case!$A$2:$A$9,0)),"-")</f>
        <v>66700.388888888891</v>
      </c>
    </row>
    <row r="18" spans="1:23" x14ac:dyDescent="0.25">
      <c r="A18" s="46" t="s">
        <v>75</v>
      </c>
      <c r="B18" s="46" t="s">
        <v>57</v>
      </c>
      <c r="C18" s="135"/>
      <c r="D18" s="128">
        <f>IFERROR(INDEX(Minutes_by_use_case!$C$2:$C$9,MATCH($B18,Minutes_by_use_case!$A$2:$A$9,0)),"-")</f>
        <v>66700.388888888891</v>
      </c>
      <c r="E18" s="128">
        <f>IFERROR(INDEX(Minutes_by_use_case!$C$2:$C$9,MATCH($B18,Minutes_by_use_case!$A$2:$A$9,0)),"-")</f>
        <v>66700.388888888891</v>
      </c>
      <c r="F18" s="128">
        <f>IFERROR(INDEX(Minutes_by_use_case!$C$2:$C$9,MATCH($B18,Minutes_by_use_case!$A$2:$A$9,0)),"-")</f>
        <v>66700.388888888891</v>
      </c>
      <c r="G18" s="128">
        <f>IFERROR(INDEX(Minutes_by_use_case!$C$2:$C$9,MATCH($B18,Minutes_by_use_case!$A$2:$A$9,0)),"-")</f>
        <v>66700.388888888891</v>
      </c>
      <c r="H18" s="128">
        <f>IFERROR(INDEX(Minutes_by_use_case!$C$2:$C$9,MATCH($B18,Minutes_by_use_case!$A$2:$A$9,0)),"-")</f>
        <v>66700.388888888891</v>
      </c>
      <c r="I18" s="128">
        <f>IFERROR(INDEX(Minutes_by_use_case!$C$2:$C$9,MATCH($B18,Minutes_by_use_case!$A$2:$A$9,0)),"-")</f>
        <v>66700.388888888891</v>
      </c>
      <c r="J18" s="128">
        <f>IFERROR(INDEX(Minutes_by_use_case!$C$2:$C$9,MATCH($B18,Minutes_by_use_case!$A$2:$A$9,0)),"-")</f>
        <v>66700.388888888891</v>
      </c>
      <c r="K18" s="128">
        <f>IFERROR(INDEX(Minutes_by_use_case!$C$2:$C$9,MATCH($B18,Minutes_by_use_case!$A$2:$A$9,0)),"-")</f>
        <v>66700.388888888891</v>
      </c>
      <c r="L18" s="128">
        <f>IFERROR(INDEX(Minutes_by_use_case!$C$2:$C$9,MATCH($B18,Minutes_by_use_case!$A$2:$A$9,0)),"-")</f>
        <v>66700.388888888891</v>
      </c>
      <c r="M18" s="128">
        <f>IFERROR(INDEX(Minutes_by_use_case!$C$2:$C$9,MATCH($B18,Minutes_by_use_case!$A$2:$A$9,0)),"-")</f>
        <v>66700.388888888891</v>
      </c>
      <c r="N18" s="128">
        <f>IFERROR(INDEX(Minutes_by_use_case!$C$2:$C$9,MATCH($B18,Minutes_by_use_case!$A$2:$A$9,0)),"-")</f>
        <v>66700.388888888891</v>
      </c>
      <c r="O18" s="128">
        <f>IFERROR(INDEX(Minutes_by_use_case!$C$2:$C$9,MATCH($B18,Minutes_by_use_case!$A$2:$A$9,0)),"-")</f>
        <v>66700.388888888891</v>
      </c>
      <c r="P18" s="128">
        <f>IFERROR(INDEX(Minutes_by_use_case!$C$2:$C$9,MATCH($B18,Minutes_by_use_case!$A$2:$A$9,0)),"-")</f>
        <v>66700.388888888891</v>
      </c>
      <c r="Q18" s="128">
        <f>IFERROR(INDEX(Minutes_by_use_case!$C$2:$C$9,MATCH($B18,Minutes_by_use_case!$A$2:$A$9,0)),"-")</f>
        <v>66700.388888888891</v>
      </c>
      <c r="R18" s="128">
        <f>IFERROR(INDEX(Minutes_by_use_case!$C$2:$C$9,MATCH($B18,Minutes_by_use_case!$A$2:$A$9,0)),"-")</f>
        <v>66700.388888888891</v>
      </c>
      <c r="S18" s="128">
        <f>IFERROR(INDEX(Minutes_by_use_case!$C$2:$C$9,MATCH($B18,Minutes_by_use_case!$A$2:$A$9,0)),"-")</f>
        <v>66700.388888888891</v>
      </c>
      <c r="T18" s="128">
        <f>IFERROR(INDEX(Minutes_by_use_case!$C$2:$C$9,MATCH($B18,Minutes_by_use_case!$A$2:$A$9,0)),"-")</f>
        <v>66700.388888888891</v>
      </c>
      <c r="U18" s="128">
        <f>IFERROR(INDEX(Minutes_by_use_case!$C$2:$C$9,MATCH($B18,Minutes_by_use_case!$A$2:$A$9,0)),"-")</f>
        <v>66700.388888888891</v>
      </c>
      <c r="V18" s="128">
        <f>IFERROR(INDEX(Minutes_by_use_case!$C$2:$C$9,MATCH($B18,Minutes_by_use_case!$A$2:$A$9,0)),"-")</f>
        <v>66700.388888888891</v>
      </c>
      <c r="W18" s="128">
        <f>IFERROR(INDEX(Minutes_by_use_case!$C$2:$C$9,MATCH($B18,Minutes_by_use_case!$A$2:$A$9,0)),"-")</f>
        <v>66700.388888888891</v>
      </c>
    </row>
    <row r="19" spans="1:23" x14ac:dyDescent="0.25">
      <c r="A19" s="46" t="s">
        <v>76</v>
      </c>
      <c r="B19" s="46" t="s">
        <v>57</v>
      </c>
      <c r="C19" s="135"/>
      <c r="D19" s="128">
        <f>IFERROR(INDEX(Minutes_by_use_case!$C$2:$C$9,MATCH($B19,Minutes_by_use_case!$A$2:$A$9,0)),"-")</f>
        <v>66700.388888888891</v>
      </c>
      <c r="E19" s="128">
        <f>IFERROR(INDEX(Minutes_by_use_case!$C$2:$C$9,MATCH($B19,Minutes_by_use_case!$A$2:$A$9,0)),"-")</f>
        <v>66700.388888888891</v>
      </c>
      <c r="F19" s="128">
        <f>IFERROR(INDEX(Minutes_by_use_case!$C$2:$C$9,MATCH($B19,Minutes_by_use_case!$A$2:$A$9,0)),"-")</f>
        <v>66700.388888888891</v>
      </c>
      <c r="G19" s="128">
        <f>IFERROR(INDEX(Minutes_by_use_case!$C$2:$C$9,MATCH($B19,Minutes_by_use_case!$A$2:$A$9,0)),"-")</f>
        <v>66700.388888888891</v>
      </c>
      <c r="H19" s="128">
        <f>IFERROR(INDEX(Minutes_by_use_case!$C$2:$C$9,MATCH($B19,Minutes_by_use_case!$A$2:$A$9,0)),"-")</f>
        <v>66700.388888888891</v>
      </c>
      <c r="I19" s="128">
        <f>IFERROR(INDEX(Minutes_by_use_case!$C$2:$C$9,MATCH($B19,Minutes_by_use_case!$A$2:$A$9,0)),"-")</f>
        <v>66700.388888888891</v>
      </c>
      <c r="J19" s="128">
        <f>IFERROR(INDEX(Minutes_by_use_case!$C$2:$C$9,MATCH($B19,Minutes_by_use_case!$A$2:$A$9,0)),"-")</f>
        <v>66700.388888888891</v>
      </c>
      <c r="K19" s="128">
        <f>IFERROR(INDEX(Minutes_by_use_case!$C$2:$C$9,MATCH($B19,Minutes_by_use_case!$A$2:$A$9,0)),"-")</f>
        <v>66700.388888888891</v>
      </c>
      <c r="L19" s="128">
        <f>IFERROR(INDEX(Minutes_by_use_case!$C$2:$C$9,MATCH($B19,Minutes_by_use_case!$A$2:$A$9,0)),"-")</f>
        <v>66700.388888888891</v>
      </c>
      <c r="M19" s="128">
        <f>IFERROR(INDEX(Minutes_by_use_case!$C$2:$C$9,MATCH($B19,Minutes_by_use_case!$A$2:$A$9,0)),"-")</f>
        <v>66700.388888888891</v>
      </c>
      <c r="N19" s="128">
        <f>IFERROR(INDEX(Minutes_by_use_case!$C$2:$C$9,MATCH($B19,Minutes_by_use_case!$A$2:$A$9,0)),"-")</f>
        <v>66700.388888888891</v>
      </c>
      <c r="O19" s="128">
        <f>IFERROR(INDEX(Minutes_by_use_case!$C$2:$C$9,MATCH($B19,Minutes_by_use_case!$A$2:$A$9,0)),"-")</f>
        <v>66700.388888888891</v>
      </c>
      <c r="P19" s="128">
        <f>IFERROR(INDEX(Minutes_by_use_case!$C$2:$C$9,MATCH($B19,Minutes_by_use_case!$A$2:$A$9,0)),"-")</f>
        <v>66700.388888888891</v>
      </c>
      <c r="Q19" s="128">
        <f>IFERROR(INDEX(Minutes_by_use_case!$C$2:$C$9,MATCH($B19,Minutes_by_use_case!$A$2:$A$9,0)),"-")</f>
        <v>66700.388888888891</v>
      </c>
      <c r="R19" s="128">
        <f>IFERROR(INDEX(Minutes_by_use_case!$C$2:$C$9,MATCH($B19,Minutes_by_use_case!$A$2:$A$9,0)),"-")</f>
        <v>66700.388888888891</v>
      </c>
      <c r="S19" s="128">
        <f>IFERROR(INDEX(Minutes_by_use_case!$C$2:$C$9,MATCH($B19,Minutes_by_use_case!$A$2:$A$9,0)),"-")</f>
        <v>66700.388888888891</v>
      </c>
      <c r="T19" s="128">
        <f>IFERROR(INDEX(Minutes_by_use_case!$C$2:$C$9,MATCH($B19,Minutes_by_use_case!$A$2:$A$9,0)),"-")</f>
        <v>66700.388888888891</v>
      </c>
      <c r="U19" s="128">
        <f>IFERROR(INDEX(Minutes_by_use_case!$C$2:$C$9,MATCH($B19,Minutes_by_use_case!$A$2:$A$9,0)),"-")</f>
        <v>66700.388888888891</v>
      </c>
      <c r="V19" s="128">
        <f>IFERROR(INDEX(Minutes_by_use_case!$C$2:$C$9,MATCH($B19,Minutes_by_use_case!$A$2:$A$9,0)),"-")</f>
        <v>66700.388888888891</v>
      </c>
      <c r="W19" s="128">
        <f>IFERROR(INDEX(Minutes_by_use_case!$C$2:$C$9,MATCH($B19,Minutes_by_use_case!$A$2:$A$9,0)),"-")</f>
        <v>66700.388888888891</v>
      </c>
    </row>
    <row r="20" spans="1:23" x14ac:dyDescent="0.25">
      <c r="A20" s="46" t="s">
        <v>42</v>
      </c>
      <c r="B20" s="46" t="s">
        <v>61</v>
      </c>
      <c r="C20" s="135"/>
      <c r="D20" s="128">
        <f>IFERROR(INDEX(Minutes_by_use_case!$C$2:$C$9,MATCH($B20,Minutes_by_use_case!$A$2:$A$9,0)),"-")</f>
        <v>33739.333333333336</v>
      </c>
      <c r="E20" s="128">
        <f>IFERROR(INDEX(Minutes_by_use_case!$C$2:$C$9,MATCH($B20,Minutes_by_use_case!$A$2:$A$9,0)),"-")</f>
        <v>33739.333333333336</v>
      </c>
      <c r="F20" s="128">
        <f>IFERROR(INDEX(Minutes_by_use_case!$C$2:$C$9,MATCH($B20,Minutes_by_use_case!$A$2:$A$9,0)),"-")</f>
        <v>33739.333333333336</v>
      </c>
      <c r="G20" s="128">
        <f>IFERROR(INDEX(Minutes_by_use_case!$C$2:$C$9,MATCH($B20,Minutes_by_use_case!$A$2:$A$9,0)),"-")</f>
        <v>33739.333333333336</v>
      </c>
      <c r="H20" s="128">
        <f>IFERROR(INDEX(Minutes_by_use_case!$C$2:$C$9,MATCH($B20,Minutes_by_use_case!$A$2:$A$9,0)),"-")</f>
        <v>33739.333333333336</v>
      </c>
      <c r="I20" s="128">
        <f>IFERROR(INDEX(Minutes_by_use_case!$C$2:$C$9,MATCH($B20,Minutes_by_use_case!$A$2:$A$9,0)),"-")</f>
        <v>33739.333333333336</v>
      </c>
      <c r="J20" s="128">
        <f>IFERROR(INDEX(Minutes_by_use_case!$C$2:$C$9,MATCH($B20,Minutes_by_use_case!$A$2:$A$9,0)),"-")</f>
        <v>33739.333333333336</v>
      </c>
      <c r="K20" s="128">
        <f>IFERROR(INDEX(Minutes_by_use_case!$C$2:$C$9,MATCH($B20,Minutes_by_use_case!$A$2:$A$9,0)),"-")</f>
        <v>33739.333333333336</v>
      </c>
      <c r="L20" s="128">
        <f>IFERROR(INDEX(Minutes_by_use_case!$C$2:$C$9,MATCH($B20,Minutes_by_use_case!$A$2:$A$9,0)),"-")</f>
        <v>33739.333333333336</v>
      </c>
      <c r="M20" s="128">
        <f>IFERROR(INDEX(Minutes_by_use_case!$C$2:$C$9,MATCH($B20,Minutes_by_use_case!$A$2:$A$9,0)),"-")</f>
        <v>33739.333333333336</v>
      </c>
      <c r="N20" s="128">
        <f>IFERROR(INDEX(Minutes_by_use_case!$C$2:$C$9,MATCH($B20,Minutes_by_use_case!$A$2:$A$9,0)),"-")</f>
        <v>33739.333333333336</v>
      </c>
      <c r="O20" s="128">
        <f>IFERROR(INDEX(Minutes_by_use_case!$C$2:$C$9,MATCH($B20,Minutes_by_use_case!$A$2:$A$9,0)),"-")</f>
        <v>33739.333333333336</v>
      </c>
      <c r="P20" s="128">
        <f>IFERROR(INDEX(Minutes_by_use_case!$C$2:$C$9,MATCH($B20,Minutes_by_use_case!$A$2:$A$9,0)),"-")</f>
        <v>33739.333333333336</v>
      </c>
      <c r="Q20" s="128">
        <f>IFERROR(INDEX(Minutes_by_use_case!$C$2:$C$9,MATCH($B20,Minutes_by_use_case!$A$2:$A$9,0)),"-")</f>
        <v>33739.333333333336</v>
      </c>
      <c r="R20" s="128">
        <f>IFERROR(INDEX(Minutes_by_use_case!$C$2:$C$9,MATCH($B20,Minutes_by_use_case!$A$2:$A$9,0)),"-")</f>
        <v>33739.333333333336</v>
      </c>
      <c r="S20" s="128">
        <f>IFERROR(INDEX(Minutes_by_use_case!$C$2:$C$9,MATCH($B20,Minutes_by_use_case!$A$2:$A$9,0)),"-")</f>
        <v>33739.333333333336</v>
      </c>
      <c r="T20" s="128">
        <f>IFERROR(INDEX(Minutes_by_use_case!$C$2:$C$9,MATCH($B20,Minutes_by_use_case!$A$2:$A$9,0)),"-")</f>
        <v>33739.333333333336</v>
      </c>
      <c r="U20" s="128">
        <f>IFERROR(INDEX(Minutes_by_use_case!$C$2:$C$9,MATCH($B20,Minutes_by_use_case!$A$2:$A$9,0)),"-")</f>
        <v>33739.333333333336</v>
      </c>
      <c r="V20" s="128">
        <f>IFERROR(INDEX(Minutes_by_use_case!$C$2:$C$9,MATCH($B20,Minutes_by_use_case!$A$2:$A$9,0)),"-")</f>
        <v>33739.333333333336</v>
      </c>
      <c r="W20" s="128">
        <f>IFERROR(INDEX(Minutes_by_use_case!$C$2:$C$9,MATCH($B20,Minutes_by_use_case!$A$2:$A$9,0)),"-")</f>
        <v>33739.333333333336</v>
      </c>
    </row>
    <row r="21" spans="1:23" x14ac:dyDescent="0.25">
      <c r="A21" s="46" t="s">
        <v>77</v>
      </c>
      <c r="B21" s="46" t="s">
        <v>58</v>
      </c>
      <c r="C21" s="135"/>
      <c r="D21" s="128">
        <f>IFERROR(INDEX(Minutes_by_use_case!$C$2:$C$9,MATCH($B21,Minutes_by_use_case!$A$2:$A$9,0)),"-")</f>
        <v>2294</v>
      </c>
      <c r="E21" s="128">
        <f>IFERROR(INDEX(Minutes_by_use_case!$C$2:$C$9,MATCH($B21,Minutes_by_use_case!$A$2:$A$9,0)),"-")</f>
        <v>2294</v>
      </c>
      <c r="F21" s="128">
        <f>IFERROR(INDEX(Minutes_by_use_case!$C$2:$C$9,MATCH($B21,Minutes_by_use_case!$A$2:$A$9,0)),"-")</f>
        <v>2294</v>
      </c>
      <c r="G21" s="128">
        <f>IFERROR(INDEX(Minutes_by_use_case!$C$2:$C$9,MATCH($B21,Minutes_by_use_case!$A$2:$A$9,0)),"-")</f>
        <v>2294</v>
      </c>
      <c r="H21" s="128">
        <f>IFERROR(INDEX(Minutes_by_use_case!$C$2:$C$9,MATCH($B21,Minutes_by_use_case!$A$2:$A$9,0)),"-")</f>
        <v>2294</v>
      </c>
      <c r="I21" s="128">
        <f>IFERROR(INDEX(Minutes_by_use_case!$C$2:$C$9,MATCH($B21,Minutes_by_use_case!$A$2:$A$9,0)),"-")</f>
        <v>2294</v>
      </c>
      <c r="J21" s="128">
        <f>IFERROR(INDEX(Minutes_by_use_case!$C$2:$C$9,MATCH($B21,Minutes_by_use_case!$A$2:$A$9,0)),"-")</f>
        <v>2294</v>
      </c>
      <c r="K21" s="128">
        <f>IFERROR(INDEX(Minutes_by_use_case!$C$2:$C$9,MATCH($B21,Minutes_by_use_case!$A$2:$A$9,0)),"-")</f>
        <v>2294</v>
      </c>
      <c r="L21" s="128">
        <f>IFERROR(INDEX(Minutes_by_use_case!$C$2:$C$9,MATCH($B21,Minutes_by_use_case!$A$2:$A$9,0)),"-")</f>
        <v>2294</v>
      </c>
      <c r="M21" s="128">
        <f>IFERROR(INDEX(Minutes_by_use_case!$C$2:$C$9,MATCH($B21,Minutes_by_use_case!$A$2:$A$9,0)),"-")</f>
        <v>2294</v>
      </c>
      <c r="N21" s="128">
        <f>IFERROR(INDEX(Minutes_by_use_case!$C$2:$C$9,MATCH($B21,Minutes_by_use_case!$A$2:$A$9,0)),"-")</f>
        <v>2294</v>
      </c>
      <c r="O21" s="128">
        <f>IFERROR(INDEX(Minutes_by_use_case!$C$2:$C$9,MATCH($B21,Minutes_by_use_case!$A$2:$A$9,0)),"-")</f>
        <v>2294</v>
      </c>
      <c r="P21" s="128">
        <f>IFERROR(INDEX(Minutes_by_use_case!$C$2:$C$9,MATCH($B21,Minutes_by_use_case!$A$2:$A$9,0)),"-")</f>
        <v>2294</v>
      </c>
      <c r="Q21" s="128">
        <f>IFERROR(INDEX(Minutes_by_use_case!$C$2:$C$9,MATCH($B21,Minutes_by_use_case!$A$2:$A$9,0)),"-")</f>
        <v>2294</v>
      </c>
      <c r="R21" s="128">
        <f>IFERROR(INDEX(Minutes_by_use_case!$C$2:$C$9,MATCH($B21,Minutes_by_use_case!$A$2:$A$9,0)),"-")</f>
        <v>2294</v>
      </c>
      <c r="S21" s="128">
        <f>IFERROR(INDEX(Minutes_by_use_case!$C$2:$C$9,MATCH($B21,Minutes_by_use_case!$A$2:$A$9,0)),"-")</f>
        <v>2294</v>
      </c>
      <c r="T21" s="128">
        <f>IFERROR(INDEX(Minutes_by_use_case!$C$2:$C$9,MATCH($B21,Minutes_by_use_case!$A$2:$A$9,0)),"-")</f>
        <v>2294</v>
      </c>
      <c r="U21" s="128">
        <f>IFERROR(INDEX(Minutes_by_use_case!$C$2:$C$9,MATCH($B21,Minutes_by_use_case!$A$2:$A$9,0)),"-")</f>
        <v>2294</v>
      </c>
      <c r="V21" s="128">
        <f>IFERROR(INDEX(Minutes_by_use_case!$C$2:$C$9,MATCH($B21,Minutes_by_use_case!$A$2:$A$9,0)),"-")</f>
        <v>2294</v>
      </c>
      <c r="W21" s="128">
        <f>IFERROR(INDEX(Minutes_by_use_case!$C$2:$C$9,MATCH($B21,Minutes_by_use_case!$A$2:$A$9,0)),"-")</f>
        <v>2294</v>
      </c>
    </row>
    <row r="22" spans="1:23" x14ac:dyDescent="0.25">
      <c r="A22" s="46" t="s">
        <v>135</v>
      </c>
      <c r="B22" s="46" t="s">
        <v>56</v>
      </c>
      <c r="C22" s="135"/>
      <c r="D22" s="128">
        <f>IFERROR(INDEX(Minutes_by_use_case!$C$2:$C$9,MATCH($B22,Minutes_by_use_case!$A$2:$A$9,0)),"-")</f>
        <v>2364.2857142857142</v>
      </c>
      <c r="E22" s="128">
        <f>IFERROR(INDEX(Minutes_by_use_case!$C$2:$C$9,MATCH($B22,Minutes_by_use_case!$A$2:$A$9,0)),"-")</f>
        <v>2364.2857142857142</v>
      </c>
      <c r="F22" s="128">
        <f>IFERROR(INDEX(Minutes_by_use_case!$C$2:$C$9,MATCH($B22,Minutes_by_use_case!$A$2:$A$9,0)),"-")</f>
        <v>2364.2857142857142</v>
      </c>
      <c r="G22" s="128">
        <f>IFERROR(INDEX(Minutes_by_use_case!$C$2:$C$9,MATCH($B22,Minutes_by_use_case!$A$2:$A$9,0)),"-")</f>
        <v>2364.2857142857142</v>
      </c>
      <c r="H22" s="128">
        <f>IFERROR(INDEX(Minutes_by_use_case!$C$2:$C$9,MATCH($B22,Minutes_by_use_case!$A$2:$A$9,0)),"-")</f>
        <v>2364.2857142857142</v>
      </c>
      <c r="I22" s="128">
        <f>IFERROR(INDEX(Minutes_by_use_case!$C$2:$C$9,MATCH($B22,Minutes_by_use_case!$A$2:$A$9,0)),"-")</f>
        <v>2364.2857142857142</v>
      </c>
      <c r="J22" s="128">
        <f>IFERROR(INDEX(Minutes_by_use_case!$C$2:$C$9,MATCH($B22,Minutes_by_use_case!$A$2:$A$9,0)),"-")</f>
        <v>2364.2857142857142</v>
      </c>
      <c r="K22" s="128">
        <f>IFERROR(INDEX(Minutes_by_use_case!$C$2:$C$9,MATCH($B22,Minutes_by_use_case!$A$2:$A$9,0)),"-")</f>
        <v>2364.2857142857142</v>
      </c>
      <c r="L22" s="128">
        <f>IFERROR(INDEX(Minutes_by_use_case!$C$2:$C$9,MATCH($B22,Minutes_by_use_case!$A$2:$A$9,0)),"-")</f>
        <v>2364.2857142857142</v>
      </c>
      <c r="M22" s="128">
        <f>IFERROR(INDEX(Minutes_by_use_case!$C$2:$C$9,MATCH($B22,Minutes_by_use_case!$A$2:$A$9,0)),"-")</f>
        <v>2364.2857142857142</v>
      </c>
      <c r="N22" s="128">
        <f>IFERROR(INDEX(Minutes_by_use_case!$C$2:$C$9,MATCH($B22,Minutes_by_use_case!$A$2:$A$9,0)),"-")</f>
        <v>2364.2857142857142</v>
      </c>
      <c r="O22" s="128">
        <f>IFERROR(INDEX(Minutes_by_use_case!$C$2:$C$9,MATCH($B22,Minutes_by_use_case!$A$2:$A$9,0)),"-")</f>
        <v>2364.2857142857142</v>
      </c>
      <c r="P22" s="128">
        <f>IFERROR(INDEX(Minutes_by_use_case!$C$2:$C$9,MATCH($B22,Minutes_by_use_case!$A$2:$A$9,0)),"-")</f>
        <v>2364.2857142857142</v>
      </c>
      <c r="Q22" s="128">
        <f>IFERROR(INDEX(Minutes_by_use_case!$C$2:$C$9,MATCH($B22,Minutes_by_use_case!$A$2:$A$9,0)),"-")</f>
        <v>2364.2857142857142</v>
      </c>
      <c r="R22" s="128">
        <f>IFERROR(INDEX(Minutes_by_use_case!$C$2:$C$9,MATCH($B22,Minutes_by_use_case!$A$2:$A$9,0)),"-")</f>
        <v>2364.2857142857142</v>
      </c>
      <c r="S22" s="128">
        <f>IFERROR(INDEX(Minutes_by_use_case!$C$2:$C$9,MATCH($B22,Minutes_by_use_case!$A$2:$A$9,0)),"-")</f>
        <v>2364.2857142857142</v>
      </c>
      <c r="T22" s="128">
        <f>IFERROR(INDEX(Minutes_by_use_case!$C$2:$C$9,MATCH($B22,Minutes_by_use_case!$A$2:$A$9,0)),"-")</f>
        <v>2364.2857142857142</v>
      </c>
      <c r="U22" s="128">
        <f>IFERROR(INDEX(Minutes_by_use_case!$C$2:$C$9,MATCH($B22,Minutes_by_use_case!$A$2:$A$9,0)),"-")</f>
        <v>2364.2857142857142</v>
      </c>
      <c r="V22" s="128">
        <f>IFERROR(INDEX(Minutes_by_use_case!$C$2:$C$9,MATCH($B22,Minutes_by_use_case!$A$2:$A$9,0)),"-")</f>
        <v>2364.2857142857142</v>
      </c>
      <c r="W22" s="128">
        <f>IFERROR(INDEX(Minutes_by_use_case!$C$2:$C$9,MATCH($B22,Minutes_by_use_case!$A$2:$A$9,0)),"-")</f>
        <v>2364.2857142857142</v>
      </c>
    </row>
    <row r="23" spans="1:23" x14ac:dyDescent="0.25">
      <c r="A23" s="46" t="s">
        <v>136</v>
      </c>
      <c r="B23" s="46" t="s">
        <v>56</v>
      </c>
      <c r="C23" s="135"/>
      <c r="D23" s="128">
        <f>IFERROR(INDEX(Minutes_by_use_case!$C$2:$C$9,MATCH($B23,Minutes_by_use_case!$A$2:$A$9,0)),"-")</f>
        <v>2364.2857142857142</v>
      </c>
      <c r="E23" s="128">
        <f>IFERROR(INDEX(Minutes_by_use_case!$C$2:$C$9,MATCH($B23,Minutes_by_use_case!$A$2:$A$9,0)),"-")</f>
        <v>2364.2857142857142</v>
      </c>
      <c r="F23" s="128">
        <f>IFERROR(INDEX(Minutes_by_use_case!$C$2:$C$9,MATCH($B23,Minutes_by_use_case!$A$2:$A$9,0)),"-")</f>
        <v>2364.2857142857142</v>
      </c>
      <c r="G23" s="128">
        <f>IFERROR(INDEX(Minutes_by_use_case!$C$2:$C$9,MATCH($B23,Minutes_by_use_case!$A$2:$A$9,0)),"-")</f>
        <v>2364.2857142857142</v>
      </c>
      <c r="H23" s="128">
        <f>IFERROR(INDEX(Minutes_by_use_case!$C$2:$C$9,MATCH($B23,Minutes_by_use_case!$A$2:$A$9,0)),"-")</f>
        <v>2364.2857142857142</v>
      </c>
      <c r="I23" s="128">
        <f>IFERROR(INDEX(Minutes_by_use_case!$C$2:$C$9,MATCH($B23,Minutes_by_use_case!$A$2:$A$9,0)),"-")</f>
        <v>2364.2857142857142</v>
      </c>
      <c r="J23" s="128">
        <f>IFERROR(INDEX(Minutes_by_use_case!$C$2:$C$9,MATCH($B23,Minutes_by_use_case!$A$2:$A$9,0)),"-")</f>
        <v>2364.2857142857142</v>
      </c>
      <c r="K23" s="128">
        <f>IFERROR(INDEX(Minutes_by_use_case!$C$2:$C$9,MATCH($B23,Minutes_by_use_case!$A$2:$A$9,0)),"-")</f>
        <v>2364.2857142857142</v>
      </c>
      <c r="L23" s="128">
        <f>IFERROR(INDEX(Minutes_by_use_case!$C$2:$C$9,MATCH($B23,Minutes_by_use_case!$A$2:$A$9,0)),"-")</f>
        <v>2364.2857142857142</v>
      </c>
      <c r="M23" s="128">
        <f>IFERROR(INDEX(Minutes_by_use_case!$C$2:$C$9,MATCH($B23,Minutes_by_use_case!$A$2:$A$9,0)),"-")</f>
        <v>2364.2857142857142</v>
      </c>
      <c r="N23" s="128">
        <f>IFERROR(INDEX(Minutes_by_use_case!$C$2:$C$9,MATCH($B23,Minutes_by_use_case!$A$2:$A$9,0)),"-")</f>
        <v>2364.2857142857142</v>
      </c>
      <c r="O23" s="128">
        <f>IFERROR(INDEX(Minutes_by_use_case!$C$2:$C$9,MATCH($B23,Minutes_by_use_case!$A$2:$A$9,0)),"-")</f>
        <v>2364.2857142857142</v>
      </c>
      <c r="P23" s="128">
        <f>IFERROR(INDEX(Minutes_by_use_case!$C$2:$C$9,MATCH($B23,Minutes_by_use_case!$A$2:$A$9,0)),"-")</f>
        <v>2364.2857142857142</v>
      </c>
      <c r="Q23" s="128">
        <f>IFERROR(INDEX(Minutes_by_use_case!$C$2:$C$9,MATCH($B23,Minutes_by_use_case!$A$2:$A$9,0)),"-")</f>
        <v>2364.2857142857142</v>
      </c>
      <c r="R23" s="128">
        <f>IFERROR(INDEX(Minutes_by_use_case!$C$2:$C$9,MATCH($B23,Minutes_by_use_case!$A$2:$A$9,0)),"-")</f>
        <v>2364.2857142857142</v>
      </c>
      <c r="S23" s="128">
        <f>IFERROR(INDEX(Minutes_by_use_case!$C$2:$C$9,MATCH($B23,Minutes_by_use_case!$A$2:$A$9,0)),"-")</f>
        <v>2364.2857142857142</v>
      </c>
      <c r="T23" s="128">
        <f>IFERROR(INDEX(Minutes_by_use_case!$C$2:$C$9,MATCH($B23,Minutes_by_use_case!$A$2:$A$9,0)),"-")</f>
        <v>2364.2857142857142</v>
      </c>
      <c r="U23" s="128">
        <f>IFERROR(INDEX(Minutes_by_use_case!$C$2:$C$9,MATCH($B23,Minutes_by_use_case!$A$2:$A$9,0)),"-")</f>
        <v>2364.2857142857142</v>
      </c>
      <c r="V23" s="128">
        <f>IFERROR(INDEX(Minutes_by_use_case!$C$2:$C$9,MATCH($B23,Minutes_by_use_case!$A$2:$A$9,0)),"-")</f>
        <v>2364.2857142857142</v>
      </c>
      <c r="W23" s="128">
        <f>IFERROR(INDEX(Minutes_by_use_case!$C$2:$C$9,MATCH($B23,Minutes_by_use_case!$A$2:$A$9,0)),"-")</f>
        <v>2364.2857142857142</v>
      </c>
    </row>
    <row r="24" spans="1:23" x14ac:dyDescent="0.25">
      <c r="A24" s="46" t="s">
        <v>137</v>
      </c>
      <c r="B24" s="46" t="s">
        <v>56</v>
      </c>
      <c r="C24" s="135"/>
      <c r="D24" s="128">
        <f>IFERROR(INDEX(Minutes_by_use_case!$C$2:$C$9,MATCH($B24,Minutes_by_use_case!$A$2:$A$9,0)),"-")</f>
        <v>2364.2857142857142</v>
      </c>
      <c r="E24" s="128">
        <f>IFERROR(INDEX(Minutes_by_use_case!$C$2:$C$9,MATCH($B24,Minutes_by_use_case!$A$2:$A$9,0)),"-")</f>
        <v>2364.2857142857142</v>
      </c>
      <c r="F24" s="128">
        <f>IFERROR(INDEX(Minutes_by_use_case!$C$2:$C$9,MATCH($B24,Minutes_by_use_case!$A$2:$A$9,0)),"-")</f>
        <v>2364.2857142857142</v>
      </c>
      <c r="G24" s="128">
        <f>IFERROR(INDEX(Minutes_by_use_case!$C$2:$C$9,MATCH($B24,Minutes_by_use_case!$A$2:$A$9,0)),"-")</f>
        <v>2364.2857142857142</v>
      </c>
      <c r="H24" s="128">
        <f>IFERROR(INDEX(Minutes_by_use_case!$C$2:$C$9,MATCH($B24,Minutes_by_use_case!$A$2:$A$9,0)),"-")</f>
        <v>2364.2857142857142</v>
      </c>
      <c r="I24" s="128">
        <f>IFERROR(INDEX(Minutes_by_use_case!$C$2:$C$9,MATCH($B24,Minutes_by_use_case!$A$2:$A$9,0)),"-")</f>
        <v>2364.2857142857142</v>
      </c>
      <c r="J24" s="128">
        <f>IFERROR(INDEX(Minutes_by_use_case!$C$2:$C$9,MATCH($B24,Minutes_by_use_case!$A$2:$A$9,0)),"-")</f>
        <v>2364.2857142857142</v>
      </c>
      <c r="K24" s="128">
        <f>IFERROR(INDEX(Minutes_by_use_case!$C$2:$C$9,MATCH($B24,Minutes_by_use_case!$A$2:$A$9,0)),"-")</f>
        <v>2364.2857142857142</v>
      </c>
      <c r="L24" s="128">
        <f>IFERROR(INDEX(Minutes_by_use_case!$C$2:$C$9,MATCH($B24,Minutes_by_use_case!$A$2:$A$9,0)),"-")</f>
        <v>2364.2857142857142</v>
      </c>
      <c r="M24" s="128">
        <f>IFERROR(INDEX(Minutes_by_use_case!$C$2:$C$9,MATCH($B24,Minutes_by_use_case!$A$2:$A$9,0)),"-")</f>
        <v>2364.2857142857142</v>
      </c>
      <c r="N24" s="128">
        <f>IFERROR(INDEX(Minutes_by_use_case!$C$2:$C$9,MATCH($B24,Minutes_by_use_case!$A$2:$A$9,0)),"-")</f>
        <v>2364.2857142857142</v>
      </c>
      <c r="O24" s="128">
        <f>IFERROR(INDEX(Minutes_by_use_case!$C$2:$C$9,MATCH($B24,Minutes_by_use_case!$A$2:$A$9,0)),"-")</f>
        <v>2364.2857142857142</v>
      </c>
      <c r="P24" s="128">
        <f>IFERROR(INDEX(Minutes_by_use_case!$C$2:$C$9,MATCH($B24,Minutes_by_use_case!$A$2:$A$9,0)),"-")</f>
        <v>2364.2857142857142</v>
      </c>
      <c r="Q24" s="128">
        <f>IFERROR(INDEX(Minutes_by_use_case!$C$2:$C$9,MATCH($B24,Minutes_by_use_case!$A$2:$A$9,0)),"-")</f>
        <v>2364.2857142857142</v>
      </c>
      <c r="R24" s="128">
        <f>IFERROR(INDEX(Minutes_by_use_case!$C$2:$C$9,MATCH($B24,Minutes_by_use_case!$A$2:$A$9,0)),"-")</f>
        <v>2364.2857142857142</v>
      </c>
      <c r="S24" s="128">
        <f>IFERROR(INDEX(Minutes_by_use_case!$C$2:$C$9,MATCH($B24,Minutes_by_use_case!$A$2:$A$9,0)),"-")</f>
        <v>2364.2857142857142</v>
      </c>
      <c r="T24" s="128">
        <f>IFERROR(INDEX(Minutes_by_use_case!$C$2:$C$9,MATCH($B24,Minutes_by_use_case!$A$2:$A$9,0)),"-")</f>
        <v>2364.2857142857142</v>
      </c>
      <c r="U24" s="128">
        <f>IFERROR(INDEX(Minutes_by_use_case!$C$2:$C$9,MATCH($B24,Minutes_by_use_case!$A$2:$A$9,0)),"-")</f>
        <v>2364.2857142857142</v>
      </c>
      <c r="V24" s="128">
        <f>IFERROR(INDEX(Minutes_by_use_case!$C$2:$C$9,MATCH($B24,Minutes_by_use_case!$A$2:$A$9,0)),"-")</f>
        <v>2364.2857142857142</v>
      </c>
      <c r="W24" s="128">
        <f>IFERROR(INDEX(Minutes_by_use_case!$C$2:$C$9,MATCH($B24,Minutes_by_use_case!$A$2:$A$9,0)),"-")</f>
        <v>2364.2857142857142</v>
      </c>
    </row>
    <row r="25" spans="1:23" x14ac:dyDescent="0.25">
      <c r="A25" s="46" t="s">
        <v>138</v>
      </c>
      <c r="B25" s="46" t="s">
        <v>56</v>
      </c>
      <c r="C25" s="135"/>
      <c r="D25" s="128">
        <f>IFERROR(INDEX(Minutes_by_use_case!$C$2:$C$9,MATCH($B25,Minutes_by_use_case!$A$2:$A$9,0)),"-")</f>
        <v>2364.2857142857142</v>
      </c>
      <c r="E25" s="128">
        <f>IFERROR(INDEX(Minutes_by_use_case!$C$2:$C$9,MATCH($B25,Minutes_by_use_case!$A$2:$A$9,0)),"-")</f>
        <v>2364.2857142857142</v>
      </c>
      <c r="F25" s="128">
        <f>IFERROR(INDEX(Minutes_by_use_case!$C$2:$C$9,MATCH($B25,Minutes_by_use_case!$A$2:$A$9,0)),"-")</f>
        <v>2364.2857142857142</v>
      </c>
      <c r="G25" s="128">
        <f>IFERROR(INDEX(Minutes_by_use_case!$C$2:$C$9,MATCH($B25,Minutes_by_use_case!$A$2:$A$9,0)),"-")</f>
        <v>2364.2857142857142</v>
      </c>
      <c r="H25" s="128">
        <f>IFERROR(INDEX(Minutes_by_use_case!$C$2:$C$9,MATCH($B25,Minutes_by_use_case!$A$2:$A$9,0)),"-")</f>
        <v>2364.2857142857142</v>
      </c>
      <c r="I25" s="128">
        <f>IFERROR(INDEX(Minutes_by_use_case!$C$2:$C$9,MATCH($B25,Minutes_by_use_case!$A$2:$A$9,0)),"-")</f>
        <v>2364.2857142857142</v>
      </c>
      <c r="J25" s="128">
        <f>IFERROR(INDEX(Minutes_by_use_case!$C$2:$C$9,MATCH($B25,Minutes_by_use_case!$A$2:$A$9,0)),"-")</f>
        <v>2364.2857142857142</v>
      </c>
      <c r="K25" s="128">
        <f>IFERROR(INDEX(Minutes_by_use_case!$C$2:$C$9,MATCH($B25,Minutes_by_use_case!$A$2:$A$9,0)),"-")</f>
        <v>2364.2857142857142</v>
      </c>
      <c r="L25" s="128">
        <f>IFERROR(INDEX(Minutes_by_use_case!$C$2:$C$9,MATCH($B25,Minutes_by_use_case!$A$2:$A$9,0)),"-")</f>
        <v>2364.2857142857142</v>
      </c>
      <c r="M25" s="128">
        <f>IFERROR(INDEX(Minutes_by_use_case!$C$2:$C$9,MATCH($B25,Minutes_by_use_case!$A$2:$A$9,0)),"-")</f>
        <v>2364.2857142857142</v>
      </c>
      <c r="N25" s="128">
        <f>IFERROR(INDEX(Minutes_by_use_case!$C$2:$C$9,MATCH($B25,Minutes_by_use_case!$A$2:$A$9,0)),"-")</f>
        <v>2364.2857142857142</v>
      </c>
      <c r="O25" s="128">
        <f>IFERROR(INDEX(Minutes_by_use_case!$C$2:$C$9,MATCH($B25,Minutes_by_use_case!$A$2:$A$9,0)),"-")</f>
        <v>2364.2857142857142</v>
      </c>
      <c r="P25" s="128">
        <f>IFERROR(INDEX(Minutes_by_use_case!$C$2:$C$9,MATCH($B25,Minutes_by_use_case!$A$2:$A$9,0)),"-")</f>
        <v>2364.2857142857142</v>
      </c>
      <c r="Q25" s="128">
        <f>IFERROR(INDEX(Minutes_by_use_case!$C$2:$C$9,MATCH($B25,Minutes_by_use_case!$A$2:$A$9,0)),"-")</f>
        <v>2364.2857142857142</v>
      </c>
      <c r="R25" s="128">
        <f>IFERROR(INDEX(Minutes_by_use_case!$C$2:$C$9,MATCH($B25,Minutes_by_use_case!$A$2:$A$9,0)),"-")</f>
        <v>2364.2857142857142</v>
      </c>
      <c r="S25" s="128">
        <f>IFERROR(INDEX(Minutes_by_use_case!$C$2:$C$9,MATCH($B25,Minutes_by_use_case!$A$2:$A$9,0)),"-")</f>
        <v>2364.2857142857142</v>
      </c>
      <c r="T25" s="128">
        <f>IFERROR(INDEX(Minutes_by_use_case!$C$2:$C$9,MATCH($B25,Minutes_by_use_case!$A$2:$A$9,0)),"-")</f>
        <v>2364.2857142857142</v>
      </c>
      <c r="U25" s="128">
        <f>IFERROR(INDEX(Minutes_by_use_case!$C$2:$C$9,MATCH($B25,Minutes_by_use_case!$A$2:$A$9,0)),"-")</f>
        <v>2364.2857142857142</v>
      </c>
      <c r="V25" s="128">
        <f>IFERROR(INDEX(Minutes_by_use_case!$C$2:$C$9,MATCH($B25,Minutes_by_use_case!$A$2:$A$9,0)),"-")</f>
        <v>2364.2857142857142</v>
      </c>
      <c r="W25" s="128">
        <f>IFERROR(INDEX(Minutes_by_use_case!$C$2:$C$9,MATCH($B25,Minutes_by_use_case!$A$2:$A$9,0)),"-")</f>
        <v>2364.2857142857142</v>
      </c>
    </row>
    <row r="26" spans="1:23" x14ac:dyDescent="0.25">
      <c r="A26" s="46" t="s">
        <v>43</v>
      </c>
      <c r="B26" s="46" t="s">
        <v>61</v>
      </c>
      <c r="C26" s="135"/>
      <c r="D26" s="128">
        <f>IFERROR(INDEX(Minutes_by_use_case!$C$2:$C$9,MATCH($B26,Minutes_by_use_case!$A$2:$A$9,0)),"-")</f>
        <v>33739.333333333336</v>
      </c>
      <c r="E26" s="128">
        <f>IFERROR(INDEX(Minutes_by_use_case!$C$2:$C$9,MATCH($B26,Minutes_by_use_case!$A$2:$A$9,0)),"-")</f>
        <v>33739.333333333336</v>
      </c>
      <c r="F26" s="128">
        <f>IFERROR(INDEX(Minutes_by_use_case!$C$2:$C$9,MATCH($B26,Minutes_by_use_case!$A$2:$A$9,0)),"-")</f>
        <v>33739.333333333336</v>
      </c>
      <c r="G26" s="128">
        <f>IFERROR(INDEX(Minutes_by_use_case!$C$2:$C$9,MATCH($B26,Minutes_by_use_case!$A$2:$A$9,0)),"-")</f>
        <v>33739.333333333336</v>
      </c>
      <c r="H26" s="128">
        <f>IFERROR(INDEX(Minutes_by_use_case!$C$2:$C$9,MATCH($B26,Minutes_by_use_case!$A$2:$A$9,0)),"-")</f>
        <v>33739.333333333336</v>
      </c>
      <c r="I26" s="128">
        <f>IFERROR(INDEX(Minutes_by_use_case!$C$2:$C$9,MATCH($B26,Minutes_by_use_case!$A$2:$A$9,0)),"-")</f>
        <v>33739.333333333336</v>
      </c>
      <c r="J26" s="128">
        <f>IFERROR(INDEX(Minutes_by_use_case!$C$2:$C$9,MATCH($B26,Minutes_by_use_case!$A$2:$A$9,0)),"-")</f>
        <v>33739.333333333336</v>
      </c>
      <c r="K26" s="128">
        <f>IFERROR(INDEX(Minutes_by_use_case!$C$2:$C$9,MATCH($B26,Minutes_by_use_case!$A$2:$A$9,0)),"-")</f>
        <v>33739.333333333336</v>
      </c>
      <c r="L26" s="128">
        <f>IFERROR(INDEX(Minutes_by_use_case!$C$2:$C$9,MATCH($B26,Minutes_by_use_case!$A$2:$A$9,0)),"-")</f>
        <v>33739.333333333336</v>
      </c>
      <c r="M26" s="128">
        <f>IFERROR(INDEX(Minutes_by_use_case!$C$2:$C$9,MATCH($B26,Minutes_by_use_case!$A$2:$A$9,0)),"-")</f>
        <v>33739.333333333336</v>
      </c>
      <c r="N26" s="128">
        <f>IFERROR(INDEX(Minutes_by_use_case!$C$2:$C$9,MATCH($B26,Minutes_by_use_case!$A$2:$A$9,0)),"-")</f>
        <v>33739.333333333336</v>
      </c>
      <c r="O26" s="128">
        <f>IFERROR(INDEX(Minutes_by_use_case!$C$2:$C$9,MATCH($B26,Minutes_by_use_case!$A$2:$A$9,0)),"-")</f>
        <v>33739.333333333336</v>
      </c>
      <c r="P26" s="128">
        <f>IFERROR(INDEX(Minutes_by_use_case!$C$2:$C$9,MATCH($B26,Minutes_by_use_case!$A$2:$A$9,0)),"-")</f>
        <v>33739.333333333336</v>
      </c>
      <c r="Q26" s="128">
        <f>IFERROR(INDEX(Minutes_by_use_case!$C$2:$C$9,MATCH($B26,Minutes_by_use_case!$A$2:$A$9,0)),"-")</f>
        <v>33739.333333333336</v>
      </c>
      <c r="R26" s="128">
        <f>IFERROR(INDEX(Minutes_by_use_case!$C$2:$C$9,MATCH($B26,Minutes_by_use_case!$A$2:$A$9,0)),"-")</f>
        <v>33739.333333333336</v>
      </c>
      <c r="S26" s="128">
        <f>IFERROR(INDEX(Minutes_by_use_case!$C$2:$C$9,MATCH($B26,Minutes_by_use_case!$A$2:$A$9,0)),"-")</f>
        <v>33739.333333333336</v>
      </c>
      <c r="T26" s="128">
        <f>IFERROR(INDEX(Minutes_by_use_case!$C$2:$C$9,MATCH($B26,Minutes_by_use_case!$A$2:$A$9,0)),"-")</f>
        <v>33739.333333333336</v>
      </c>
      <c r="U26" s="128">
        <f>IFERROR(INDEX(Minutes_by_use_case!$C$2:$C$9,MATCH($B26,Minutes_by_use_case!$A$2:$A$9,0)),"-")</f>
        <v>33739.333333333336</v>
      </c>
      <c r="V26" s="128">
        <f>IFERROR(INDEX(Minutes_by_use_case!$C$2:$C$9,MATCH($B26,Minutes_by_use_case!$A$2:$A$9,0)),"-")</f>
        <v>33739.333333333336</v>
      </c>
      <c r="W26" s="128">
        <f>IFERROR(INDEX(Minutes_by_use_case!$C$2:$C$9,MATCH($B26,Minutes_by_use_case!$A$2:$A$9,0)),"-")</f>
        <v>33739.333333333336</v>
      </c>
    </row>
    <row r="27" spans="1:23" x14ac:dyDescent="0.25">
      <c r="A27" s="46" t="s">
        <v>44</v>
      </c>
      <c r="B27" s="46" t="s">
        <v>57</v>
      </c>
      <c r="C27" s="135"/>
      <c r="D27" s="128">
        <f>IFERROR(INDEX(Minutes_by_use_case!$C$2:$C$9,MATCH($B27,Minutes_by_use_case!$A$2:$A$9,0)),"-")</f>
        <v>66700.388888888891</v>
      </c>
      <c r="E27" s="128">
        <f>IFERROR(INDEX(Minutes_by_use_case!$C$2:$C$9,MATCH($B27,Minutes_by_use_case!$A$2:$A$9,0)),"-")</f>
        <v>66700.388888888891</v>
      </c>
      <c r="F27" s="128">
        <f>IFERROR(INDEX(Minutes_by_use_case!$C$2:$C$9,MATCH($B27,Minutes_by_use_case!$A$2:$A$9,0)),"-")</f>
        <v>66700.388888888891</v>
      </c>
      <c r="G27" s="128">
        <f>IFERROR(INDEX(Minutes_by_use_case!$C$2:$C$9,MATCH($B27,Minutes_by_use_case!$A$2:$A$9,0)),"-")</f>
        <v>66700.388888888891</v>
      </c>
      <c r="H27" s="128">
        <f>IFERROR(INDEX(Minutes_by_use_case!$C$2:$C$9,MATCH($B27,Minutes_by_use_case!$A$2:$A$9,0)),"-")</f>
        <v>66700.388888888891</v>
      </c>
      <c r="I27" s="128">
        <f>IFERROR(INDEX(Minutes_by_use_case!$C$2:$C$9,MATCH($B27,Minutes_by_use_case!$A$2:$A$9,0)),"-")</f>
        <v>66700.388888888891</v>
      </c>
      <c r="J27" s="128">
        <f>IFERROR(INDEX(Minutes_by_use_case!$C$2:$C$9,MATCH($B27,Minutes_by_use_case!$A$2:$A$9,0)),"-")</f>
        <v>66700.388888888891</v>
      </c>
      <c r="K27" s="128">
        <f>IFERROR(INDEX(Minutes_by_use_case!$C$2:$C$9,MATCH($B27,Minutes_by_use_case!$A$2:$A$9,0)),"-")</f>
        <v>66700.388888888891</v>
      </c>
      <c r="L27" s="128">
        <f>IFERROR(INDEX(Minutes_by_use_case!$C$2:$C$9,MATCH($B27,Minutes_by_use_case!$A$2:$A$9,0)),"-")</f>
        <v>66700.388888888891</v>
      </c>
      <c r="M27" s="128">
        <f>IFERROR(INDEX(Minutes_by_use_case!$C$2:$C$9,MATCH($B27,Minutes_by_use_case!$A$2:$A$9,0)),"-")</f>
        <v>66700.388888888891</v>
      </c>
      <c r="N27" s="128">
        <f>IFERROR(INDEX(Minutes_by_use_case!$C$2:$C$9,MATCH($B27,Minutes_by_use_case!$A$2:$A$9,0)),"-")</f>
        <v>66700.388888888891</v>
      </c>
      <c r="O27" s="128">
        <f>IFERROR(INDEX(Minutes_by_use_case!$C$2:$C$9,MATCH($B27,Minutes_by_use_case!$A$2:$A$9,0)),"-")</f>
        <v>66700.388888888891</v>
      </c>
      <c r="P27" s="128">
        <f>IFERROR(INDEX(Minutes_by_use_case!$C$2:$C$9,MATCH($B27,Minutes_by_use_case!$A$2:$A$9,0)),"-")</f>
        <v>66700.388888888891</v>
      </c>
      <c r="Q27" s="128">
        <f>IFERROR(INDEX(Minutes_by_use_case!$C$2:$C$9,MATCH($B27,Minutes_by_use_case!$A$2:$A$9,0)),"-")</f>
        <v>66700.388888888891</v>
      </c>
      <c r="R27" s="128">
        <f>IFERROR(INDEX(Minutes_by_use_case!$C$2:$C$9,MATCH($B27,Minutes_by_use_case!$A$2:$A$9,0)),"-")</f>
        <v>66700.388888888891</v>
      </c>
      <c r="S27" s="128">
        <f>IFERROR(INDEX(Minutes_by_use_case!$C$2:$C$9,MATCH($B27,Minutes_by_use_case!$A$2:$A$9,0)),"-")</f>
        <v>66700.388888888891</v>
      </c>
      <c r="T27" s="128">
        <f>IFERROR(INDEX(Minutes_by_use_case!$C$2:$C$9,MATCH($B27,Minutes_by_use_case!$A$2:$A$9,0)),"-")</f>
        <v>66700.388888888891</v>
      </c>
      <c r="U27" s="128">
        <f>IFERROR(INDEX(Minutes_by_use_case!$C$2:$C$9,MATCH($B27,Minutes_by_use_case!$A$2:$A$9,0)),"-")</f>
        <v>66700.388888888891</v>
      </c>
      <c r="V27" s="128">
        <f>IFERROR(INDEX(Minutes_by_use_case!$C$2:$C$9,MATCH($B27,Minutes_by_use_case!$A$2:$A$9,0)),"-")</f>
        <v>66700.388888888891</v>
      </c>
      <c r="W27" s="128">
        <f>IFERROR(INDEX(Minutes_by_use_case!$C$2:$C$9,MATCH($B27,Minutes_by_use_case!$A$2:$A$9,0)),"-")</f>
        <v>66700.388888888891</v>
      </c>
    </row>
    <row r="28" spans="1:23" x14ac:dyDescent="0.25">
      <c r="A28" s="46" t="s">
        <v>78</v>
      </c>
      <c r="B28" s="46" t="s">
        <v>57</v>
      </c>
      <c r="C28" s="135"/>
      <c r="D28" s="128">
        <f>IFERROR(INDEX(Minutes_by_use_case!$C$2:$C$9,MATCH($B28,Minutes_by_use_case!$A$2:$A$9,0)),"-")</f>
        <v>66700.388888888891</v>
      </c>
      <c r="E28" s="128">
        <f>IFERROR(INDEX(Minutes_by_use_case!$C$2:$C$9,MATCH($B28,Minutes_by_use_case!$A$2:$A$9,0)),"-")</f>
        <v>66700.388888888891</v>
      </c>
      <c r="F28" s="128">
        <f>IFERROR(INDEX(Minutes_by_use_case!$C$2:$C$9,MATCH($B28,Minutes_by_use_case!$A$2:$A$9,0)),"-")</f>
        <v>66700.388888888891</v>
      </c>
      <c r="G28" s="128">
        <f>IFERROR(INDEX(Minutes_by_use_case!$C$2:$C$9,MATCH($B28,Minutes_by_use_case!$A$2:$A$9,0)),"-")</f>
        <v>66700.388888888891</v>
      </c>
      <c r="H28" s="128">
        <f>IFERROR(INDEX(Minutes_by_use_case!$C$2:$C$9,MATCH($B28,Minutes_by_use_case!$A$2:$A$9,0)),"-")</f>
        <v>66700.388888888891</v>
      </c>
      <c r="I28" s="128">
        <f>IFERROR(INDEX(Minutes_by_use_case!$C$2:$C$9,MATCH($B28,Minutes_by_use_case!$A$2:$A$9,0)),"-")</f>
        <v>66700.388888888891</v>
      </c>
      <c r="J28" s="128">
        <f>IFERROR(INDEX(Minutes_by_use_case!$C$2:$C$9,MATCH($B28,Minutes_by_use_case!$A$2:$A$9,0)),"-")</f>
        <v>66700.388888888891</v>
      </c>
      <c r="K28" s="128">
        <f>IFERROR(INDEX(Minutes_by_use_case!$C$2:$C$9,MATCH($B28,Minutes_by_use_case!$A$2:$A$9,0)),"-")</f>
        <v>66700.388888888891</v>
      </c>
      <c r="L28" s="128">
        <f>IFERROR(INDEX(Minutes_by_use_case!$C$2:$C$9,MATCH($B28,Minutes_by_use_case!$A$2:$A$9,0)),"-")</f>
        <v>66700.388888888891</v>
      </c>
      <c r="M28" s="128">
        <f>IFERROR(INDEX(Minutes_by_use_case!$C$2:$C$9,MATCH($B28,Minutes_by_use_case!$A$2:$A$9,0)),"-")</f>
        <v>66700.388888888891</v>
      </c>
      <c r="N28" s="128">
        <f>IFERROR(INDEX(Minutes_by_use_case!$C$2:$C$9,MATCH($B28,Minutes_by_use_case!$A$2:$A$9,0)),"-")</f>
        <v>66700.388888888891</v>
      </c>
      <c r="O28" s="128">
        <f>IFERROR(INDEX(Minutes_by_use_case!$C$2:$C$9,MATCH($B28,Minutes_by_use_case!$A$2:$A$9,0)),"-")</f>
        <v>66700.388888888891</v>
      </c>
      <c r="P28" s="128">
        <f>IFERROR(INDEX(Minutes_by_use_case!$C$2:$C$9,MATCH($B28,Minutes_by_use_case!$A$2:$A$9,0)),"-")</f>
        <v>66700.388888888891</v>
      </c>
      <c r="Q28" s="128">
        <f>IFERROR(INDEX(Minutes_by_use_case!$C$2:$C$9,MATCH($B28,Minutes_by_use_case!$A$2:$A$9,0)),"-")</f>
        <v>66700.388888888891</v>
      </c>
      <c r="R28" s="128">
        <f>IFERROR(INDEX(Minutes_by_use_case!$C$2:$C$9,MATCH($B28,Minutes_by_use_case!$A$2:$A$9,0)),"-")</f>
        <v>66700.388888888891</v>
      </c>
      <c r="S28" s="128">
        <f>IFERROR(INDEX(Minutes_by_use_case!$C$2:$C$9,MATCH($B28,Minutes_by_use_case!$A$2:$A$9,0)),"-")</f>
        <v>66700.388888888891</v>
      </c>
      <c r="T28" s="128">
        <f>IFERROR(INDEX(Minutes_by_use_case!$C$2:$C$9,MATCH($B28,Minutes_by_use_case!$A$2:$A$9,0)),"-")</f>
        <v>66700.388888888891</v>
      </c>
      <c r="U28" s="128">
        <f>IFERROR(INDEX(Minutes_by_use_case!$C$2:$C$9,MATCH($B28,Minutes_by_use_case!$A$2:$A$9,0)),"-")</f>
        <v>66700.388888888891</v>
      </c>
      <c r="V28" s="128">
        <f>IFERROR(INDEX(Minutes_by_use_case!$C$2:$C$9,MATCH($B28,Minutes_by_use_case!$A$2:$A$9,0)),"-")</f>
        <v>66700.388888888891</v>
      </c>
      <c r="W28" s="128">
        <f>IFERROR(INDEX(Minutes_by_use_case!$C$2:$C$9,MATCH($B28,Minutes_by_use_case!$A$2:$A$9,0)),"-")</f>
        <v>66700.388888888891</v>
      </c>
    </row>
    <row r="29" spans="1:23" x14ac:dyDescent="0.25">
      <c r="A29" s="46" t="s">
        <v>45</v>
      </c>
      <c r="B29" s="46" t="s">
        <v>57</v>
      </c>
      <c r="C29" s="135"/>
      <c r="D29" s="128">
        <f>IFERROR(INDEX(Minutes_by_use_case!$C$2:$C$9,MATCH($B29,Minutes_by_use_case!$A$2:$A$9,0)),"-")</f>
        <v>66700.388888888891</v>
      </c>
      <c r="E29" s="128">
        <f>IFERROR(INDEX(Minutes_by_use_case!$C$2:$C$9,MATCH($B29,Minutes_by_use_case!$A$2:$A$9,0)),"-")</f>
        <v>66700.388888888891</v>
      </c>
      <c r="F29" s="128">
        <f>IFERROR(INDEX(Minutes_by_use_case!$C$2:$C$9,MATCH($B29,Minutes_by_use_case!$A$2:$A$9,0)),"-")</f>
        <v>66700.388888888891</v>
      </c>
      <c r="G29" s="128">
        <f>IFERROR(INDEX(Minutes_by_use_case!$C$2:$C$9,MATCH($B29,Minutes_by_use_case!$A$2:$A$9,0)),"-")</f>
        <v>66700.388888888891</v>
      </c>
      <c r="H29" s="128">
        <f>IFERROR(INDEX(Minutes_by_use_case!$C$2:$C$9,MATCH($B29,Minutes_by_use_case!$A$2:$A$9,0)),"-")</f>
        <v>66700.388888888891</v>
      </c>
      <c r="I29" s="128">
        <f>IFERROR(INDEX(Minutes_by_use_case!$C$2:$C$9,MATCH($B29,Minutes_by_use_case!$A$2:$A$9,0)),"-")</f>
        <v>66700.388888888891</v>
      </c>
      <c r="J29" s="128">
        <f>IFERROR(INDEX(Minutes_by_use_case!$C$2:$C$9,MATCH($B29,Minutes_by_use_case!$A$2:$A$9,0)),"-")</f>
        <v>66700.388888888891</v>
      </c>
      <c r="K29" s="128">
        <f>IFERROR(INDEX(Minutes_by_use_case!$C$2:$C$9,MATCH($B29,Minutes_by_use_case!$A$2:$A$9,0)),"-")</f>
        <v>66700.388888888891</v>
      </c>
      <c r="L29" s="128">
        <f>IFERROR(INDEX(Minutes_by_use_case!$C$2:$C$9,MATCH($B29,Minutes_by_use_case!$A$2:$A$9,0)),"-")</f>
        <v>66700.388888888891</v>
      </c>
      <c r="M29" s="128">
        <f>IFERROR(INDEX(Minutes_by_use_case!$C$2:$C$9,MATCH($B29,Minutes_by_use_case!$A$2:$A$9,0)),"-")</f>
        <v>66700.388888888891</v>
      </c>
      <c r="N29" s="128">
        <f>IFERROR(INDEX(Minutes_by_use_case!$C$2:$C$9,MATCH($B29,Minutes_by_use_case!$A$2:$A$9,0)),"-")</f>
        <v>66700.388888888891</v>
      </c>
      <c r="O29" s="128">
        <f>IFERROR(INDEX(Minutes_by_use_case!$C$2:$C$9,MATCH($B29,Minutes_by_use_case!$A$2:$A$9,0)),"-")</f>
        <v>66700.388888888891</v>
      </c>
      <c r="P29" s="128">
        <f>IFERROR(INDEX(Minutes_by_use_case!$C$2:$C$9,MATCH($B29,Minutes_by_use_case!$A$2:$A$9,0)),"-")</f>
        <v>66700.388888888891</v>
      </c>
      <c r="Q29" s="128">
        <f>IFERROR(INDEX(Minutes_by_use_case!$C$2:$C$9,MATCH($B29,Minutes_by_use_case!$A$2:$A$9,0)),"-")</f>
        <v>66700.388888888891</v>
      </c>
      <c r="R29" s="128">
        <f>IFERROR(INDEX(Minutes_by_use_case!$C$2:$C$9,MATCH($B29,Minutes_by_use_case!$A$2:$A$9,0)),"-")</f>
        <v>66700.388888888891</v>
      </c>
      <c r="S29" s="128">
        <f>IFERROR(INDEX(Minutes_by_use_case!$C$2:$C$9,MATCH($B29,Minutes_by_use_case!$A$2:$A$9,0)),"-")</f>
        <v>66700.388888888891</v>
      </c>
      <c r="T29" s="128">
        <f>IFERROR(INDEX(Minutes_by_use_case!$C$2:$C$9,MATCH($B29,Minutes_by_use_case!$A$2:$A$9,0)),"-")</f>
        <v>66700.388888888891</v>
      </c>
      <c r="U29" s="128">
        <f>IFERROR(INDEX(Minutes_by_use_case!$C$2:$C$9,MATCH($B29,Minutes_by_use_case!$A$2:$A$9,0)),"-")</f>
        <v>66700.388888888891</v>
      </c>
      <c r="V29" s="128">
        <f>IFERROR(INDEX(Minutes_by_use_case!$C$2:$C$9,MATCH($B29,Minutes_by_use_case!$A$2:$A$9,0)),"-")</f>
        <v>66700.388888888891</v>
      </c>
      <c r="W29" s="128">
        <f>IFERROR(INDEX(Minutes_by_use_case!$C$2:$C$9,MATCH($B29,Minutes_by_use_case!$A$2:$A$9,0)),"-")</f>
        <v>66700.388888888891</v>
      </c>
    </row>
    <row r="30" spans="1:23" x14ac:dyDescent="0.25">
      <c r="A30" s="46" t="s">
        <v>46</v>
      </c>
      <c r="B30" s="46" t="s">
        <v>59</v>
      </c>
      <c r="C30" s="135"/>
      <c r="D30" s="128">
        <f>IFERROR(INDEX(Minutes_by_use_case!$C$2:$C$9,MATCH($B30,Minutes_by_use_case!$A$2:$A$9,0)),"-")</f>
        <v>114879</v>
      </c>
      <c r="E30" s="128">
        <f>IFERROR(INDEX(Minutes_by_use_case!$C$2:$C$9,MATCH($B30,Minutes_by_use_case!$A$2:$A$9,0)),"-")</f>
        <v>114879</v>
      </c>
      <c r="F30" s="128">
        <f>IFERROR(INDEX(Minutes_by_use_case!$C$2:$C$9,MATCH($B30,Minutes_by_use_case!$A$2:$A$9,0)),"-")</f>
        <v>114879</v>
      </c>
      <c r="G30" s="128">
        <f>IFERROR(INDEX(Minutes_by_use_case!$C$2:$C$9,MATCH($B30,Minutes_by_use_case!$A$2:$A$9,0)),"-")</f>
        <v>114879</v>
      </c>
      <c r="H30" s="128">
        <f>IFERROR(INDEX(Minutes_by_use_case!$C$2:$C$9,MATCH($B30,Minutes_by_use_case!$A$2:$A$9,0)),"-")</f>
        <v>114879</v>
      </c>
      <c r="I30" s="128">
        <f>IFERROR(INDEX(Minutes_by_use_case!$C$2:$C$9,MATCH($B30,Minutes_by_use_case!$A$2:$A$9,0)),"-")</f>
        <v>114879</v>
      </c>
      <c r="J30" s="128">
        <f>IFERROR(INDEX(Minutes_by_use_case!$C$2:$C$9,MATCH($B30,Minutes_by_use_case!$A$2:$A$9,0)),"-")</f>
        <v>114879</v>
      </c>
      <c r="K30" s="128">
        <f>IFERROR(INDEX(Minutes_by_use_case!$C$2:$C$9,MATCH($B30,Minutes_by_use_case!$A$2:$A$9,0)),"-")</f>
        <v>114879</v>
      </c>
      <c r="L30" s="128">
        <f>IFERROR(INDEX(Minutes_by_use_case!$C$2:$C$9,MATCH($B30,Minutes_by_use_case!$A$2:$A$9,0)),"-")</f>
        <v>114879</v>
      </c>
      <c r="M30" s="128">
        <f>IFERROR(INDEX(Minutes_by_use_case!$C$2:$C$9,MATCH($B30,Minutes_by_use_case!$A$2:$A$9,0)),"-")</f>
        <v>114879</v>
      </c>
      <c r="N30" s="128">
        <f>IFERROR(INDEX(Minutes_by_use_case!$C$2:$C$9,MATCH($B30,Minutes_by_use_case!$A$2:$A$9,0)),"-")</f>
        <v>114879</v>
      </c>
      <c r="O30" s="128">
        <f>IFERROR(INDEX(Minutes_by_use_case!$C$2:$C$9,MATCH($B30,Minutes_by_use_case!$A$2:$A$9,0)),"-")</f>
        <v>114879</v>
      </c>
      <c r="P30" s="128">
        <f>IFERROR(INDEX(Minutes_by_use_case!$C$2:$C$9,MATCH($B30,Minutes_by_use_case!$A$2:$A$9,0)),"-")</f>
        <v>114879</v>
      </c>
      <c r="Q30" s="128">
        <f>IFERROR(INDEX(Minutes_by_use_case!$C$2:$C$9,MATCH($B30,Minutes_by_use_case!$A$2:$A$9,0)),"-")</f>
        <v>114879</v>
      </c>
      <c r="R30" s="128">
        <f>IFERROR(INDEX(Minutes_by_use_case!$C$2:$C$9,MATCH($B30,Minutes_by_use_case!$A$2:$A$9,0)),"-")</f>
        <v>114879</v>
      </c>
      <c r="S30" s="128">
        <f>IFERROR(INDEX(Minutes_by_use_case!$C$2:$C$9,MATCH($B30,Minutes_by_use_case!$A$2:$A$9,0)),"-")</f>
        <v>114879</v>
      </c>
      <c r="T30" s="128">
        <f>IFERROR(INDEX(Minutes_by_use_case!$C$2:$C$9,MATCH($B30,Minutes_by_use_case!$A$2:$A$9,0)),"-")</f>
        <v>114879</v>
      </c>
      <c r="U30" s="128">
        <f>IFERROR(INDEX(Minutes_by_use_case!$C$2:$C$9,MATCH($B30,Minutes_by_use_case!$A$2:$A$9,0)),"-")</f>
        <v>114879</v>
      </c>
      <c r="V30" s="128">
        <f>IFERROR(INDEX(Minutes_by_use_case!$C$2:$C$9,MATCH($B30,Minutes_by_use_case!$A$2:$A$9,0)),"-")</f>
        <v>114879</v>
      </c>
      <c r="W30" s="128">
        <f>IFERROR(INDEX(Minutes_by_use_case!$C$2:$C$9,MATCH($B30,Minutes_by_use_case!$A$2:$A$9,0)),"-")</f>
        <v>114879</v>
      </c>
    </row>
    <row r="31" spans="1:23" x14ac:dyDescent="0.25">
      <c r="A31" s="46" t="s">
        <v>70</v>
      </c>
      <c r="B31" s="46" t="s">
        <v>59</v>
      </c>
      <c r="C31" s="135"/>
      <c r="D31" s="128">
        <f>IFERROR(INDEX(Minutes_by_use_case!$C$2:$C$9,MATCH($B31,Minutes_by_use_case!$A$2:$A$9,0)),"-")</f>
        <v>114879</v>
      </c>
      <c r="E31" s="128">
        <f>IFERROR(INDEX(Minutes_by_use_case!$C$2:$C$9,MATCH($B31,Minutes_by_use_case!$A$2:$A$9,0)),"-")</f>
        <v>114879</v>
      </c>
      <c r="F31" s="128">
        <f>IFERROR(INDEX(Minutes_by_use_case!$C$2:$C$9,MATCH($B31,Minutes_by_use_case!$A$2:$A$9,0)),"-")</f>
        <v>114879</v>
      </c>
      <c r="G31" s="128">
        <f>IFERROR(INDEX(Minutes_by_use_case!$C$2:$C$9,MATCH($B31,Minutes_by_use_case!$A$2:$A$9,0)),"-")</f>
        <v>114879</v>
      </c>
      <c r="H31" s="128">
        <f>IFERROR(INDEX(Minutes_by_use_case!$C$2:$C$9,MATCH($B31,Minutes_by_use_case!$A$2:$A$9,0)),"-")</f>
        <v>114879</v>
      </c>
      <c r="I31" s="128">
        <f>IFERROR(INDEX(Minutes_by_use_case!$C$2:$C$9,MATCH($B31,Minutes_by_use_case!$A$2:$A$9,0)),"-")</f>
        <v>114879</v>
      </c>
      <c r="J31" s="128">
        <f>IFERROR(INDEX(Minutes_by_use_case!$C$2:$C$9,MATCH($B31,Minutes_by_use_case!$A$2:$A$9,0)),"-")</f>
        <v>114879</v>
      </c>
      <c r="K31" s="128">
        <f>IFERROR(INDEX(Minutes_by_use_case!$C$2:$C$9,MATCH($B31,Minutes_by_use_case!$A$2:$A$9,0)),"-")</f>
        <v>114879</v>
      </c>
      <c r="L31" s="128">
        <f>IFERROR(INDEX(Minutes_by_use_case!$C$2:$C$9,MATCH($B31,Minutes_by_use_case!$A$2:$A$9,0)),"-")</f>
        <v>114879</v>
      </c>
      <c r="M31" s="128">
        <f>IFERROR(INDEX(Minutes_by_use_case!$C$2:$C$9,MATCH($B31,Minutes_by_use_case!$A$2:$A$9,0)),"-")</f>
        <v>114879</v>
      </c>
      <c r="N31" s="128">
        <f>IFERROR(INDEX(Minutes_by_use_case!$C$2:$C$9,MATCH($B31,Minutes_by_use_case!$A$2:$A$9,0)),"-")</f>
        <v>114879</v>
      </c>
      <c r="O31" s="128">
        <f>IFERROR(INDEX(Minutes_by_use_case!$C$2:$C$9,MATCH($B31,Minutes_by_use_case!$A$2:$A$9,0)),"-")</f>
        <v>114879</v>
      </c>
      <c r="P31" s="128">
        <f>IFERROR(INDEX(Minutes_by_use_case!$C$2:$C$9,MATCH($B31,Minutes_by_use_case!$A$2:$A$9,0)),"-")</f>
        <v>114879</v>
      </c>
      <c r="Q31" s="128">
        <f>IFERROR(INDEX(Minutes_by_use_case!$C$2:$C$9,MATCH($B31,Minutes_by_use_case!$A$2:$A$9,0)),"-")</f>
        <v>114879</v>
      </c>
      <c r="R31" s="128">
        <f>IFERROR(INDEX(Minutes_by_use_case!$C$2:$C$9,MATCH($B31,Minutes_by_use_case!$A$2:$A$9,0)),"-")</f>
        <v>114879</v>
      </c>
      <c r="S31" s="128">
        <f>IFERROR(INDEX(Minutes_by_use_case!$C$2:$C$9,MATCH($B31,Minutes_by_use_case!$A$2:$A$9,0)),"-")</f>
        <v>114879</v>
      </c>
      <c r="T31" s="128">
        <f>IFERROR(INDEX(Minutes_by_use_case!$C$2:$C$9,MATCH($B31,Minutes_by_use_case!$A$2:$A$9,0)),"-")</f>
        <v>114879</v>
      </c>
      <c r="U31" s="128">
        <f>IFERROR(INDEX(Minutes_by_use_case!$C$2:$C$9,MATCH($B31,Minutes_by_use_case!$A$2:$A$9,0)),"-")</f>
        <v>114879</v>
      </c>
      <c r="V31" s="128">
        <f>IFERROR(INDEX(Minutes_by_use_case!$C$2:$C$9,MATCH($B31,Minutes_by_use_case!$A$2:$A$9,0)),"-")</f>
        <v>114879</v>
      </c>
      <c r="W31" s="128">
        <f>IFERROR(INDEX(Minutes_by_use_case!$C$2:$C$9,MATCH($B31,Minutes_by_use_case!$A$2:$A$9,0)),"-")</f>
        <v>114879</v>
      </c>
    </row>
    <row r="32" spans="1:23" x14ac:dyDescent="0.25">
      <c r="A32" s="46" t="s">
        <v>47</v>
      </c>
      <c r="B32" s="46" t="s">
        <v>64</v>
      </c>
      <c r="C32" s="135"/>
      <c r="D32" s="128" t="str">
        <f>IFERROR(INDEX(Minutes_by_use_case!$C$2:$C$9,MATCH($B32,Minutes_by_use_case!$A$2:$A$9,0)),"-")</f>
        <v>-</v>
      </c>
      <c r="E32" s="128" t="str">
        <f>IFERROR(INDEX(Minutes_by_use_case!$C$2:$C$9,MATCH($B32,Minutes_by_use_case!$A$2:$A$9,0)),"-")</f>
        <v>-</v>
      </c>
      <c r="F32" s="128" t="str">
        <f>IFERROR(INDEX(Minutes_by_use_case!$C$2:$C$9,MATCH($B32,Minutes_by_use_case!$A$2:$A$9,0)),"-")</f>
        <v>-</v>
      </c>
      <c r="G32" s="128" t="str">
        <f>IFERROR(INDEX(Minutes_by_use_case!$C$2:$C$9,MATCH($B32,Minutes_by_use_case!$A$2:$A$9,0)),"-")</f>
        <v>-</v>
      </c>
      <c r="H32" s="128" t="str">
        <f>IFERROR(INDEX(Minutes_by_use_case!$C$2:$C$9,MATCH($B32,Minutes_by_use_case!$A$2:$A$9,0)),"-")</f>
        <v>-</v>
      </c>
      <c r="I32" s="128" t="str">
        <f>IFERROR(INDEX(Minutes_by_use_case!$C$2:$C$9,MATCH($B32,Minutes_by_use_case!$A$2:$A$9,0)),"-")</f>
        <v>-</v>
      </c>
      <c r="J32" s="128" t="str">
        <f>IFERROR(INDEX(Minutes_by_use_case!$C$2:$C$9,MATCH($B32,Minutes_by_use_case!$A$2:$A$9,0)),"-")</f>
        <v>-</v>
      </c>
      <c r="K32" s="128" t="str">
        <f>IFERROR(INDEX(Minutes_by_use_case!$C$2:$C$9,MATCH($B32,Minutes_by_use_case!$A$2:$A$9,0)),"-")</f>
        <v>-</v>
      </c>
      <c r="L32" s="128" t="str">
        <f>IFERROR(INDEX(Minutes_by_use_case!$C$2:$C$9,MATCH($B32,Minutes_by_use_case!$A$2:$A$9,0)),"-")</f>
        <v>-</v>
      </c>
      <c r="M32" s="128" t="str">
        <f>IFERROR(INDEX(Minutes_by_use_case!$C$2:$C$9,MATCH($B32,Minutes_by_use_case!$A$2:$A$9,0)),"-")</f>
        <v>-</v>
      </c>
      <c r="N32" s="128" t="str">
        <f>IFERROR(INDEX(Minutes_by_use_case!$C$2:$C$9,MATCH($B32,Minutes_by_use_case!$A$2:$A$9,0)),"-")</f>
        <v>-</v>
      </c>
      <c r="O32" s="128" t="str">
        <f>IFERROR(INDEX(Minutes_by_use_case!$C$2:$C$9,MATCH($B32,Minutes_by_use_case!$A$2:$A$9,0)),"-")</f>
        <v>-</v>
      </c>
      <c r="P32" s="128" t="str">
        <f>IFERROR(INDEX(Minutes_by_use_case!$C$2:$C$9,MATCH($B32,Minutes_by_use_case!$A$2:$A$9,0)),"-")</f>
        <v>-</v>
      </c>
      <c r="Q32" s="128" t="str">
        <f>IFERROR(INDEX(Minutes_by_use_case!$C$2:$C$9,MATCH($B32,Minutes_by_use_case!$A$2:$A$9,0)),"-")</f>
        <v>-</v>
      </c>
      <c r="R32" s="128" t="str">
        <f>IFERROR(INDEX(Minutes_by_use_case!$C$2:$C$9,MATCH($B32,Minutes_by_use_case!$A$2:$A$9,0)),"-")</f>
        <v>-</v>
      </c>
      <c r="S32" s="128" t="str">
        <f>IFERROR(INDEX(Minutes_by_use_case!$C$2:$C$9,MATCH($B32,Minutes_by_use_case!$A$2:$A$9,0)),"-")</f>
        <v>-</v>
      </c>
      <c r="T32" s="128" t="str">
        <f>IFERROR(INDEX(Minutes_by_use_case!$C$2:$C$9,MATCH($B32,Minutes_by_use_case!$A$2:$A$9,0)),"-")</f>
        <v>-</v>
      </c>
      <c r="U32" s="128" t="str">
        <f>IFERROR(INDEX(Minutes_by_use_case!$C$2:$C$9,MATCH($B32,Minutes_by_use_case!$A$2:$A$9,0)),"-")</f>
        <v>-</v>
      </c>
      <c r="V32" s="128" t="str">
        <f>IFERROR(INDEX(Minutes_by_use_case!$C$2:$C$9,MATCH($B32,Minutes_by_use_case!$A$2:$A$9,0)),"-")</f>
        <v>-</v>
      </c>
      <c r="W32" s="128" t="str">
        <f>IFERROR(INDEX(Minutes_by_use_case!$C$2:$C$9,MATCH($B32,Minutes_by_use_case!$A$2:$A$9,0)),"-")</f>
        <v>-</v>
      </c>
    </row>
    <row r="33" spans="1:23" x14ac:dyDescent="0.25">
      <c r="A33" s="46" t="s">
        <v>48</v>
      </c>
      <c r="B33" s="46" t="s">
        <v>64</v>
      </c>
      <c r="C33" s="135"/>
      <c r="D33" s="128" t="str">
        <f>IFERROR(INDEX(Minutes_by_use_case!$C$2:$C$9,MATCH($B33,Minutes_by_use_case!$A$2:$A$9,0)),"-")</f>
        <v>-</v>
      </c>
      <c r="E33" s="128" t="str">
        <f>IFERROR(INDEX(Minutes_by_use_case!$C$2:$C$9,MATCH($B33,Minutes_by_use_case!$A$2:$A$9,0)),"-")</f>
        <v>-</v>
      </c>
      <c r="F33" s="128" t="str">
        <f>IFERROR(INDEX(Minutes_by_use_case!$C$2:$C$9,MATCH($B33,Minutes_by_use_case!$A$2:$A$9,0)),"-")</f>
        <v>-</v>
      </c>
      <c r="G33" s="128" t="str">
        <f>IFERROR(INDEX(Minutes_by_use_case!$C$2:$C$9,MATCH($B33,Minutes_by_use_case!$A$2:$A$9,0)),"-")</f>
        <v>-</v>
      </c>
      <c r="H33" s="128" t="str">
        <f>IFERROR(INDEX(Minutes_by_use_case!$C$2:$C$9,MATCH($B33,Minutes_by_use_case!$A$2:$A$9,0)),"-")</f>
        <v>-</v>
      </c>
      <c r="I33" s="128" t="str">
        <f>IFERROR(INDEX(Minutes_by_use_case!$C$2:$C$9,MATCH($B33,Minutes_by_use_case!$A$2:$A$9,0)),"-")</f>
        <v>-</v>
      </c>
      <c r="J33" s="128" t="str">
        <f>IFERROR(INDEX(Minutes_by_use_case!$C$2:$C$9,MATCH($B33,Minutes_by_use_case!$A$2:$A$9,0)),"-")</f>
        <v>-</v>
      </c>
      <c r="K33" s="128" t="str">
        <f>IFERROR(INDEX(Minutes_by_use_case!$C$2:$C$9,MATCH($B33,Minutes_by_use_case!$A$2:$A$9,0)),"-")</f>
        <v>-</v>
      </c>
      <c r="L33" s="128" t="str">
        <f>IFERROR(INDEX(Minutes_by_use_case!$C$2:$C$9,MATCH($B33,Minutes_by_use_case!$A$2:$A$9,0)),"-")</f>
        <v>-</v>
      </c>
      <c r="M33" s="128" t="str">
        <f>IFERROR(INDEX(Minutes_by_use_case!$C$2:$C$9,MATCH($B33,Minutes_by_use_case!$A$2:$A$9,0)),"-")</f>
        <v>-</v>
      </c>
      <c r="N33" s="128" t="str">
        <f>IFERROR(INDEX(Minutes_by_use_case!$C$2:$C$9,MATCH($B33,Minutes_by_use_case!$A$2:$A$9,0)),"-")</f>
        <v>-</v>
      </c>
      <c r="O33" s="128" t="str">
        <f>IFERROR(INDEX(Minutes_by_use_case!$C$2:$C$9,MATCH($B33,Minutes_by_use_case!$A$2:$A$9,0)),"-")</f>
        <v>-</v>
      </c>
      <c r="P33" s="128" t="str">
        <f>IFERROR(INDEX(Minutes_by_use_case!$C$2:$C$9,MATCH($B33,Minutes_by_use_case!$A$2:$A$9,0)),"-")</f>
        <v>-</v>
      </c>
      <c r="Q33" s="128" t="str">
        <f>IFERROR(INDEX(Minutes_by_use_case!$C$2:$C$9,MATCH($B33,Minutes_by_use_case!$A$2:$A$9,0)),"-")</f>
        <v>-</v>
      </c>
      <c r="R33" s="128" t="str">
        <f>IFERROR(INDEX(Minutes_by_use_case!$C$2:$C$9,MATCH($B33,Minutes_by_use_case!$A$2:$A$9,0)),"-")</f>
        <v>-</v>
      </c>
      <c r="S33" s="128" t="str">
        <f>IFERROR(INDEX(Minutes_by_use_case!$C$2:$C$9,MATCH($B33,Minutes_by_use_case!$A$2:$A$9,0)),"-")</f>
        <v>-</v>
      </c>
      <c r="T33" s="128" t="str">
        <f>IFERROR(INDEX(Minutes_by_use_case!$C$2:$C$9,MATCH($B33,Minutes_by_use_case!$A$2:$A$9,0)),"-")</f>
        <v>-</v>
      </c>
      <c r="U33" s="128" t="str">
        <f>IFERROR(INDEX(Minutes_by_use_case!$C$2:$C$9,MATCH($B33,Minutes_by_use_case!$A$2:$A$9,0)),"-")</f>
        <v>-</v>
      </c>
      <c r="V33" s="128" t="str">
        <f>IFERROR(INDEX(Minutes_by_use_case!$C$2:$C$9,MATCH($B33,Minutes_by_use_case!$A$2:$A$9,0)),"-")</f>
        <v>-</v>
      </c>
      <c r="W33" s="128" t="str">
        <f>IFERROR(INDEX(Minutes_by_use_case!$C$2:$C$9,MATCH($B33,Minutes_by_use_case!$A$2:$A$9,0)),"-")</f>
        <v>-</v>
      </c>
    </row>
    <row r="34" spans="1:23" x14ac:dyDescent="0.25">
      <c r="A34" s="46" t="s">
        <v>49</v>
      </c>
      <c r="B34" s="46" t="s">
        <v>57</v>
      </c>
      <c r="C34" s="135"/>
      <c r="D34" s="128">
        <f>IFERROR(INDEX(Minutes_by_use_case!$C$2:$C$9,MATCH($B34,Minutes_by_use_case!$A$2:$A$9,0)),"-")</f>
        <v>66700.388888888891</v>
      </c>
      <c r="E34" s="128">
        <f>IFERROR(INDEX(Minutes_by_use_case!$C$2:$C$9,MATCH($B34,Minutes_by_use_case!$A$2:$A$9,0)),"-")</f>
        <v>66700.388888888891</v>
      </c>
      <c r="F34" s="128">
        <f>IFERROR(INDEX(Minutes_by_use_case!$C$2:$C$9,MATCH($B34,Minutes_by_use_case!$A$2:$A$9,0)),"-")</f>
        <v>66700.388888888891</v>
      </c>
      <c r="G34" s="128">
        <f>IFERROR(INDEX(Minutes_by_use_case!$C$2:$C$9,MATCH($B34,Minutes_by_use_case!$A$2:$A$9,0)),"-")</f>
        <v>66700.388888888891</v>
      </c>
      <c r="H34" s="128">
        <f>IFERROR(INDEX(Minutes_by_use_case!$C$2:$C$9,MATCH($B34,Minutes_by_use_case!$A$2:$A$9,0)),"-")</f>
        <v>66700.388888888891</v>
      </c>
      <c r="I34" s="128">
        <f>IFERROR(INDEX(Minutes_by_use_case!$C$2:$C$9,MATCH($B34,Minutes_by_use_case!$A$2:$A$9,0)),"-")</f>
        <v>66700.388888888891</v>
      </c>
      <c r="J34" s="128">
        <f>IFERROR(INDEX(Minutes_by_use_case!$C$2:$C$9,MATCH($B34,Minutes_by_use_case!$A$2:$A$9,0)),"-")</f>
        <v>66700.388888888891</v>
      </c>
      <c r="K34" s="128">
        <f>IFERROR(INDEX(Minutes_by_use_case!$C$2:$C$9,MATCH($B34,Minutes_by_use_case!$A$2:$A$9,0)),"-")</f>
        <v>66700.388888888891</v>
      </c>
      <c r="L34" s="128">
        <f>IFERROR(INDEX(Minutes_by_use_case!$C$2:$C$9,MATCH($B34,Minutes_by_use_case!$A$2:$A$9,0)),"-")</f>
        <v>66700.388888888891</v>
      </c>
      <c r="M34" s="128">
        <f>IFERROR(INDEX(Minutes_by_use_case!$C$2:$C$9,MATCH($B34,Minutes_by_use_case!$A$2:$A$9,0)),"-")</f>
        <v>66700.388888888891</v>
      </c>
      <c r="N34" s="128">
        <f>IFERROR(INDEX(Minutes_by_use_case!$C$2:$C$9,MATCH($B34,Minutes_by_use_case!$A$2:$A$9,0)),"-")</f>
        <v>66700.388888888891</v>
      </c>
      <c r="O34" s="128">
        <f>IFERROR(INDEX(Minutes_by_use_case!$C$2:$C$9,MATCH($B34,Minutes_by_use_case!$A$2:$A$9,0)),"-")</f>
        <v>66700.388888888891</v>
      </c>
      <c r="P34" s="128">
        <f>IFERROR(INDEX(Minutes_by_use_case!$C$2:$C$9,MATCH($B34,Minutes_by_use_case!$A$2:$A$9,0)),"-")</f>
        <v>66700.388888888891</v>
      </c>
      <c r="Q34" s="128">
        <f>IFERROR(INDEX(Minutes_by_use_case!$C$2:$C$9,MATCH($B34,Minutes_by_use_case!$A$2:$A$9,0)),"-")</f>
        <v>66700.388888888891</v>
      </c>
      <c r="R34" s="128">
        <f>IFERROR(INDEX(Minutes_by_use_case!$C$2:$C$9,MATCH($B34,Minutes_by_use_case!$A$2:$A$9,0)),"-")</f>
        <v>66700.388888888891</v>
      </c>
      <c r="S34" s="128">
        <f>IFERROR(INDEX(Minutes_by_use_case!$C$2:$C$9,MATCH($B34,Minutes_by_use_case!$A$2:$A$9,0)),"-")</f>
        <v>66700.388888888891</v>
      </c>
      <c r="T34" s="128">
        <f>IFERROR(INDEX(Minutes_by_use_case!$C$2:$C$9,MATCH($B34,Minutes_by_use_case!$A$2:$A$9,0)),"-")</f>
        <v>66700.388888888891</v>
      </c>
      <c r="U34" s="128">
        <f>IFERROR(INDEX(Minutes_by_use_case!$C$2:$C$9,MATCH($B34,Minutes_by_use_case!$A$2:$A$9,0)),"-")</f>
        <v>66700.388888888891</v>
      </c>
      <c r="V34" s="128">
        <f>IFERROR(INDEX(Minutes_by_use_case!$C$2:$C$9,MATCH($B34,Minutes_by_use_case!$A$2:$A$9,0)),"-")</f>
        <v>66700.388888888891</v>
      </c>
      <c r="W34" s="128">
        <f>IFERROR(INDEX(Minutes_by_use_case!$C$2:$C$9,MATCH($B34,Minutes_by_use_case!$A$2:$A$9,0)),"-")</f>
        <v>66700.388888888891</v>
      </c>
    </row>
    <row r="35" spans="1:23" x14ac:dyDescent="0.25">
      <c r="A35" s="46" t="s">
        <v>50</v>
      </c>
      <c r="B35" s="46" t="s">
        <v>61</v>
      </c>
      <c r="C35" s="135"/>
      <c r="D35" s="128">
        <f>IFERROR(INDEX(Minutes_by_use_case!$C$2:$C$9,MATCH($B35,Minutes_by_use_case!$A$2:$A$9,0)),"-")</f>
        <v>33739.333333333336</v>
      </c>
      <c r="E35" s="128">
        <f>IFERROR(INDEX(Minutes_by_use_case!$C$2:$C$9,MATCH($B35,Minutes_by_use_case!$A$2:$A$9,0)),"-")</f>
        <v>33739.333333333336</v>
      </c>
      <c r="F35" s="128">
        <f>IFERROR(INDEX(Minutes_by_use_case!$C$2:$C$9,MATCH($B35,Minutes_by_use_case!$A$2:$A$9,0)),"-")</f>
        <v>33739.333333333336</v>
      </c>
      <c r="G35" s="128">
        <f>IFERROR(INDEX(Minutes_by_use_case!$C$2:$C$9,MATCH($B35,Minutes_by_use_case!$A$2:$A$9,0)),"-")</f>
        <v>33739.333333333336</v>
      </c>
      <c r="H35" s="128">
        <f>IFERROR(INDEX(Minutes_by_use_case!$C$2:$C$9,MATCH($B35,Minutes_by_use_case!$A$2:$A$9,0)),"-")</f>
        <v>33739.333333333336</v>
      </c>
      <c r="I35" s="128">
        <f>IFERROR(INDEX(Minutes_by_use_case!$C$2:$C$9,MATCH($B35,Minutes_by_use_case!$A$2:$A$9,0)),"-")</f>
        <v>33739.333333333336</v>
      </c>
      <c r="J35" s="128">
        <f>IFERROR(INDEX(Minutes_by_use_case!$C$2:$C$9,MATCH($B35,Minutes_by_use_case!$A$2:$A$9,0)),"-")</f>
        <v>33739.333333333336</v>
      </c>
      <c r="K35" s="128">
        <f>IFERROR(INDEX(Minutes_by_use_case!$C$2:$C$9,MATCH($B35,Minutes_by_use_case!$A$2:$A$9,0)),"-")</f>
        <v>33739.333333333336</v>
      </c>
      <c r="L35" s="128">
        <f>IFERROR(INDEX(Minutes_by_use_case!$C$2:$C$9,MATCH($B35,Minutes_by_use_case!$A$2:$A$9,0)),"-")</f>
        <v>33739.333333333336</v>
      </c>
      <c r="M35" s="128">
        <f>IFERROR(INDEX(Minutes_by_use_case!$C$2:$C$9,MATCH($B35,Minutes_by_use_case!$A$2:$A$9,0)),"-")</f>
        <v>33739.333333333336</v>
      </c>
      <c r="N35" s="128">
        <f>IFERROR(INDEX(Minutes_by_use_case!$C$2:$C$9,MATCH($B35,Minutes_by_use_case!$A$2:$A$9,0)),"-")</f>
        <v>33739.333333333336</v>
      </c>
      <c r="O35" s="128">
        <f>IFERROR(INDEX(Minutes_by_use_case!$C$2:$C$9,MATCH($B35,Minutes_by_use_case!$A$2:$A$9,0)),"-")</f>
        <v>33739.333333333336</v>
      </c>
      <c r="P35" s="128">
        <f>IFERROR(INDEX(Minutes_by_use_case!$C$2:$C$9,MATCH($B35,Minutes_by_use_case!$A$2:$A$9,0)),"-")</f>
        <v>33739.333333333336</v>
      </c>
      <c r="Q35" s="128">
        <f>IFERROR(INDEX(Minutes_by_use_case!$C$2:$C$9,MATCH($B35,Minutes_by_use_case!$A$2:$A$9,0)),"-")</f>
        <v>33739.333333333336</v>
      </c>
      <c r="R35" s="128">
        <f>IFERROR(INDEX(Minutes_by_use_case!$C$2:$C$9,MATCH($B35,Minutes_by_use_case!$A$2:$A$9,0)),"-")</f>
        <v>33739.333333333336</v>
      </c>
      <c r="S35" s="128">
        <f>IFERROR(INDEX(Minutes_by_use_case!$C$2:$C$9,MATCH($B35,Minutes_by_use_case!$A$2:$A$9,0)),"-")</f>
        <v>33739.333333333336</v>
      </c>
      <c r="T35" s="128">
        <f>IFERROR(INDEX(Minutes_by_use_case!$C$2:$C$9,MATCH($B35,Minutes_by_use_case!$A$2:$A$9,0)),"-")</f>
        <v>33739.333333333336</v>
      </c>
      <c r="U35" s="128">
        <f>IFERROR(INDEX(Minutes_by_use_case!$C$2:$C$9,MATCH($B35,Minutes_by_use_case!$A$2:$A$9,0)),"-")</f>
        <v>33739.333333333336</v>
      </c>
      <c r="V35" s="128">
        <f>IFERROR(INDEX(Minutes_by_use_case!$C$2:$C$9,MATCH($B35,Minutes_by_use_case!$A$2:$A$9,0)),"-")</f>
        <v>33739.333333333336</v>
      </c>
      <c r="W35" s="128">
        <f>IFERROR(INDEX(Minutes_by_use_case!$C$2:$C$9,MATCH($B35,Minutes_by_use_case!$A$2:$A$9,0)),"-")</f>
        <v>33739.333333333336</v>
      </c>
    </row>
    <row r="36" spans="1:23" x14ac:dyDescent="0.25">
      <c r="A36" s="46" t="s">
        <v>79</v>
      </c>
      <c r="B36" s="46" t="s">
        <v>59</v>
      </c>
      <c r="C36" s="135"/>
      <c r="D36" s="128">
        <f>IFERROR(INDEX(Minutes_by_use_case!$C$2:$C$9,MATCH($B36,Minutes_by_use_case!$A$2:$A$9,0)),"-")</f>
        <v>114879</v>
      </c>
      <c r="E36" s="128">
        <f>IFERROR(INDEX(Minutes_by_use_case!$C$2:$C$9,MATCH($B36,Minutes_by_use_case!$A$2:$A$9,0)),"-")</f>
        <v>114879</v>
      </c>
      <c r="F36" s="128">
        <f>IFERROR(INDEX(Minutes_by_use_case!$C$2:$C$9,MATCH($B36,Minutes_by_use_case!$A$2:$A$9,0)),"-")</f>
        <v>114879</v>
      </c>
      <c r="G36" s="128">
        <f>IFERROR(INDEX(Minutes_by_use_case!$C$2:$C$9,MATCH($B36,Minutes_by_use_case!$A$2:$A$9,0)),"-")</f>
        <v>114879</v>
      </c>
      <c r="H36" s="128">
        <f>IFERROR(INDEX(Minutes_by_use_case!$C$2:$C$9,MATCH($B36,Minutes_by_use_case!$A$2:$A$9,0)),"-")</f>
        <v>114879</v>
      </c>
      <c r="I36" s="128">
        <f>IFERROR(INDEX(Minutes_by_use_case!$C$2:$C$9,MATCH($B36,Minutes_by_use_case!$A$2:$A$9,0)),"-")</f>
        <v>114879</v>
      </c>
      <c r="J36" s="128">
        <f>IFERROR(INDEX(Minutes_by_use_case!$C$2:$C$9,MATCH($B36,Minutes_by_use_case!$A$2:$A$9,0)),"-")</f>
        <v>114879</v>
      </c>
      <c r="K36" s="128">
        <f>IFERROR(INDEX(Minutes_by_use_case!$C$2:$C$9,MATCH($B36,Minutes_by_use_case!$A$2:$A$9,0)),"-")</f>
        <v>114879</v>
      </c>
      <c r="L36" s="128">
        <f>IFERROR(INDEX(Minutes_by_use_case!$C$2:$C$9,MATCH($B36,Minutes_by_use_case!$A$2:$A$9,0)),"-")</f>
        <v>114879</v>
      </c>
      <c r="M36" s="128">
        <f>IFERROR(INDEX(Minutes_by_use_case!$C$2:$C$9,MATCH($B36,Minutes_by_use_case!$A$2:$A$9,0)),"-")</f>
        <v>114879</v>
      </c>
      <c r="N36" s="128">
        <f>IFERROR(INDEX(Minutes_by_use_case!$C$2:$C$9,MATCH($B36,Minutes_by_use_case!$A$2:$A$9,0)),"-")</f>
        <v>114879</v>
      </c>
      <c r="O36" s="128">
        <f>IFERROR(INDEX(Minutes_by_use_case!$C$2:$C$9,MATCH($B36,Minutes_by_use_case!$A$2:$A$9,0)),"-")</f>
        <v>114879</v>
      </c>
      <c r="P36" s="128">
        <f>IFERROR(INDEX(Minutes_by_use_case!$C$2:$C$9,MATCH($B36,Minutes_by_use_case!$A$2:$A$9,0)),"-")</f>
        <v>114879</v>
      </c>
      <c r="Q36" s="128">
        <f>IFERROR(INDEX(Minutes_by_use_case!$C$2:$C$9,MATCH($B36,Minutes_by_use_case!$A$2:$A$9,0)),"-")</f>
        <v>114879</v>
      </c>
      <c r="R36" s="128">
        <f>IFERROR(INDEX(Minutes_by_use_case!$C$2:$C$9,MATCH($B36,Minutes_by_use_case!$A$2:$A$9,0)),"-")</f>
        <v>114879</v>
      </c>
      <c r="S36" s="128">
        <f>IFERROR(INDEX(Minutes_by_use_case!$C$2:$C$9,MATCH($B36,Minutes_by_use_case!$A$2:$A$9,0)),"-")</f>
        <v>114879</v>
      </c>
      <c r="T36" s="128">
        <f>IFERROR(INDEX(Minutes_by_use_case!$C$2:$C$9,MATCH($B36,Minutes_by_use_case!$A$2:$A$9,0)),"-")</f>
        <v>114879</v>
      </c>
      <c r="U36" s="128">
        <f>IFERROR(INDEX(Minutes_by_use_case!$C$2:$C$9,MATCH($B36,Minutes_by_use_case!$A$2:$A$9,0)),"-")</f>
        <v>114879</v>
      </c>
      <c r="V36" s="128">
        <f>IFERROR(INDEX(Minutes_by_use_case!$C$2:$C$9,MATCH($B36,Minutes_by_use_case!$A$2:$A$9,0)),"-")</f>
        <v>114879</v>
      </c>
      <c r="W36" s="128">
        <f>IFERROR(INDEX(Minutes_by_use_case!$C$2:$C$9,MATCH($B36,Minutes_by_use_case!$A$2:$A$9,0)),"-")</f>
        <v>114879</v>
      </c>
    </row>
    <row r="37" spans="1:23" x14ac:dyDescent="0.25">
      <c r="A37" s="46" t="s">
        <v>80</v>
      </c>
      <c r="B37" s="46" t="s">
        <v>62</v>
      </c>
      <c r="C37" s="135"/>
      <c r="D37" s="128" t="str">
        <f>IFERROR(INDEX(Minutes_by_use_case!$C$2:$C$9,MATCH($B37,Minutes_by_use_case!$A$2:$A$9,0)),"-")</f>
        <v>-</v>
      </c>
      <c r="E37" s="128" t="str">
        <f>IFERROR(INDEX(Minutes_by_use_case!$C$2:$C$9,MATCH($B37,Minutes_by_use_case!$A$2:$A$9,0)),"-")</f>
        <v>-</v>
      </c>
      <c r="F37" s="128" t="str">
        <f>IFERROR(INDEX(Minutes_by_use_case!$C$2:$C$9,MATCH($B37,Minutes_by_use_case!$A$2:$A$9,0)),"-")</f>
        <v>-</v>
      </c>
      <c r="G37" s="128" t="str">
        <f>IFERROR(INDEX(Minutes_by_use_case!$C$2:$C$9,MATCH($B37,Minutes_by_use_case!$A$2:$A$9,0)),"-")</f>
        <v>-</v>
      </c>
      <c r="H37" s="128" t="str">
        <f>IFERROR(INDEX(Minutes_by_use_case!$C$2:$C$9,MATCH($B37,Minutes_by_use_case!$A$2:$A$9,0)),"-")</f>
        <v>-</v>
      </c>
      <c r="I37" s="128" t="str">
        <f>IFERROR(INDEX(Minutes_by_use_case!$C$2:$C$9,MATCH($B37,Minutes_by_use_case!$A$2:$A$9,0)),"-")</f>
        <v>-</v>
      </c>
      <c r="J37" s="128" t="str">
        <f>IFERROR(INDEX(Minutes_by_use_case!$C$2:$C$9,MATCH($B37,Minutes_by_use_case!$A$2:$A$9,0)),"-")</f>
        <v>-</v>
      </c>
      <c r="K37" s="128" t="str">
        <f>IFERROR(INDEX(Minutes_by_use_case!$C$2:$C$9,MATCH($B37,Minutes_by_use_case!$A$2:$A$9,0)),"-")</f>
        <v>-</v>
      </c>
      <c r="L37" s="128" t="str">
        <f>IFERROR(INDEX(Minutes_by_use_case!$C$2:$C$9,MATCH($B37,Minutes_by_use_case!$A$2:$A$9,0)),"-")</f>
        <v>-</v>
      </c>
      <c r="M37" s="128" t="str">
        <f>IFERROR(INDEX(Minutes_by_use_case!$C$2:$C$9,MATCH($B37,Minutes_by_use_case!$A$2:$A$9,0)),"-")</f>
        <v>-</v>
      </c>
      <c r="N37" s="128" t="str">
        <f>IFERROR(INDEX(Minutes_by_use_case!$C$2:$C$9,MATCH($B37,Minutes_by_use_case!$A$2:$A$9,0)),"-")</f>
        <v>-</v>
      </c>
      <c r="O37" s="128" t="str">
        <f>IFERROR(INDEX(Minutes_by_use_case!$C$2:$C$9,MATCH($B37,Minutes_by_use_case!$A$2:$A$9,0)),"-")</f>
        <v>-</v>
      </c>
      <c r="P37" s="128" t="str">
        <f>IFERROR(INDEX(Minutes_by_use_case!$C$2:$C$9,MATCH($B37,Minutes_by_use_case!$A$2:$A$9,0)),"-")</f>
        <v>-</v>
      </c>
      <c r="Q37" s="128" t="str">
        <f>IFERROR(INDEX(Minutes_by_use_case!$C$2:$C$9,MATCH($B37,Minutes_by_use_case!$A$2:$A$9,0)),"-")</f>
        <v>-</v>
      </c>
      <c r="R37" s="128" t="str">
        <f>IFERROR(INDEX(Minutes_by_use_case!$C$2:$C$9,MATCH($B37,Minutes_by_use_case!$A$2:$A$9,0)),"-")</f>
        <v>-</v>
      </c>
      <c r="S37" s="128" t="str">
        <f>IFERROR(INDEX(Minutes_by_use_case!$C$2:$C$9,MATCH($B37,Minutes_by_use_case!$A$2:$A$9,0)),"-")</f>
        <v>-</v>
      </c>
      <c r="T37" s="128" t="str">
        <f>IFERROR(INDEX(Minutes_by_use_case!$C$2:$C$9,MATCH($B37,Minutes_by_use_case!$A$2:$A$9,0)),"-")</f>
        <v>-</v>
      </c>
      <c r="U37" s="128" t="str">
        <f>IFERROR(INDEX(Minutes_by_use_case!$C$2:$C$9,MATCH($B37,Minutes_by_use_case!$A$2:$A$9,0)),"-")</f>
        <v>-</v>
      </c>
      <c r="V37" s="128" t="str">
        <f>IFERROR(INDEX(Minutes_by_use_case!$C$2:$C$9,MATCH($B37,Minutes_by_use_case!$A$2:$A$9,0)),"-")</f>
        <v>-</v>
      </c>
      <c r="W37" s="128" t="str">
        <f>IFERROR(INDEX(Minutes_by_use_case!$C$2:$C$9,MATCH($B37,Minutes_by_use_case!$A$2:$A$9,0)),"-")</f>
        <v>-</v>
      </c>
    </row>
    <row r="38" spans="1:23" x14ac:dyDescent="0.25">
      <c r="A38" s="46" t="s">
        <v>81</v>
      </c>
      <c r="B38" s="46" t="s">
        <v>57</v>
      </c>
      <c r="C38" s="135"/>
      <c r="D38" s="128">
        <f>IFERROR(INDEX(Minutes_by_use_case!$C$2:$C$9,MATCH($B38,Minutes_by_use_case!$A$2:$A$9,0)),"-")</f>
        <v>66700.388888888891</v>
      </c>
      <c r="E38" s="128">
        <f>IFERROR(INDEX(Minutes_by_use_case!$C$2:$C$9,MATCH($B38,Minutes_by_use_case!$A$2:$A$9,0)),"-")</f>
        <v>66700.388888888891</v>
      </c>
      <c r="F38" s="128">
        <f>IFERROR(INDEX(Minutes_by_use_case!$C$2:$C$9,MATCH($B38,Minutes_by_use_case!$A$2:$A$9,0)),"-")</f>
        <v>66700.388888888891</v>
      </c>
      <c r="G38" s="128">
        <f>IFERROR(INDEX(Minutes_by_use_case!$C$2:$C$9,MATCH($B38,Minutes_by_use_case!$A$2:$A$9,0)),"-")</f>
        <v>66700.388888888891</v>
      </c>
      <c r="H38" s="128">
        <f>IFERROR(INDEX(Minutes_by_use_case!$C$2:$C$9,MATCH($B38,Minutes_by_use_case!$A$2:$A$9,0)),"-")</f>
        <v>66700.388888888891</v>
      </c>
      <c r="I38" s="128">
        <f>IFERROR(INDEX(Minutes_by_use_case!$C$2:$C$9,MATCH($B38,Minutes_by_use_case!$A$2:$A$9,0)),"-")</f>
        <v>66700.388888888891</v>
      </c>
      <c r="J38" s="128">
        <f>IFERROR(INDEX(Minutes_by_use_case!$C$2:$C$9,MATCH($B38,Minutes_by_use_case!$A$2:$A$9,0)),"-")</f>
        <v>66700.388888888891</v>
      </c>
      <c r="K38" s="128">
        <f>IFERROR(INDEX(Minutes_by_use_case!$C$2:$C$9,MATCH($B38,Minutes_by_use_case!$A$2:$A$9,0)),"-")</f>
        <v>66700.388888888891</v>
      </c>
      <c r="L38" s="128">
        <f>IFERROR(INDEX(Minutes_by_use_case!$C$2:$C$9,MATCH($B38,Minutes_by_use_case!$A$2:$A$9,0)),"-")</f>
        <v>66700.388888888891</v>
      </c>
      <c r="M38" s="128">
        <f>IFERROR(INDEX(Minutes_by_use_case!$C$2:$C$9,MATCH($B38,Minutes_by_use_case!$A$2:$A$9,0)),"-")</f>
        <v>66700.388888888891</v>
      </c>
      <c r="N38" s="128">
        <f>IFERROR(INDEX(Minutes_by_use_case!$C$2:$C$9,MATCH($B38,Minutes_by_use_case!$A$2:$A$9,0)),"-")</f>
        <v>66700.388888888891</v>
      </c>
      <c r="O38" s="128">
        <f>IFERROR(INDEX(Minutes_by_use_case!$C$2:$C$9,MATCH($B38,Minutes_by_use_case!$A$2:$A$9,0)),"-")</f>
        <v>66700.388888888891</v>
      </c>
      <c r="P38" s="128">
        <f>IFERROR(INDEX(Minutes_by_use_case!$C$2:$C$9,MATCH($B38,Minutes_by_use_case!$A$2:$A$9,0)),"-")</f>
        <v>66700.388888888891</v>
      </c>
      <c r="Q38" s="128">
        <f>IFERROR(INDEX(Minutes_by_use_case!$C$2:$C$9,MATCH($B38,Minutes_by_use_case!$A$2:$A$9,0)),"-")</f>
        <v>66700.388888888891</v>
      </c>
      <c r="R38" s="128">
        <f>IFERROR(INDEX(Minutes_by_use_case!$C$2:$C$9,MATCH($B38,Minutes_by_use_case!$A$2:$A$9,0)),"-")</f>
        <v>66700.388888888891</v>
      </c>
      <c r="S38" s="128">
        <f>IFERROR(INDEX(Minutes_by_use_case!$C$2:$C$9,MATCH($B38,Minutes_by_use_case!$A$2:$A$9,0)),"-")</f>
        <v>66700.388888888891</v>
      </c>
      <c r="T38" s="128">
        <f>IFERROR(INDEX(Minutes_by_use_case!$C$2:$C$9,MATCH($B38,Minutes_by_use_case!$A$2:$A$9,0)),"-")</f>
        <v>66700.388888888891</v>
      </c>
      <c r="U38" s="128">
        <f>IFERROR(INDEX(Minutes_by_use_case!$C$2:$C$9,MATCH($B38,Minutes_by_use_case!$A$2:$A$9,0)),"-")</f>
        <v>66700.388888888891</v>
      </c>
      <c r="V38" s="128">
        <f>IFERROR(INDEX(Minutes_by_use_case!$C$2:$C$9,MATCH($B38,Minutes_by_use_case!$A$2:$A$9,0)),"-")</f>
        <v>66700.388888888891</v>
      </c>
      <c r="W38" s="128">
        <f>IFERROR(INDEX(Minutes_by_use_case!$C$2:$C$9,MATCH($B38,Minutes_by_use_case!$A$2:$A$9,0)),"-")</f>
        <v>66700.388888888891</v>
      </c>
    </row>
    <row r="39" spans="1:23" x14ac:dyDescent="0.25">
      <c r="A39" s="46" t="s">
        <v>51</v>
      </c>
      <c r="B39" s="46" t="s">
        <v>56</v>
      </c>
      <c r="C39" s="135"/>
      <c r="D39" s="128">
        <f>IFERROR(INDEX(Minutes_by_use_case!$C$2:$C$9,MATCH($B39,Minutes_by_use_case!$A$2:$A$9,0)),"-")</f>
        <v>2364.2857142857142</v>
      </c>
      <c r="E39" s="128">
        <f>IFERROR(INDEX(Minutes_by_use_case!$C$2:$C$9,MATCH($B39,Minutes_by_use_case!$A$2:$A$9,0)),"-")</f>
        <v>2364.2857142857142</v>
      </c>
      <c r="F39" s="128">
        <f>IFERROR(INDEX(Minutes_by_use_case!$C$2:$C$9,MATCH($B39,Minutes_by_use_case!$A$2:$A$9,0)),"-")</f>
        <v>2364.2857142857142</v>
      </c>
      <c r="G39" s="128">
        <f>IFERROR(INDEX(Minutes_by_use_case!$C$2:$C$9,MATCH($B39,Minutes_by_use_case!$A$2:$A$9,0)),"-")</f>
        <v>2364.2857142857142</v>
      </c>
      <c r="H39" s="128">
        <f>IFERROR(INDEX(Minutes_by_use_case!$C$2:$C$9,MATCH($B39,Minutes_by_use_case!$A$2:$A$9,0)),"-")</f>
        <v>2364.2857142857142</v>
      </c>
      <c r="I39" s="128">
        <f>IFERROR(INDEX(Minutes_by_use_case!$C$2:$C$9,MATCH($B39,Minutes_by_use_case!$A$2:$A$9,0)),"-")</f>
        <v>2364.2857142857142</v>
      </c>
      <c r="J39" s="128">
        <f>IFERROR(INDEX(Minutes_by_use_case!$C$2:$C$9,MATCH($B39,Minutes_by_use_case!$A$2:$A$9,0)),"-")</f>
        <v>2364.2857142857142</v>
      </c>
      <c r="K39" s="128">
        <f>IFERROR(INDEX(Minutes_by_use_case!$C$2:$C$9,MATCH($B39,Minutes_by_use_case!$A$2:$A$9,0)),"-")</f>
        <v>2364.2857142857142</v>
      </c>
      <c r="L39" s="128">
        <f>IFERROR(INDEX(Minutes_by_use_case!$C$2:$C$9,MATCH($B39,Minutes_by_use_case!$A$2:$A$9,0)),"-")</f>
        <v>2364.2857142857142</v>
      </c>
      <c r="M39" s="128">
        <f>IFERROR(INDEX(Minutes_by_use_case!$C$2:$C$9,MATCH($B39,Minutes_by_use_case!$A$2:$A$9,0)),"-")</f>
        <v>2364.2857142857142</v>
      </c>
      <c r="N39" s="128">
        <f>IFERROR(INDEX(Minutes_by_use_case!$C$2:$C$9,MATCH($B39,Minutes_by_use_case!$A$2:$A$9,0)),"-")</f>
        <v>2364.2857142857142</v>
      </c>
      <c r="O39" s="128">
        <f>IFERROR(INDEX(Minutes_by_use_case!$C$2:$C$9,MATCH($B39,Minutes_by_use_case!$A$2:$A$9,0)),"-")</f>
        <v>2364.2857142857142</v>
      </c>
      <c r="P39" s="128">
        <f>IFERROR(INDEX(Minutes_by_use_case!$C$2:$C$9,MATCH($B39,Minutes_by_use_case!$A$2:$A$9,0)),"-")</f>
        <v>2364.2857142857142</v>
      </c>
      <c r="Q39" s="128">
        <f>IFERROR(INDEX(Minutes_by_use_case!$C$2:$C$9,MATCH($B39,Minutes_by_use_case!$A$2:$A$9,0)),"-")</f>
        <v>2364.2857142857142</v>
      </c>
      <c r="R39" s="128">
        <f>IFERROR(INDEX(Minutes_by_use_case!$C$2:$C$9,MATCH($B39,Minutes_by_use_case!$A$2:$A$9,0)),"-")</f>
        <v>2364.2857142857142</v>
      </c>
      <c r="S39" s="128">
        <f>IFERROR(INDEX(Minutes_by_use_case!$C$2:$C$9,MATCH($B39,Minutes_by_use_case!$A$2:$A$9,0)),"-")</f>
        <v>2364.2857142857142</v>
      </c>
      <c r="T39" s="128">
        <f>IFERROR(INDEX(Minutes_by_use_case!$C$2:$C$9,MATCH($B39,Minutes_by_use_case!$A$2:$A$9,0)),"-")</f>
        <v>2364.2857142857142</v>
      </c>
      <c r="U39" s="128">
        <f>IFERROR(INDEX(Minutes_by_use_case!$C$2:$C$9,MATCH($B39,Minutes_by_use_case!$A$2:$A$9,0)),"-")</f>
        <v>2364.2857142857142</v>
      </c>
      <c r="V39" s="128">
        <f>IFERROR(INDEX(Minutes_by_use_case!$C$2:$C$9,MATCH($B39,Minutes_by_use_case!$A$2:$A$9,0)),"-")</f>
        <v>2364.2857142857142</v>
      </c>
      <c r="W39" s="128">
        <f>IFERROR(INDEX(Minutes_by_use_case!$C$2:$C$9,MATCH($B39,Minutes_by_use_case!$A$2:$A$9,0)),"-")</f>
        <v>2364.2857142857142</v>
      </c>
    </row>
    <row r="40" spans="1:23" x14ac:dyDescent="0.25">
      <c r="A40" s="46" t="s">
        <v>52</v>
      </c>
      <c r="B40" s="46" t="s">
        <v>56</v>
      </c>
      <c r="C40" s="135"/>
      <c r="D40" s="128">
        <f>IFERROR(INDEX(Minutes_by_use_case!$C$2:$C$9,MATCH($B40,Minutes_by_use_case!$A$2:$A$9,0)),"-")</f>
        <v>2364.2857142857142</v>
      </c>
      <c r="E40" s="128">
        <f>IFERROR(INDEX(Minutes_by_use_case!$C$2:$C$9,MATCH($B40,Minutes_by_use_case!$A$2:$A$9,0)),"-")</f>
        <v>2364.2857142857142</v>
      </c>
      <c r="F40" s="128">
        <f>IFERROR(INDEX(Minutes_by_use_case!$C$2:$C$9,MATCH($B40,Minutes_by_use_case!$A$2:$A$9,0)),"-")</f>
        <v>2364.2857142857142</v>
      </c>
      <c r="G40" s="128">
        <f>IFERROR(INDEX(Minutes_by_use_case!$C$2:$C$9,MATCH($B40,Minutes_by_use_case!$A$2:$A$9,0)),"-")</f>
        <v>2364.2857142857142</v>
      </c>
      <c r="H40" s="128">
        <f>IFERROR(INDEX(Minutes_by_use_case!$C$2:$C$9,MATCH($B40,Minutes_by_use_case!$A$2:$A$9,0)),"-")</f>
        <v>2364.2857142857142</v>
      </c>
      <c r="I40" s="128">
        <f>IFERROR(INDEX(Minutes_by_use_case!$C$2:$C$9,MATCH($B40,Minutes_by_use_case!$A$2:$A$9,0)),"-")</f>
        <v>2364.2857142857142</v>
      </c>
      <c r="J40" s="128">
        <f>IFERROR(INDEX(Minutes_by_use_case!$C$2:$C$9,MATCH($B40,Minutes_by_use_case!$A$2:$A$9,0)),"-")</f>
        <v>2364.2857142857142</v>
      </c>
      <c r="K40" s="128">
        <f>IFERROR(INDEX(Minutes_by_use_case!$C$2:$C$9,MATCH($B40,Minutes_by_use_case!$A$2:$A$9,0)),"-")</f>
        <v>2364.2857142857142</v>
      </c>
      <c r="L40" s="128">
        <f>IFERROR(INDEX(Minutes_by_use_case!$C$2:$C$9,MATCH($B40,Minutes_by_use_case!$A$2:$A$9,0)),"-")</f>
        <v>2364.2857142857142</v>
      </c>
      <c r="M40" s="128">
        <f>IFERROR(INDEX(Minutes_by_use_case!$C$2:$C$9,MATCH($B40,Minutes_by_use_case!$A$2:$A$9,0)),"-")</f>
        <v>2364.2857142857142</v>
      </c>
      <c r="N40" s="128">
        <f>IFERROR(INDEX(Minutes_by_use_case!$C$2:$C$9,MATCH($B40,Minutes_by_use_case!$A$2:$A$9,0)),"-")</f>
        <v>2364.2857142857142</v>
      </c>
      <c r="O40" s="128">
        <f>IFERROR(INDEX(Minutes_by_use_case!$C$2:$C$9,MATCH($B40,Minutes_by_use_case!$A$2:$A$9,0)),"-")</f>
        <v>2364.2857142857142</v>
      </c>
      <c r="P40" s="128">
        <f>IFERROR(INDEX(Minutes_by_use_case!$C$2:$C$9,MATCH($B40,Minutes_by_use_case!$A$2:$A$9,0)),"-")</f>
        <v>2364.2857142857142</v>
      </c>
      <c r="Q40" s="128">
        <f>IFERROR(INDEX(Minutes_by_use_case!$C$2:$C$9,MATCH($B40,Minutes_by_use_case!$A$2:$A$9,0)),"-")</f>
        <v>2364.2857142857142</v>
      </c>
      <c r="R40" s="128">
        <f>IFERROR(INDEX(Minutes_by_use_case!$C$2:$C$9,MATCH($B40,Minutes_by_use_case!$A$2:$A$9,0)),"-")</f>
        <v>2364.2857142857142</v>
      </c>
      <c r="S40" s="128">
        <f>IFERROR(INDEX(Minutes_by_use_case!$C$2:$C$9,MATCH($B40,Minutes_by_use_case!$A$2:$A$9,0)),"-")</f>
        <v>2364.2857142857142</v>
      </c>
      <c r="T40" s="128">
        <f>IFERROR(INDEX(Minutes_by_use_case!$C$2:$C$9,MATCH($B40,Minutes_by_use_case!$A$2:$A$9,0)),"-")</f>
        <v>2364.2857142857142</v>
      </c>
      <c r="U40" s="128">
        <f>IFERROR(INDEX(Minutes_by_use_case!$C$2:$C$9,MATCH($B40,Minutes_by_use_case!$A$2:$A$9,0)),"-")</f>
        <v>2364.2857142857142</v>
      </c>
      <c r="V40" s="128">
        <f>IFERROR(INDEX(Minutes_by_use_case!$C$2:$C$9,MATCH($B40,Minutes_by_use_case!$A$2:$A$9,0)),"-")</f>
        <v>2364.2857142857142</v>
      </c>
      <c r="W40" s="128">
        <f>IFERROR(INDEX(Minutes_by_use_case!$C$2:$C$9,MATCH($B40,Minutes_by_use_case!$A$2:$A$9,0)),"-")</f>
        <v>2364.2857142857142</v>
      </c>
    </row>
    <row r="41" spans="1:23" x14ac:dyDescent="0.25">
      <c r="A41" s="46" t="s">
        <v>53</v>
      </c>
      <c r="B41" s="46" t="s">
        <v>56</v>
      </c>
      <c r="C41" s="135"/>
      <c r="D41" s="128">
        <f>IFERROR(INDEX(Minutes_by_use_case!$C$2:$C$9,MATCH($B41,Minutes_by_use_case!$A$2:$A$9,0)),"-")</f>
        <v>2364.2857142857142</v>
      </c>
      <c r="E41" s="128">
        <f>IFERROR(INDEX(Minutes_by_use_case!$C$2:$C$9,MATCH($B41,Minutes_by_use_case!$A$2:$A$9,0)),"-")</f>
        <v>2364.2857142857142</v>
      </c>
      <c r="F41" s="128">
        <f>IFERROR(INDEX(Minutes_by_use_case!$C$2:$C$9,MATCH($B41,Minutes_by_use_case!$A$2:$A$9,0)),"-")</f>
        <v>2364.2857142857142</v>
      </c>
      <c r="G41" s="128">
        <f>IFERROR(INDEX(Minutes_by_use_case!$C$2:$C$9,MATCH($B41,Minutes_by_use_case!$A$2:$A$9,0)),"-")</f>
        <v>2364.2857142857142</v>
      </c>
      <c r="H41" s="128">
        <f>IFERROR(INDEX(Minutes_by_use_case!$C$2:$C$9,MATCH($B41,Minutes_by_use_case!$A$2:$A$9,0)),"-")</f>
        <v>2364.2857142857142</v>
      </c>
      <c r="I41" s="128">
        <f>IFERROR(INDEX(Minutes_by_use_case!$C$2:$C$9,MATCH($B41,Minutes_by_use_case!$A$2:$A$9,0)),"-")</f>
        <v>2364.2857142857142</v>
      </c>
      <c r="J41" s="128">
        <f>IFERROR(INDEX(Minutes_by_use_case!$C$2:$C$9,MATCH($B41,Minutes_by_use_case!$A$2:$A$9,0)),"-")</f>
        <v>2364.2857142857142</v>
      </c>
      <c r="K41" s="128">
        <f>IFERROR(INDEX(Minutes_by_use_case!$C$2:$C$9,MATCH($B41,Minutes_by_use_case!$A$2:$A$9,0)),"-")</f>
        <v>2364.2857142857142</v>
      </c>
      <c r="L41" s="128">
        <f>IFERROR(INDEX(Minutes_by_use_case!$C$2:$C$9,MATCH($B41,Minutes_by_use_case!$A$2:$A$9,0)),"-")</f>
        <v>2364.2857142857142</v>
      </c>
      <c r="M41" s="128">
        <f>IFERROR(INDEX(Minutes_by_use_case!$C$2:$C$9,MATCH($B41,Minutes_by_use_case!$A$2:$A$9,0)),"-")</f>
        <v>2364.2857142857142</v>
      </c>
      <c r="N41" s="128">
        <f>IFERROR(INDEX(Minutes_by_use_case!$C$2:$C$9,MATCH($B41,Minutes_by_use_case!$A$2:$A$9,0)),"-")</f>
        <v>2364.2857142857142</v>
      </c>
      <c r="O41" s="128">
        <f>IFERROR(INDEX(Minutes_by_use_case!$C$2:$C$9,MATCH($B41,Minutes_by_use_case!$A$2:$A$9,0)),"-")</f>
        <v>2364.2857142857142</v>
      </c>
      <c r="P41" s="128">
        <f>IFERROR(INDEX(Minutes_by_use_case!$C$2:$C$9,MATCH($B41,Minutes_by_use_case!$A$2:$A$9,0)),"-")</f>
        <v>2364.2857142857142</v>
      </c>
      <c r="Q41" s="128">
        <f>IFERROR(INDEX(Minutes_by_use_case!$C$2:$C$9,MATCH($B41,Minutes_by_use_case!$A$2:$A$9,0)),"-")</f>
        <v>2364.2857142857142</v>
      </c>
      <c r="R41" s="128">
        <f>IFERROR(INDEX(Minutes_by_use_case!$C$2:$C$9,MATCH($B41,Minutes_by_use_case!$A$2:$A$9,0)),"-")</f>
        <v>2364.2857142857142</v>
      </c>
      <c r="S41" s="128">
        <f>IFERROR(INDEX(Minutes_by_use_case!$C$2:$C$9,MATCH($B41,Minutes_by_use_case!$A$2:$A$9,0)),"-")</f>
        <v>2364.2857142857142</v>
      </c>
      <c r="T41" s="128">
        <f>IFERROR(INDEX(Minutes_by_use_case!$C$2:$C$9,MATCH($B41,Minutes_by_use_case!$A$2:$A$9,0)),"-")</f>
        <v>2364.2857142857142</v>
      </c>
      <c r="U41" s="128">
        <f>IFERROR(INDEX(Minutes_by_use_case!$C$2:$C$9,MATCH($B41,Minutes_by_use_case!$A$2:$A$9,0)),"-")</f>
        <v>2364.2857142857142</v>
      </c>
      <c r="V41" s="128">
        <f>IFERROR(INDEX(Minutes_by_use_case!$C$2:$C$9,MATCH($B41,Minutes_by_use_case!$A$2:$A$9,0)),"-")</f>
        <v>2364.2857142857142</v>
      </c>
      <c r="W41" s="128">
        <f>IFERROR(INDEX(Minutes_by_use_case!$C$2:$C$9,MATCH($B41,Minutes_by_use_case!$A$2:$A$9,0)),"-")</f>
        <v>2364.2857142857142</v>
      </c>
    </row>
    <row r="42" spans="1:23" x14ac:dyDescent="0.25">
      <c r="A42" s="46" t="s">
        <v>54</v>
      </c>
      <c r="B42" s="46" t="s">
        <v>57</v>
      </c>
      <c r="C42" s="135"/>
      <c r="D42" s="128">
        <f>IFERROR(INDEX(Minutes_by_use_case!$C$2:$C$9,MATCH($B42,Minutes_by_use_case!$A$2:$A$9,0)),"-")</f>
        <v>66700.388888888891</v>
      </c>
      <c r="E42" s="128">
        <f>IFERROR(INDEX(Minutes_by_use_case!$C$2:$C$9,MATCH($B42,Minutes_by_use_case!$A$2:$A$9,0)),"-")</f>
        <v>66700.388888888891</v>
      </c>
      <c r="F42" s="128">
        <f>IFERROR(INDEX(Minutes_by_use_case!$C$2:$C$9,MATCH($B42,Minutes_by_use_case!$A$2:$A$9,0)),"-")</f>
        <v>66700.388888888891</v>
      </c>
      <c r="G42" s="128">
        <f>IFERROR(INDEX(Minutes_by_use_case!$C$2:$C$9,MATCH($B42,Minutes_by_use_case!$A$2:$A$9,0)),"-")</f>
        <v>66700.388888888891</v>
      </c>
      <c r="H42" s="128">
        <f>IFERROR(INDEX(Minutes_by_use_case!$C$2:$C$9,MATCH($B42,Minutes_by_use_case!$A$2:$A$9,0)),"-")</f>
        <v>66700.388888888891</v>
      </c>
      <c r="I42" s="128">
        <f>IFERROR(INDEX(Minutes_by_use_case!$C$2:$C$9,MATCH($B42,Minutes_by_use_case!$A$2:$A$9,0)),"-")</f>
        <v>66700.388888888891</v>
      </c>
      <c r="J42" s="128">
        <f>IFERROR(INDEX(Minutes_by_use_case!$C$2:$C$9,MATCH($B42,Minutes_by_use_case!$A$2:$A$9,0)),"-")</f>
        <v>66700.388888888891</v>
      </c>
      <c r="K42" s="128">
        <f>IFERROR(INDEX(Minutes_by_use_case!$C$2:$C$9,MATCH($B42,Minutes_by_use_case!$A$2:$A$9,0)),"-")</f>
        <v>66700.388888888891</v>
      </c>
      <c r="L42" s="128">
        <f>IFERROR(INDEX(Minutes_by_use_case!$C$2:$C$9,MATCH($B42,Minutes_by_use_case!$A$2:$A$9,0)),"-")</f>
        <v>66700.388888888891</v>
      </c>
      <c r="M42" s="128">
        <f>IFERROR(INDEX(Minutes_by_use_case!$C$2:$C$9,MATCH($B42,Minutes_by_use_case!$A$2:$A$9,0)),"-")</f>
        <v>66700.388888888891</v>
      </c>
      <c r="N42" s="128">
        <f>IFERROR(INDEX(Minutes_by_use_case!$C$2:$C$9,MATCH($B42,Minutes_by_use_case!$A$2:$A$9,0)),"-")</f>
        <v>66700.388888888891</v>
      </c>
      <c r="O42" s="128">
        <f>IFERROR(INDEX(Minutes_by_use_case!$C$2:$C$9,MATCH($B42,Minutes_by_use_case!$A$2:$A$9,0)),"-")</f>
        <v>66700.388888888891</v>
      </c>
      <c r="P42" s="128">
        <f>IFERROR(INDEX(Minutes_by_use_case!$C$2:$C$9,MATCH($B42,Minutes_by_use_case!$A$2:$A$9,0)),"-")</f>
        <v>66700.388888888891</v>
      </c>
      <c r="Q42" s="128">
        <f>IFERROR(INDEX(Minutes_by_use_case!$C$2:$C$9,MATCH($B42,Minutes_by_use_case!$A$2:$A$9,0)),"-")</f>
        <v>66700.388888888891</v>
      </c>
      <c r="R42" s="128">
        <f>IFERROR(INDEX(Minutes_by_use_case!$C$2:$C$9,MATCH($B42,Minutes_by_use_case!$A$2:$A$9,0)),"-")</f>
        <v>66700.388888888891</v>
      </c>
      <c r="S42" s="128">
        <f>IFERROR(INDEX(Minutes_by_use_case!$C$2:$C$9,MATCH($B42,Minutes_by_use_case!$A$2:$A$9,0)),"-")</f>
        <v>66700.388888888891</v>
      </c>
      <c r="T42" s="128">
        <f>IFERROR(INDEX(Minutes_by_use_case!$C$2:$C$9,MATCH($B42,Minutes_by_use_case!$A$2:$A$9,0)),"-")</f>
        <v>66700.388888888891</v>
      </c>
      <c r="U42" s="128">
        <f>IFERROR(INDEX(Minutes_by_use_case!$C$2:$C$9,MATCH($B42,Minutes_by_use_case!$A$2:$A$9,0)),"-")</f>
        <v>66700.388888888891</v>
      </c>
      <c r="V42" s="128">
        <f>IFERROR(INDEX(Minutes_by_use_case!$C$2:$C$9,MATCH($B42,Minutes_by_use_case!$A$2:$A$9,0)),"-")</f>
        <v>66700.388888888891</v>
      </c>
      <c r="W42" s="128">
        <f>IFERROR(INDEX(Minutes_by_use_case!$C$2:$C$9,MATCH($B42,Minutes_by_use_case!$A$2:$A$9,0)),"-")</f>
        <v>66700.388888888891</v>
      </c>
    </row>
    <row r="43" spans="1:23" x14ac:dyDescent="0.25">
      <c r="A43" s="46" t="s">
        <v>55</v>
      </c>
      <c r="B43" s="46" t="s">
        <v>57</v>
      </c>
      <c r="C43" s="128"/>
      <c r="D43" s="128">
        <f>IFERROR(INDEX(Minutes_by_use_case!$C$2:$C$9,MATCH($B43,Minutes_by_use_case!$A$2:$A$9,0)),"-")</f>
        <v>66700.388888888891</v>
      </c>
      <c r="E43" s="128">
        <f>IFERROR(INDEX(Minutes_by_use_case!$C$2:$C$9,MATCH($B43,Minutes_by_use_case!$A$2:$A$9,0)),"-")</f>
        <v>66700.388888888891</v>
      </c>
      <c r="F43" s="128">
        <f>IFERROR(INDEX(Minutes_by_use_case!$C$2:$C$9,MATCH($B43,Minutes_by_use_case!$A$2:$A$9,0)),"-")</f>
        <v>66700.388888888891</v>
      </c>
      <c r="G43" s="128">
        <f>IFERROR(INDEX(Minutes_by_use_case!$C$2:$C$9,MATCH($B43,Minutes_by_use_case!$A$2:$A$9,0)),"-")</f>
        <v>66700.388888888891</v>
      </c>
      <c r="H43" s="128">
        <f>IFERROR(INDEX(Minutes_by_use_case!$C$2:$C$9,MATCH($B43,Minutes_by_use_case!$A$2:$A$9,0)),"-")</f>
        <v>66700.388888888891</v>
      </c>
      <c r="I43" s="128">
        <f>IFERROR(INDEX(Minutes_by_use_case!$C$2:$C$9,MATCH($B43,Minutes_by_use_case!$A$2:$A$9,0)),"-")</f>
        <v>66700.388888888891</v>
      </c>
      <c r="J43" s="128">
        <f>IFERROR(INDEX(Minutes_by_use_case!$C$2:$C$9,MATCH($B43,Minutes_by_use_case!$A$2:$A$9,0)),"-")</f>
        <v>66700.388888888891</v>
      </c>
      <c r="K43" s="128">
        <f>IFERROR(INDEX(Minutes_by_use_case!$C$2:$C$9,MATCH($B43,Minutes_by_use_case!$A$2:$A$9,0)),"-")</f>
        <v>66700.388888888891</v>
      </c>
      <c r="L43" s="128">
        <f>IFERROR(INDEX(Minutes_by_use_case!$C$2:$C$9,MATCH($B43,Minutes_by_use_case!$A$2:$A$9,0)),"-")</f>
        <v>66700.388888888891</v>
      </c>
      <c r="M43" s="128">
        <f>IFERROR(INDEX(Minutes_by_use_case!$C$2:$C$9,MATCH($B43,Minutes_by_use_case!$A$2:$A$9,0)),"-")</f>
        <v>66700.388888888891</v>
      </c>
      <c r="N43" s="128">
        <f>IFERROR(INDEX(Minutes_by_use_case!$C$2:$C$9,MATCH($B43,Minutes_by_use_case!$A$2:$A$9,0)),"-")</f>
        <v>66700.388888888891</v>
      </c>
      <c r="O43" s="128">
        <f>IFERROR(INDEX(Minutes_by_use_case!$C$2:$C$9,MATCH($B43,Minutes_by_use_case!$A$2:$A$9,0)),"-")</f>
        <v>66700.388888888891</v>
      </c>
      <c r="P43" s="128">
        <f>IFERROR(INDEX(Minutes_by_use_case!$C$2:$C$9,MATCH($B43,Minutes_by_use_case!$A$2:$A$9,0)),"-")</f>
        <v>66700.388888888891</v>
      </c>
      <c r="Q43" s="128">
        <f>IFERROR(INDEX(Minutes_by_use_case!$C$2:$C$9,MATCH($B43,Minutes_by_use_case!$A$2:$A$9,0)),"-")</f>
        <v>66700.388888888891</v>
      </c>
      <c r="R43" s="128">
        <f>IFERROR(INDEX(Minutes_by_use_case!$C$2:$C$9,MATCH($B43,Minutes_by_use_case!$A$2:$A$9,0)),"-")</f>
        <v>66700.388888888891</v>
      </c>
      <c r="S43" s="128">
        <f>IFERROR(INDEX(Minutes_by_use_case!$C$2:$C$9,MATCH($B43,Minutes_by_use_case!$A$2:$A$9,0)),"-")</f>
        <v>66700.388888888891</v>
      </c>
      <c r="T43" s="128">
        <f>IFERROR(INDEX(Minutes_by_use_case!$C$2:$C$9,MATCH($B43,Minutes_by_use_case!$A$2:$A$9,0)),"-")</f>
        <v>66700.388888888891</v>
      </c>
      <c r="U43" s="128">
        <f>IFERROR(INDEX(Minutes_by_use_case!$C$2:$C$9,MATCH($B43,Minutes_by_use_case!$A$2:$A$9,0)),"-")</f>
        <v>66700.388888888891</v>
      </c>
      <c r="V43" s="128">
        <f>IFERROR(INDEX(Minutes_by_use_case!$C$2:$C$9,MATCH($B43,Minutes_by_use_case!$A$2:$A$9,0)),"-")</f>
        <v>66700.388888888891</v>
      </c>
      <c r="W43" s="128">
        <f>IFERROR(INDEX(Minutes_by_use_case!$C$2:$C$9,MATCH($B43,Minutes_by_use_case!$A$2:$A$9,0)),"-")</f>
        <v>66700.388888888891</v>
      </c>
    </row>
    <row r="44" spans="1:23" x14ac:dyDescent="0.25">
      <c r="A44" s="110" t="s">
        <v>108</v>
      </c>
      <c r="B44" s="37" t="s">
        <v>59</v>
      </c>
      <c r="C44" s="128" t="s">
        <v>11</v>
      </c>
      <c r="D44" s="128">
        <f>Minutes_by_use_case!$C2</f>
        <v>114879</v>
      </c>
      <c r="E44" s="128">
        <f>Minutes_by_use_case!$C2</f>
        <v>114879</v>
      </c>
      <c r="F44" s="128">
        <f>Minutes_by_use_case!$C2</f>
        <v>114879</v>
      </c>
      <c r="G44" s="128">
        <f>Minutes_by_use_case!$C2</f>
        <v>114879</v>
      </c>
      <c r="H44" s="128">
        <f>Minutes_by_use_case!$C2</f>
        <v>114879</v>
      </c>
      <c r="I44" s="128">
        <f>Minutes_by_use_case!$C2</f>
        <v>114879</v>
      </c>
      <c r="J44" s="128">
        <f>Minutes_by_use_case!$C2</f>
        <v>114879</v>
      </c>
      <c r="K44" s="128">
        <f>Minutes_by_use_case!$C2</f>
        <v>114879</v>
      </c>
      <c r="L44" s="128">
        <f>Minutes_by_use_case!$C2</f>
        <v>114879</v>
      </c>
      <c r="M44" s="128">
        <f>Minutes_by_use_case!$C2</f>
        <v>114879</v>
      </c>
      <c r="N44" s="128">
        <f>Minutes_by_use_case!$C2</f>
        <v>114879</v>
      </c>
      <c r="O44" s="128">
        <f>Minutes_by_use_case!$C2</f>
        <v>114879</v>
      </c>
      <c r="P44" s="128">
        <f>Minutes_by_use_case!$C2</f>
        <v>114879</v>
      </c>
      <c r="Q44" s="128">
        <f>Minutes_by_use_case!$C2</f>
        <v>114879</v>
      </c>
      <c r="R44" s="128">
        <f>Minutes_by_use_case!$C2</f>
        <v>114879</v>
      </c>
      <c r="S44" s="128">
        <f>Minutes_by_use_case!$C2</f>
        <v>114879</v>
      </c>
      <c r="T44" s="128">
        <f>Minutes_by_use_case!$C2</f>
        <v>114879</v>
      </c>
      <c r="U44" s="128">
        <f>Minutes_by_use_case!$C2</f>
        <v>114879</v>
      </c>
      <c r="V44" s="128">
        <f>Minutes_by_use_case!$C2</f>
        <v>114879</v>
      </c>
      <c r="W44" s="128">
        <f>Minutes_by_use_case!$C2</f>
        <v>114879</v>
      </c>
    </row>
    <row r="45" spans="1:23" x14ac:dyDescent="0.25">
      <c r="A45" s="110" t="s">
        <v>108</v>
      </c>
      <c r="B45" s="37" t="s">
        <v>57</v>
      </c>
      <c r="C45" s="128" t="s">
        <v>11</v>
      </c>
      <c r="D45" s="128">
        <f>Minutes_by_use_case!$C3</f>
        <v>66700.388888888891</v>
      </c>
      <c r="E45" s="128">
        <f>Minutes_by_use_case!$C3</f>
        <v>66700.388888888891</v>
      </c>
      <c r="F45" s="128">
        <f>Minutes_by_use_case!$C3</f>
        <v>66700.388888888891</v>
      </c>
      <c r="G45" s="128">
        <f>Minutes_by_use_case!$C3</f>
        <v>66700.388888888891</v>
      </c>
      <c r="H45" s="128">
        <f>Minutes_by_use_case!$C3</f>
        <v>66700.388888888891</v>
      </c>
      <c r="I45" s="128">
        <f>Minutes_by_use_case!$C3</f>
        <v>66700.388888888891</v>
      </c>
      <c r="J45" s="128">
        <f>Minutes_by_use_case!$C3</f>
        <v>66700.388888888891</v>
      </c>
      <c r="K45" s="128">
        <f>Minutes_by_use_case!$C3</f>
        <v>66700.388888888891</v>
      </c>
      <c r="L45" s="128">
        <f>Minutes_by_use_case!$C3</f>
        <v>66700.388888888891</v>
      </c>
      <c r="M45" s="128">
        <f>Minutes_by_use_case!$C3</f>
        <v>66700.388888888891</v>
      </c>
      <c r="N45" s="128">
        <f>Minutes_by_use_case!$C3</f>
        <v>66700.388888888891</v>
      </c>
      <c r="O45" s="128">
        <f>Minutes_by_use_case!$C3</f>
        <v>66700.388888888891</v>
      </c>
      <c r="P45" s="128">
        <f>Minutes_by_use_case!$C3</f>
        <v>66700.388888888891</v>
      </c>
      <c r="Q45" s="128">
        <f>Minutes_by_use_case!$C3</f>
        <v>66700.388888888891</v>
      </c>
      <c r="R45" s="128">
        <f>Minutes_by_use_case!$C3</f>
        <v>66700.388888888891</v>
      </c>
      <c r="S45" s="128">
        <f>Minutes_by_use_case!$C3</f>
        <v>66700.388888888891</v>
      </c>
      <c r="T45" s="128">
        <f>Minutes_by_use_case!$C3</f>
        <v>66700.388888888891</v>
      </c>
      <c r="U45" s="128">
        <f>Minutes_by_use_case!$C3</f>
        <v>66700.388888888891</v>
      </c>
      <c r="V45" s="128">
        <f>Minutes_by_use_case!$C3</f>
        <v>66700.388888888891</v>
      </c>
      <c r="W45" s="128">
        <f>Minutes_by_use_case!$C3</f>
        <v>66700.388888888891</v>
      </c>
    </row>
    <row r="46" spans="1:23" x14ac:dyDescent="0.25">
      <c r="A46" s="110" t="s">
        <v>108</v>
      </c>
      <c r="B46" s="37" t="s">
        <v>56</v>
      </c>
      <c r="C46" s="128" t="s">
        <v>11</v>
      </c>
      <c r="D46" s="128">
        <f>Minutes_by_use_case!$C4</f>
        <v>2364.2857142857142</v>
      </c>
      <c r="E46" s="128">
        <f>Minutes_by_use_case!$C4</f>
        <v>2364.2857142857142</v>
      </c>
      <c r="F46" s="128">
        <f>Minutes_by_use_case!$C4</f>
        <v>2364.2857142857142</v>
      </c>
      <c r="G46" s="128">
        <f>Minutes_by_use_case!$C4</f>
        <v>2364.2857142857142</v>
      </c>
      <c r="H46" s="128">
        <f>Minutes_by_use_case!$C4</f>
        <v>2364.2857142857142</v>
      </c>
      <c r="I46" s="128">
        <f>Minutes_by_use_case!$C4</f>
        <v>2364.2857142857142</v>
      </c>
      <c r="J46" s="128">
        <f>Minutes_by_use_case!$C4</f>
        <v>2364.2857142857142</v>
      </c>
      <c r="K46" s="128">
        <f>Minutes_by_use_case!$C4</f>
        <v>2364.2857142857142</v>
      </c>
      <c r="L46" s="128">
        <f>Minutes_by_use_case!$C4</f>
        <v>2364.2857142857142</v>
      </c>
      <c r="M46" s="128">
        <f>Minutes_by_use_case!$C4</f>
        <v>2364.2857142857142</v>
      </c>
      <c r="N46" s="128">
        <f>Minutes_by_use_case!$C4</f>
        <v>2364.2857142857142</v>
      </c>
      <c r="O46" s="128">
        <f>Minutes_by_use_case!$C4</f>
        <v>2364.2857142857142</v>
      </c>
      <c r="P46" s="128">
        <f>Minutes_by_use_case!$C4</f>
        <v>2364.2857142857142</v>
      </c>
      <c r="Q46" s="128">
        <f>Minutes_by_use_case!$C4</f>
        <v>2364.2857142857142</v>
      </c>
      <c r="R46" s="128">
        <f>Minutes_by_use_case!$C4</f>
        <v>2364.2857142857142</v>
      </c>
      <c r="S46" s="128">
        <f>Minutes_by_use_case!$C4</f>
        <v>2364.2857142857142</v>
      </c>
      <c r="T46" s="128">
        <f>Minutes_by_use_case!$C4</f>
        <v>2364.2857142857142</v>
      </c>
      <c r="U46" s="128">
        <f>Minutes_by_use_case!$C4</f>
        <v>2364.2857142857142</v>
      </c>
      <c r="V46" s="128">
        <f>Minutes_by_use_case!$C4</f>
        <v>2364.2857142857142</v>
      </c>
      <c r="W46" s="128">
        <f>Minutes_by_use_case!$C4</f>
        <v>2364.2857142857142</v>
      </c>
    </row>
    <row r="47" spans="1:23" x14ac:dyDescent="0.25">
      <c r="A47" s="110" t="s">
        <v>108</v>
      </c>
      <c r="B47" s="37" t="s">
        <v>100</v>
      </c>
      <c r="C47" s="128" t="s">
        <v>11</v>
      </c>
      <c r="D47" s="128" t="str">
        <f>Minutes_by_use_case!$C5</f>
        <v>-</v>
      </c>
      <c r="E47" s="128" t="str">
        <f>Minutes_by_use_case!$C5</f>
        <v>-</v>
      </c>
      <c r="F47" s="128" t="str">
        <f>Minutes_by_use_case!$C5</f>
        <v>-</v>
      </c>
      <c r="G47" s="128" t="str">
        <f>Minutes_by_use_case!$C5</f>
        <v>-</v>
      </c>
      <c r="H47" s="128" t="str">
        <f>Minutes_by_use_case!$C5</f>
        <v>-</v>
      </c>
      <c r="I47" s="128" t="str">
        <f>Minutes_by_use_case!$C5</f>
        <v>-</v>
      </c>
      <c r="J47" s="128" t="str">
        <f>Minutes_by_use_case!$C5</f>
        <v>-</v>
      </c>
      <c r="K47" s="128" t="str">
        <f>Minutes_by_use_case!$C5</f>
        <v>-</v>
      </c>
      <c r="L47" s="128" t="str">
        <f>Minutes_by_use_case!$C5</f>
        <v>-</v>
      </c>
      <c r="M47" s="128" t="str">
        <f>Minutes_by_use_case!$C5</f>
        <v>-</v>
      </c>
      <c r="N47" s="128" t="str">
        <f>Minutes_by_use_case!$C5</f>
        <v>-</v>
      </c>
      <c r="O47" s="128" t="str">
        <f>Minutes_by_use_case!$C5</f>
        <v>-</v>
      </c>
      <c r="P47" s="128" t="str">
        <f>Minutes_by_use_case!$C5</f>
        <v>-</v>
      </c>
      <c r="Q47" s="128" t="str">
        <f>Minutes_by_use_case!$C5</f>
        <v>-</v>
      </c>
      <c r="R47" s="128" t="str">
        <f>Minutes_by_use_case!$C5</f>
        <v>-</v>
      </c>
      <c r="S47" s="128" t="str">
        <f>Minutes_by_use_case!$C5</f>
        <v>-</v>
      </c>
      <c r="T47" s="128" t="str">
        <f>Minutes_by_use_case!$C5</f>
        <v>-</v>
      </c>
      <c r="U47" s="128" t="str">
        <f>Minutes_by_use_case!$C5</f>
        <v>-</v>
      </c>
      <c r="V47" s="128" t="str">
        <f>Minutes_by_use_case!$C5</f>
        <v>-</v>
      </c>
      <c r="W47" s="128" t="str">
        <f>Minutes_by_use_case!$C5</f>
        <v>-</v>
      </c>
    </row>
    <row r="48" spans="1:23" x14ac:dyDescent="0.25">
      <c r="A48" s="110" t="s">
        <v>108</v>
      </c>
      <c r="B48" s="37" t="s">
        <v>60</v>
      </c>
      <c r="C48" s="128" t="s">
        <v>11</v>
      </c>
      <c r="D48" s="128">
        <f>Minutes_by_use_case!$C6</f>
        <v>460.5</v>
      </c>
      <c r="E48" s="128">
        <f>Minutes_by_use_case!$C6</f>
        <v>460.5</v>
      </c>
      <c r="F48" s="128">
        <f>Minutes_by_use_case!$C6</f>
        <v>460.5</v>
      </c>
      <c r="G48" s="128">
        <f>Minutes_by_use_case!$C6</f>
        <v>460.5</v>
      </c>
      <c r="H48" s="128">
        <f>Minutes_by_use_case!$C6</f>
        <v>460.5</v>
      </c>
      <c r="I48" s="128">
        <f>Minutes_by_use_case!$C6</f>
        <v>460.5</v>
      </c>
      <c r="J48" s="128">
        <f>Minutes_by_use_case!$C6</f>
        <v>460.5</v>
      </c>
      <c r="K48" s="128">
        <f>Minutes_by_use_case!$C6</f>
        <v>460.5</v>
      </c>
      <c r="L48" s="128">
        <f>Minutes_by_use_case!$C6</f>
        <v>460.5</v>
      </c>
      <c r="M48" s="128">
        <f>Minutes_by_use_case!$C6</f>
        <v>460.5</v>
      </c>
      <c r="N48" s="128">
        <f>Minutes_by_use_case!$C6</f>
        <v>460.5</v>
      </c>
      <c r="O48" s="128">
        <f>Minutes_by_use_case!$C6</f>
        <v>460.5</v>
      </c>
      <c r="P48" s="128">
        <f>Minutes_by_use_case!$C6</f>
        <v>460.5</v>
      </c>
      <c r="Q48" s="128">
        <f>Minutes_by_use_case!$C6</f>
        <v>460.5</v>
      </c>
      <c r="R48" s="128">
        <f>Minutes_by_use_case!$C6</f>
        <v>460.5</v>
      </c>
      <c r="S48" s="128">
        <f>Minutes_by_use_case!$C6</f>
        <v>460.5</v>
      </c>
      <c r="T48" s="128">
        <f>Minutes_by_use_case!$C6</f>
        <v>460.5</v>
      </c>
      <c r="U48" s="128">
        <f>Minutes_by_use_case!$C6</f>
        <v>460.5</v>
      </c>
      <c r="V48" s="128">
        <f>Minutes_by_use_case!$C6</f>
        <v>460.5</v>
      </c>
      <c r="W48" s="128">
        <f>Minutes_by_use_case!$C6</f>
        <v>460.5</v>
      </c>
    </row>
    <row r="49" spans="1:23" x14ac:dyDescent="0.25">
      <c r="A49" s="110" t="s">
        <v>108</v>
      </c>
      <c r="B49" s="37" t="s">
        <v>101</v>
      </c>
      <c r="C49" s="128" t="s">
        <v>11</v>
      </c>
      <c r="D49" s="128" t="str">
        <f>Minutes_by_use_case!$C7</f>
        <v>-</v>
      </c>
      <c r="E49" s="128" t="str">
        <f>Minutes_by_use_case!$C7</f>
        <v>-</v>
      </c>
      <c r="F49" s="128" t="str">
        <f>Minutes_by_use_case!$C7</f>
        <v>-</v>
      </c>
      <c r="G49" s="128" t="str">
        <f>Minutes_by_use_case!$C7</f>
        <v>-</v>
      </c>
      <c r="H49" s="128" t="str">
        <f>Minutes_by_use_case!$C7</f>
        <v>-</v>
      </c>
      <c r="I49" s="128" t="str">
        <f>Minutes_by_use_case!$C7</f>
        <v>-</v>
      </c>
      <c r="J49" s="128" t="str">
        <f>Minutes_by_use_case!$C7</f>
        <v>-</v>
      </c>
      <c r="K49" s="128" t="str">
        <f>Minutes_by_use_case!$C7</f>
        <v>-</v>
      </c>
      <c r="L49" s="128" t="str">
        <f>Minutes_by_use_case!$C7</f>
        <v>-</v>
      </c>
      <c r="M49" s="128" t="str">
        <f>Minutes_by_use_case!$C7</f>
        <v>-</v>
      </c>
      <c r="N49" s="128" t="str">
        <f>Minutes_by_use_case!$C7</f>
        <v>-</v>
      </c>
      <c r="O49" s="128" t="str">
        <f>Minutes_by_use_case!$C7</f>
        <v>-</v>
      </c>
      <c r="P49" s="128" t="str">
        <f>Minutes_by_use_case!$C7</f>
        <v>-</v>
      </c>
      <c r="Q49" s="128" t="str">
        <f>Minutes_by_use_case!$C7</f>
        <v>-</v>
      </c>
      <c r="R49" s="128" t="str">
        <f>Minutes_by_use_case!$C7</f>
        <v>-</v>
      </c>
      <c r="S49" s="128" t="str">
        <f>Minutes_by_use_case!$C7</f>
        <v>-</v>
      </c>
      <c r="T49" s="128" t="str">
        <f>Minutes_by_use_case!$C7</f>
        <v>-</v>
      </c>
      <c r="U49" s="128" t="str">
        <f>Minutes_by_use_case!$C7</f>
        <v>-</v>
      </c>
      <c r="V49" s="128" t="str">
        <f>Minutes_by_use_case!$C7</f>
        <v>-</v>
      </c>
      <c r="W49" s="128" t="str">
        <f>Minutes_by_use_case!$C7</f>
        <v>-</v>
      </c>
    </row>
    <row r="50" spans="1:23" x14ac:dyDescent="0.25">
      <c r="A50" s="110" t="s">
        <v>108</v>
      </c>
      <c r="B50" s="37" t="s">
        <v>58</v>
      </c>
      <c r="C50" s="128" t="s">
        <v>11</v>
      </c>
      <c r="D50" s="128">
        <f>Minutes_by_use_case!$C8</f>
        <v>2294</v>
      </c>
      <c r="E50" s="128">
        <f>Minutes_by_use_case!$C8</f>
        <v>2294</v>
      </c>
      <c r="F50" s="128">
        <f>Minutes_by_use_case!$C8</f>
        <v>2294</v>
      </c>
      <c r="G50" s="128">
        <f>Minutes_by_use_case!$C8</f>
        <v>2294</v>
      </c>
      <c r="H50" s="128">
        <f>Minutes_by_use_case!$C8</f>
        <v>2294</v>
      </c>
      <c r="I50" s="128">
        <f>Minutes_by_use_case!$C8</f>
        <v>2294</v>
      </c>
      <c r="J50" s="128">
        <f>Minutes_by_use_case!$C8</f>
        <v>2294</v>
      </c>
      <c r="K50" s="128">
        <f>Minutes_by_use_case!$C8</f>
        <v>2294</v>
      </c>
      <c r="L50" s="128">
        <f>Minutes_by_use_case!$C8</f>
        <v>2294</v>
      </c>
      <c r="M50" s="128">
        <f>Minutes_by_use_case!$C8</f>
        <v>2294</v>
      </c>
      <c r="N50" s="128">
        <f>Minutes_by_use_case!$C8</f>
        <v>2294</v>
      </c>
      <c r="O50" s="128">
        <f>Minutes_by_use_case!$C8</f>
        <v>2294</v>
      </c>
      <c r="P50" s="128">
        <f>Minutes_by_use_case!$C8</f>
        <v>2294</v>
      </c>
      <c r="Q50" s="128">
        <f>Minutes_by_use_case!$C8</f>
        <v>2294</v>
      </c>
      <c r="R50" s="128">
        <f>Minutes_by_use_case!$C8</f>
        <v>2294</v>
      </c>
      <c r="S50" s="128">
        <f>Minutes_by_use_case!$C8</f>
        <v>2294</v>
      </c>
      <c r="T50" s="128">
        <f>Minutes_by_use_case!$C8</f>
        <v>2294</v>
      </c>
      <c r="U50" s="128">
        <f>Minutes_by_use_case!$C8</f>
        <v>2294</v>
      </c>
      <c r="V50" s="128">
        <f>Minutes_by_use_case!$C8</f>
        <v>2294</v>
      </c>
      <c r="W50" s="128">
        <f>Minutes_by_use_case!$C8</f>
        <v>2294</v>
      </c>
    </row>
    <row r="51" spans="1:23" x14ac:dyDescent="0.25">
      <c r="A51" s="110" t="s">
        <v>108</v>
      </c>
      <c r="B51" s="37" t="s">
        <v>61</v>
      </c>
      <c r="C51" s="128" t="s">
        <v>11</v>
      </c>
      <c r="D51" s="128">
        <f>Minutes_by_use_case!$C9</f>
        <v>33739.333333333336</v>
      </c>
      <c r="E51" s="128">
        <f>Minutes_by_use_case!$C9</f>
        <v>33739.333333333336</v>
      </c>
      <c r="F51" s="128">
        <f>Minutes_by_use_case!$C9</f>
        <v>33739.333333333336</v>
      </c>
      <c r="G51" s="128">
        <f>Minutes_by_use_case!$C9</f>
        <v>33739.333333333336</v>
      </c>
      <c r="H51" s="128">
        <f>Minutes_by_use_case!$C9</f>
        <v>33739.333333333336</v>
      </c>
      <c r="I51" s="128">
        <f>Minutes_by_use_case!$C9</f>
        <v>33739.333333333336</v>
      </c>
      <c r="J51" s="128">
        <f>Minutes_by_use_case!$C9</f>
        <v>33739.333333333336</v>
      </c>
      <c r="K51" s="128">
        <f>Minutes_by_use_case!$C9</f>
        <v>33739.333333333336</v>
      </c>
      <c r="L51" s="128">
        <f>Minutes_by_use_case!$C9</f>
        <v>33739.333333333336</v>
      </c>
      <c r="M51" s="128">
        <f>Minutes_by_use_case!$C9</f>
        <v>33739.333333333336</v>
      </c>
      <c r="N51" s="128">
        <f>Minutes_by_use_case!$C9</f>
        <v>33739.333333333336</v>
      </c>
      <c r="O51" s="128">
        <f>Minutes_by_use_case!$C9</f>
        <v>33739.333333333336</v>
      </c>
      <c r="P51" s="128">
        <f>Minutes_by_use_case!$C9</f>
        <v>33739.333333333336</v>
      </c>
      <c r="Q51" s="128">
        <f>Minutes_by_use_case!$C9</f>
        <v>33739.333333333336</v>
      </c>
      <c r="R51" s="128">
        <f>Minutes_by_use_case!$C9</f>
        <v>33739.333333333336</v>
      </c>
      <c r="S51" s="128">
        <f>Minutes_by_use_case!$C9</f>
        <v>33739.333333333336</v>
      </c>
      <c r="T51" s="128">
        <f>Minutes_by_use_case!$C9</f>
        <v>33739.333333333336</v>
      </c>
      <c r="U51" s="128">
        <f>Minutes_by_use_case!$C9</f>
        <v>33739.333333333336</v>
      </c>
      <c r="V51" s="128">
        <f>Minutes_by_use_case!$C9</f>
        <v>33739.333333333336</v>
      </c>
      <c r="W51" s="128">
        <f>Minutes_by_use_case!$C9</f>
        <v>33739.333333333336</v>
      </c>
    </row>
    <row r="53" spans="1:23" ht="14.4" x14ac:dyDescent="0.3">
      <c r="A53" s="132" t="s">
        <v>164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7FEAF-8872-4B85-A96F-20913412F09E}">
  <sheetPr>
    <tabColor rgb="FF0B3D91"/>
  </sheetPr>
  <dimension ref="A1:X220"/>
  <sheetViews>
    <sheetView zoomScaleNormal="100" workbookViewId="0">
      <selection activeCell="D203" sqref="D203"/>
    </sheetView>
  </sheetViews>
  <sheetFormatPr defaultRowHeight="13.8" x14ac:dyDescent="0.25"/>
  <cols>
    <col min="1" max="1" width="19.6640625" style="3" customWidth="1"/>
    <col min="2" max="2" width="50.5546875" style="3" customWidth="1"/>
    <col min="3" max="3" width="6.77734375" style="3" customWidth="1"/>
    <col min="4" max="23" width="13.5546875" style="104" bestFit="1" customWidth="1"/>
    <col min="24" max="24" width="13.21875" style="3" bestFit="1" customWidth="1"/>
    <col min="25" max="16384" width="8.88671875" style="3"/>
  </cols>
  <sheetData>
    <row r="1" spans="1:24" x14ac:dyDescent="0.25">
      <c r="A1" s="98" t="s">
        <v>32</v>
      </c>
      <c r="B1" s="98" t="s">
        <v>102</v>
      </c>
      <c r="C1" s="98" t="s">
        <v>88</v>
      </c>
      <c r="D1" s="97">
        <v>2021</v>
      </c>
      <c r="E1" s="98">
        <v>2022</v>
      </c>
      <c r="F1" s="97">
        <v>2023</v>
      </c>
      <c r="G1" s="98">
        <v>2024</v>
      </c>
      <c r="H1" s="97">
        <v>2025</v>
      </c>
      <c r="I1" s="98">
        <v>2026</v>
      </c>
      <c r="J1" s="97">
        <v>2027</v>
      </c>
      <c r="K1" s="98">
        <v>2028</v>
      </c>
      <c r="L1" s="97">
        <v>2029</v>
      </c>
      <c r="M1" s="98">
        <v>2030</v>
      </c>
      <c r="N1" s="97">
        <v>2031</v>
      </c>
      <c r="O1" s="98">
        <v>2032</v>
      </c>
      <c r="P1" s="97">
        <v>2033</v>
      </c>
      <c r="Q1" s="98">
        <v>2034</v>
      </c>
      <c r="R1" s="97">
        <v>2035</v>
      </c>
      <c r="S1" s="98">
        <v>2036</v>
      </c>
      <c r="T1" s="97">
        <v>2037</v>
      </c>
      <c r="U1" s="98">
        <v>2038</v>
      </c>
      <c r="V1" s="97">
        <v>2039</v>
      </c>
      <c r="W1" s="98">
        <v>2040</v>
      </c>
    </row>
    <row r="2" spans="1:24" x14ac:dyDescent="0.25">
      <c r="A2" s="46" t="s">
        <v>33</v>
      </c>
      <c r="B2" s="46" t="s">
        <v>57</v>
      </c>
      <c r="C2" s="135"/>
      <c r="D2" s="128">
        <f>IFERROR(INDEX(lifespans_all!D$2:D$56,MATCH($A2,lifespans_all!$A$2:$A$56,0))*INDEX(SR_mission_minutes!D$2:D$43,MATCH($A2,SR_mission_minutes!$A$2:$A$43)),"-")</f>
        <v>66700.388888888891</v>
      </c>
      <c r="E2" s="128">
        <f>IFERROR(INDEX(lifespans_all!E$2:E$56,MATCH($A2,lifespans_all!$A$2:$A$56,0))*INDEX(SR_mission_minutes!E$2:E$43,MATCH($A2,SR_mission_minutes!$A$2:$A$43)),"-")</f>
        <v>66700.388888888891</v>
      </c>
      <c r="F2" s="128">
        <f>IFERROR(INDEX(lifespans_all!F$2:F$56,MATCH($A2,lifespans_all!$A$2:$A$56,0))*INDEX(SR_mission_minutes!F$2:F$43,MATCH($A2,SR_mission_minutes!$A$2:$A$43)),"-")</f>
        <v>66700.388888888891</v>
      </c>
      <c r="G2" s="128">
        <f>IFERROR(INDEX(lifespans_all!G$2:G$56,MATCH($A2,lifespans_all!$A$2:$A$56,0))*INDEX(SR_mission_minutes!G$2:G$43,MATCH($A2,SR_mission_minutes!$A$2:$A$43)),"-")</f>
        <v>66700.388888888891</v>
      </c>
      <c r="H2" s="128">
        <f>IFERROR(INDEX(lifespans_all!H$2:H$56,MATCH($A2,lifespans_all!$A$2:$A$56,0))*INDEX(SR_mission_minutes!H$2:H$43,MATCH($A2,SR_mission_minutes!$A$2:$A$43)),"-")</f>
        <v>0</v>
      </c>
      <c r="I2" s="128">
        <f>IFERROR(INDEX(lifespans_all!I$2:I$56,MATCH($A2,lifespans_all!$A$2:$A$56,0))*INDEX(SR_mission_minutes!I$2:I$43,MATCH($A2,SR_mission_minutes!$A$2:$A$43)),"-")</f>
        <v>0</v>
      </c>
      <c r="J2" s="128">
        <f>IFERROR(INDEX(lifespans_all!J$2:J$56,MATCH($A2,lifespans_all!$A$2:$A$56,0))*INDEX(SR_mission_minutes!J$2:J$43,MATCH($A2,SR_mission_minutes!$A$2:$A$43)),"-")</f>
        <v>0</v>
      </c>
      <c r="K2" s="128">
        <f>IFERROR(INDEX(lifespans_all!K$2:K$56,MATCH($A2,lifespans_all!$A$2:$A$56,0))*INDEX(SR_mission_minutes!K$2:K$43,MATCH($A2,SR_mission_minutes!$A$2:$A$43)),"-")</f>
        <v>0</v>
      </c>
      <c r="L2" s="128">
        <f>IFERROR(INDEX(lifespans_all!L$2:L$56,MATCH($A2,lifespans_all!$A$2:$A$56,0))*INDEX(SR_mission_minutes!L$2:L$43,MATCH($A2,SR_mission_minutes!$A$2:$A$43)),"-")</f>
        <v>0</v>
      </c>
      <c r="M2" s="128">
        <f>IFERROR(INDEX(lifespans_all!M$2:M$56,MATCH($A2,lifespans_all!$A$2:$A$56,0))*INDEX(SR_mission_minutes!M$2:M$43,MATCH($A2,SR_mission_minutes!$A$2:$A$43)),"-")</f>
        <v>0</v>
      </c>
      <c r="N2" s="128">
        <f>IFERROR(INDEX(lifespans_all!N$2:N$56,MATCH($A2,lifespans_all!$A$2:$A$56,0))*INDEX(SR_mission_minutes!N$2:N$43,MATCH($A2,SR_mission_minutes!$A$2:$A$43)),"-")</f>
        <v>0</v>
      </c>
      <c r="O2" s="128">
        <f>IFERROR(INDEX(lifespans_all!O$2:O$56,MATCH($A2,lifespans_all!$A$2:$A$56,0))*INDEX(SR_mission_minutes!O$2:O$43,MATCH($A2,SR_mission_minutes!$A$2:$A$43)),"-")</f>
        <v>0</v>
      </c>
      <c r="P2" s="128">
        <f>IFERROR(INDEX(lifespans_all!P$2:P$56,MATCH($A2,lifespans_all!$A$2:$A$56,0))*INDEX(SR_mission_minutes!P$2:P$43,MATCH($A2,SR_mission_minutes!$A$2:$A$43)),"-")</f>
        <v>0</v>
      </c>
      <c r="Q2" s="128">
        <f>IFERROR(INDEX(lifespans_all!Q$2:Q$56,MATCH($A2,lifespans_all!$A$2:$A$56,0))*INDEX(SR_mission_minutes!Q$2:Q$43,MATCH($A2,SR_mission_minutes!$A$2:$A$43)),"-")</f>
        <v>0</v>
      </c>
      <c r="R2" s="128">
        <f>IFERROR(INDEX(lifespans_all!R$2:R$56,MATCH($A2,lifespans_all!$A$2:$A$56,0))*INDEX(SR_mission_minutes!R$2:R$43,MATCH($A2,SR_mission_minutes!$A$2:$A$43)),"-")</f>
        <v>0</v>
      </c>
      <c r="S2" s="128">
        <f>IFERROR(INDEX(lifespans_all!S$2:S$56,MATCH($A2,lifespans_all!$A$2:$A$56,0))*INDEX(SR_mission_minutes!S$2:S$43,MATCH($A2,SR_mission_minutes!$A$2:$A$43)),"-")</f>
        <v>0</v>
      </c>
      <c r="T2" s="128">
        <f>IFERROR(INDEX(lifespans_all!T$2:T$56,MATCH($A2,lifespans_all!$A$2:$A$56,0))*INDEX(SR_mission_minutes!T$2:T$43,MATCH($A2,SR_mission_minutes!$A$2:$A$43)),"-")</f>
        <v>0</v>
      </c>
      <c r="U2" s="128">
        <f>IFERROR(INDEX(lifespans_all!U$2:U$56,MATCH($A2,lifespans_all!$A$2:$A$56,0))*INDEX(SR_mission_minutes!U$2:U$43,MATCH($A2,SR_mission_minutes!$A$2:$A$43)),"-")</f>
        <v>0</v>
      </c>
      <c r="V2" s="128">
        <f>IFERROR(INDEX(lifespans_all!V$2:V$56,MATCH($A2,lifespans_all!$A$2:$A$56,0))*INDEX(SR_mission_minutes!V$2:V$43,MATCH($A2,SR_mission_minutes!$A$2:$A$43)),"-")</f>
        <v>0</v>
      </c>
      <c r="W2" s="128">
        <f>IFERROR(INDEX(lifespans_all!W$2:W$56,MATCH($A2,lifespans_all!$A$2:$A$56,0))*INDEX(SR_mission_minutes!W$2:W$43,MATCH($A2,SR_mission_minutes!$A$2:$A$43)),"-")</f>
        <v>0</v>
      </c>
      <c r="X2" s="36"/>
    </row>
    <row r="3" spans="1:24" x14ac:dyDescent="0.25">
      <c r="A3" s="46" t="s">
        <v>65</v>
      </c>
      <c r="B3" s="46" t="s">
        <v>57</v>
      </c>
      <c r="C3" s="135"/>
      <c r="D3" s="128">
        <f>IFERROR(INDEX(lifespans_all!D$2:D$56,MATCH($A3,lifespans_all!$A$2:$A$56,0))*INDEX(SR_mission_minutes!D$2:D$43,MATCH($A3,SR_mission_minutes!$A$2:$A$43)),"-")</f>
        <v>66700.388888888891</v>
      </c>
      <c r="E3" s="128">
        <f>IFERROR(INDEX(lifespans_all!E$2:E$56,MATCH($A3,lifespans_all!$A$2:$A$56,0))*INDEX(SR_mission_minutes!E$2:E$43,MATCH($A3,SR_mission_minutes!$A$2:$A$43)),"-")</f>
        <v>66700.388888888891</v>
      </c>
      <c r="F3" s="128">
        <f>IFERROR(INDEX(lifespans_all!F$2:F$56,MATCH($A3,lifespans_all!$A$2:$A$56,0))*INDEX(SR_mission_minutes!F$2:F$43,MATCH($A3,SR_mission_minutes!$A$2:$A$43)),"-")</f>
        <v>66700.388888888891</v>
      </c>
      <c r="G3" s="128">
        <f>IFERROR(INDEX(lifespans_all!G$2:G$56,MATCH($A3,lifespans_all!$A$2:$A$56,0))*INDEX(SR_mission_minutes!G$2:G$43,MATCH($A3,SR_mission_minutes!$A$2:$A$43)),"-")</f>
        <v>66700.388888888891</v>
      </c>
      <c r="H3" s="128">
        <f>IFERROR(INDEX(lifespans_all!H$2:H$56,MATCH($A3,lifespans_all!$A$2:$A$56,0))*INDEX(SR_mission_minutes!H$2:H$43,MATCH($A3,SR_mission_minutes!$A$2:$A$43)),"-")</f>
        <v>66700.388888888891</v>
      </c>
      <c r="I3" s="128">
        <f>IFERROR(INDEX(lifespans_all!I$2:I$56,MATCH($A3,lifespans_all!$A$2:$A$56,0))*INDEX(SR_mission_minutes!I$2:I$43,MATCH($A3,SR_mission_minutes!$A$2:$A$43)),"-")</f>
        <v>66700.388888888891</v>
      </c>
      <c r="J3" s="128">
        <f>IFERROR(INDEX(lifespans_all!J$2:J$56,MATCH($A3,lifespans_all!$A$2:$A$56,0))*INDEX(SR_mission_minutes!J$2:J$43,MATCH($A3,SR_mission_minutes!$A$2:$A$43)),"-")</f>
        <v>0</v>
      </c>
      <c r="K3" s="128">
        <f>IFERROR(INDEX(lifespans_all!K$2:K$56,MATCH($A3,lifespans_all!$A$2:$A$56,0))*INDEX(SR_mission_minutes!K$2:K$43,MATCH($A3,SR_mission_minutes!$A$2:$A$43)),"-")</f>
        <v>0</v>
      </c>
      <c r="L3" s="128">
        <f>IFERROR(INDEX(lifespans_all!L$2:L$56,MATCH($A3,lifespans_all!$A$2:$A$56,0))*INDEX(SR_mission_minutes!L$2:L$43,MATCH($A3,SR_mission_minutes!$A$2:$A$43)),"-")</f>
        <v>0</v>
      </c>
      <c r="M3" s="128">
        <f>IFERROR(INDEX(lifespans_all!M$2:M$56,MATCH($A3,lifespans_all!$A$2:$A$56,0))*INDEX(SR_mission_minutes!M$2:M$43,MATCH($A3,SR_mission_minutes!$A$2:$A$43)),"-")</f>
        <v>0</v>
      </c>
      <c r="N3" s="128">
        <f>IFERROR(INDEX(lifespans_all!N$2:N$56,MATCH($A3,lifespans_all!$A$2:$A$56,0))*INDEX(SR_mission_minutes!N$2:N$43,MATCH($A3,SR_mission_minutes!$A$2:$A$43)),"-")</f>
        <v>0</v>
      </c>
      <c r="O3" s="128">
        <f>IFERROR(INDEX(lifespans_all!O$2:O$56,MATCH($A3,lifespans_all!$A$2:$A$56,0))*INDEX(SR_mission_minutes!O$2:O$43,MATCH($A3,SR_mission_minutes!$A$2:$A$43)),"-")</f>
        <v>0</v>
      </c>
      <c r="P3" s="128">
        <f>IFERROR(INDEX(lifespans_all!P$2:P$56,MATCH($A3,lifespans_all!$A$2:$A$56,0))*INDEX(SR_mission_minutes!P$2:P$43,MATCH($A3,SR_mission_minutes!$A$2:$A$43)),"-")</f>
        <v>0</v>
      </c>
      <c r="Q3" s="128">
        <f>IFERROR(INDEX(lifespans_all!Q$2:Q$56,MATCH($A3,lifespans_all!$A$2:$A$56,0))*INDEX(SR_mission_minutes!Q$2:Q$43,MATCH($A3,SR_mission_minutes!$A$2:$A$43)),"-")</f>
        <v>0</v>
      </c>
      <c r="R3" s="128">
        <f>IFERROR(INDEX(lifespans_all!R$2:R$56,MATCH($A3,lifespans_all!$A$2:$A$56,0))*INDEX(SR_mission_minutes!R$2:R$43,MATCH($A3,SR_mission_minutes!$A$2:$A$43)),"-")</f>
        <v>0</v>
      </c>
      <c r="S3" s="128">
        <f>IFERROR(INDEX(lifespans_all!S$2:S$56,MATCH($A3,lifespans_all!$A$2:$A$56,0))*INDEX(SR_mission_minutes!S$2:S$43,MATCH($A3,SR_mission_minutes!$A$2:$A$43)),"-")</f>
        <v>0</v>
      </c>
      <c r="T3" s="128">
        <f>IFERROR(INDEX(lifespans_all!T$2:T$56,MATCH($A3,lifespans_all!$A$2:$A$56,0))*INDEX(SR_mission_minutes!T$2:T$43,MATCH($A3,SR_mission_minutes!$A$2:$A$43)),"-")</f>
        <v>0</v>
      </c>
      <c r="U3" s="128">
        <f>IFERROR(INDEX(lifespans_all!U$2:U$56,MATCH($A3,lifespans_all!$A$2:$A$56,0))*INDEX(SR_mission_minutes!U$2:U$43,MATCH($A3,SR_mission_minutes!$A$2:$A$43)),"-")</f>
        <v>0</v>
      </c>
      <c r="V3" s="128">
        <f>IFERROR(INDEX(lifespans_all!V$2:V$56,MATCH($A3,lifespans_all!$A$2:$A$56,0))*INDEX(SR_mission_minutes!V$2:V$43,MATCH($A3,SR_mission_minutes!$A$2:$A$43)),"-")</f>
        <v>0</v>
      </c>
      <c r="W3" s="128">
        <f>IFERROR(INDEX(lifespans_all!W$2:W$56,MATCH($A3,lifespans_all!$A$2:$A$56,0))*INDEX(SR_mission_minutes!W$2:W$43,MATCH($A3,SR_mission_minutes!$A$2:$A$43)),"-")</f>
        <v>0</v>
      </c>
    </row>
    <row r="4" spans="1:24" x14ac:dyDescent="0.25">
      <c r="A4" s="46" t="s">
        <v>67</v>
      </c>
      <c r="B4" s="46" t="s">
        <v>58</v>
      </c>
      <c r="C4" s="135"/>
      <c r="D4" s="128">
        <f>IFERROR(INDEX(lifespans_all!D$2:D$56,MATCH($A4,lifespans_all!$A$2:$A$56,0))*INDEX(SR_mission_minutes!D$2:D$43,MATCH($A4,SR_mission_minutes!$A$2:$A$43)),"-")</f>
        <v>2294</v>
      </c>
      <c r="E4" s="128">
        <f>IFERROR(INDEX(lifespans_all!E$2:E$56,MATCH($A4,lifespans_all!$A$2:$A$56,0))*INDEX(SR_mission_minutes!E$2:E$43,MATCH($A4,SR_mission_minutes!$A$2:$A$43)),"-")</f>
        <v>2294</v>
      </c>
      <c r="F4" s="128">
        <f>IFERROR(INDEX(lifespans_all!F$2:F$56,MATCH($A4,lifespans_all!$A$2:$A$56,0))*INDEX(SR_mission_minutes!F$2:F$43,MATCH($A4,SR_mission_minutes!$A$2:$A$43)),"-")</f>
        <v>2294</v>
      </c>
      <c r="G4" s="128">
        <f>IFERROR(INDEX(lifespans_all!G$2:G$56,MATCH($A4,lifespans_all!$A$2:$A$56,0))*INDEX(SR_mission_minutes!G$2:G$43,MATCH($A4,SR_mission_minutes!$A$2:$A$43)),"-")</f>
        <v>2294</v>
      </c>
      <c r="H4" s="128">
        <f>IFERROR(INDEX(lifespans_all!H$2:H$56,MATCH($A4,lifespans_all!$A$2:$A$56,0))*INDEX(SR_mission_minutes!H$2:H$43,MATCH($A4,SR_mission_minutes!$A$2:$A$43)),"-")</f>
        <v>0</v>
      </c>
      <c r="I4" s="128">
        <f>IFERROR(INDEX(lifespans_all!I$2:I$56,MATCH($A4,lifespans_all!$A$2:$A$56,0))*INDEX(SR_mission_minutes!I$2:I$43,MATCH($A4,SR_mission_minutes!$A$2:$A$43)),"-")</f>
        <v>0</v>
      </c>
      <c r="J4" s="128">
        <f>IFERROR(INDEX(lifespans_all!J$2:J$56,MATCH($A4,lifespans_all!$A$2:$A$56,0))*INDEX(SR_mission_minutes!J$2:J$43,MATCH($A4,SR_mission_minutes!$A$2:$A$43)),"-")</f>
        <v>0</v>
      </c>
      <c r="K4" s="128">
        <f>IFERROR(INDEX(lifespans_all!K$2:K$56,MATCH($A4,lifespans_all!$A$2:$A$56,0))*INDEX(SR_mission_minutes!K$2:K$43,MATCH($A4,SR_mission_minutes!$A$2:$A$43)),"-")</f>
        <v>0</v>
      </c>
      <c r="L4" s="128">
        <f>IFERROR(INDEX(lifespans_all!L$2:L$56,MATCH($A4,lifespans_all!$A$2:$A$56,0))*INDEX(SR_mission_minutes!L$2:L$43,MATCH($A4,SR_mission_minutes!$A$2:$A$43)),"-")</f>
        <v>0</v>
      </c>
      <c r="M4" s="128">
        <f>IFERROR(INDEX(lifespans_all!M$2:M$56,MATCH($A4,lifespans_all!$A$2:$A$56,0))*INDEX(SR_mission_minutes!M$2:M$43,MATCH($A4,SR_mission_minutes!$A$2:$A$43)),"-")</f>
        <v>0</v>
      </c>
      <c r="N4" s="128">
        <f>IFERROR(INDEX(lifespans_all!N$2:N$56,MATCH($A4,lifespans_all!$A$2:$A$56,0))*INDEX(SR_mission_minutes!N$2:N$43,MATCH($A4,SR_mission_minutes!$A$2:$A$43)),"-")</f>
        <v>0</v>
      </c>
      <c r="O4" s="128">
        <f>IFERROR(INDEX(lifespans_all!O$2:O$56,MATCH($A4,lifespans_all!$A$2:$A$56,0))*INDEX(SR_mission_minutes!O$2:O$43,MATCH($A4,SR_mission_minutes!$A$2:$A$43)),"-")</f>
        <v>0</v>
      </c>
      <c r="P4" s="128">
        <f>IFERROR(INDEX(lifespans_all!P$2:P$56,MATCH($A4,lifespans_all!$A$2:$A$56,0))*INDEX(SR_mission_minutes!P$2:P$43,MATCH($A4,SR_mission_minutes!$A$2:$A$43)),"-")</f>
        <v>0</v>
      </c>
      <c r="Q4" s="128">
        <f>IFERROR(INDEX(lifespans_all!Q$2:Q$56,MATCH($A4,lifespans_all!$A$2:$A$56,0))*INDEX(SR_mission_minutes!Q$2:Q$43,MATCH($A4,SR_mission_minutes!$A$2:$A$43)),"-")</f>
        <v>0</v>
      </c>
      <c r="R4" s="128">
        <f>IFERROR(INDEX(lifespans_all!R$2:R$56,MATCH($A4,lifespans_all!$A$2:$A$56,0))*INDEX(SR_mission_minutes!R$2:R$43,MATCH($A4,SR_mission_minutes!$A$2:$A$43)),"-")</f>
        <v>0</v>
      </c>
      <c r="S4" s="128">
        <f>IFERROR(INDEX(lifespans_all!S$2:S$56,MATCH($A4,lifespans_all!$A$2:$A$56,0))*INDEX(SR_mission_minutes!S$2:S$43,MATCH($A4,SR_mission_minutes!$A$2:$A$43)),"-")</f>
        <v>0</v>
      </c>
      <c r="T4" s="128">
        <f>IFERROR(INDEX(lifespans_all!T$2:T$56,MATCH($A4,lifespans_all!$A$2:$A$56,0))*INDEX(SR_mission_minutes!T$2:T$43,MATCH($A4,SR_mission_minutes!$A$2:$A$43)),"-")</f>
        <v>0</v>
      </c>
      <c r="U4" s="128">
        <f>IFERROR(INDEX(lifespans_all!U$2:U$56,MATCH($A4,lifespans_all!$A$2:$A$56,0))*INDEX(SR_mission_minutes!U$2:U$43,MATCH($A4,SR_mission_minutes!$A$2:$A$43)),"-")</f>
        <v>0</v>
      </c>
      <c r="V4" s="128">
        <f>IFERROR(INDEX(lifespans_all!V$2:V$56,MATCH($A4,lifespans_all!$A$2:$A$56,0))*INDEX(SR_mission_minutes!V$2:V$43,MATCH($A4,SR_mission_minutes!$A$2:$A$43)),"-")</f>
        <v>0</v>
      </c>
      <c r="W4" s="128">
        <f>IFERROR(INDEX(lifespans_all!W$2:W$56,MATCH($A4,lifespans_all!$A$2:$A$56,0))*INDEX(SR_mission_minutes!W$2:W$43,MATCH($A4,SR_mission_minutes!$A$2:$A$43)),"-")</f>
        <v>0</v>
      </c>
    </row>
    <row r="5" spans="1:24" x14ac:dyDescent="0.25">
      <c r="A5" s="46" t="s">
        <v>68</v>
      </c>
      <c r="B5" s="46" t="s">
        <v>57</v>
      </c>
      <c r="C5" s="135"/>
      <c r="D5" s="128">
        <f>IFERROR(INDEX(lifespans_all!D$2:D$56,MATCH($A5,lifespans_all!$A$2:$A$56,0))*INDEX(SR_mission_minutes!D$2:D$43,MATCH($A5,SR_mission_minutes!$A$2:$A$43)),"-")</f>
        <v>66700.388888888891</v>
      </c>
      <c r="E5" s="128">
        <f>IFERROR(INDEX(lifespans_all!E$2:E$56,MATCH($A5,lifespans_all!$A$2:$A$56,0))*INDEX(SR_mission_minutes!E$2:E$43,MATCH($A5,SR_mission_minutes!$A$2:$A$43)),"-")</f>
        <v>66700.388888888891</v>
      </c>
      <c r="F5" s="128">
        <f>IFERROR(INDEX(lifespans_all!F$2:F$56,MATCH($A5,lifespans_all!$A$2:$A$56,0))*INDEX(SR_mission_minutes!F$2:F$43,MATCH($A5,SR_mission_minutes!$A$2:$A$43)),"-")</f>
        <v>66700.388888888891</v>
      </c>
      <c r="G5" s="128">
        <f>IFERROR(INDEX(lifespans_all!G$2:G$56,MATCH($A5,lifespans_all!$A$2:$A$56,0))*INDEX(SR_mission_minutes!G$2:G$43,MATCH($A5,SR_mission_minutes!$A$2:$A$43)),"-")</f>
        <v>66700.388888888891</v>
      </c>
      <c r="H5" s="128">
        <f>IFERROR(INDEX(lifespans_all!H$2:H$56,MATCH($A5,lifespans_all!$A$2:$A$56,0))*INDEX(SR_mission_minutes!H$2:H$43,MATCH($A5,SR_mission_minutes!$A$2:$A$43)),"-")</f>
        <v>66700.388888888891</v>
      </c>
      <c r="I5" s="128">
        <f>IFERROR(INDEX(lifespans_all!I$2:I$56,MATCH($A5,lifespans_all!$A$2:$A$56,0))*INDEX(SR_mission_minutes!I$2:I$43,MATCH($A5,SR_mission_minutes!$A$2:$A$43)),"-")</f>
        <v>66700.388888888891</v>
      </c>
      <c r="J5" s="128">
        <f>IFERROR(INDEX(lifespans_all!J$2:J$56,MATCH($A5,lifespans_all!$A$2:$A$56,0))*INDEX(SR_mission_minutes!J$2:J$43,MATCH($A5,SR_mission_minutes!$A$2:$A$43)),"-")</f>
        <v>0</v>
      </c>
      <c r="K5" s="128">
        <f>IFERROR(INDEX(lifespans_all!K$2:K$56,MATCH($A5,lifespans_all!$A$2:$A$56,0))*INDEX(SR_mission_minutes!K$2:K$43,MATCH($A5,SR_mission_minutes!$A$2:$A$43)),"-")</f>
        <v>0</v>
      </c>
      <c r="L5" s="128">
        <f>IFERROR(INDEX(lifespans_all!L$2:L$56,MATCH($A5,lifespans_all!$A$2:$A$56,0))*INDEX(SR_mission_minutes!L$2:L$43,MATCH($A5,SR_mission_minutes!$A$2:$A$43)),"-")</f>
        <v>0</v>
      </c>
      <c r="M5" s="128">
        <f>IFERROR(INDEX(lifespans_all!M$2:M$56,MATCH($A5,lifespans_all!$A$2:$A$56,0))*INDEX(SR_mission_minutes!M$2:M$43,MATCH($A5,SR_mission_minutes!$A$2:$A$43)),"-")</f>
        <v>0</v>
      </c>
      <c r="N5" s="128">
        <f>IFERROR(INDEX(lifespans_all!N$2:N$56,MATCH($A5,lifespans_all!$A$2:$A$56,0))*INDEX(SR_mission_minutes!N$2:N$43,MATCH($A5,SR_mission_minutes!$A$2:$A$43)),"-")</f>
        <v>0</v>
      </c>
      <c r="O5" s="128">
        <f>IFERROR(INDEX(lifespans_all!O$2:O$56,MATCH($A5,lifespans_all!$A$2:$A$56,0))*INDEX(SR_mission_minutes!O$2:O$43,MATCH($A5,SR_mission_minutes!$A$2:$A$43)),"-")</f>
        <v>0</v>
      </c>
      <c r="P5" s="128">
        <f>IFERROR(INDEX(lifespans_all!P$2:P$56,MATCH($A5,lifespans_all!$A$2:$A$56,0))*INDEX(SR_mission_minutes!P$2:P$43,MATCH($A5,SR_mission_minutes!$A$2:$A$43)),"-")</f>
        <v>0</v>
      </c>
      <c r="Q5" s="128">
        <f>IFERROR(INDEX(lifespans_all!Q$2:Q$56,MATCH($A5,lifespans_all!$A$2:$A$56,0))*INDEX(SR_mission_minutes!Q$2:Q$43,MATCH($A5,SR_mission_minutes!$A$2:$A$43)),"-")</f>
        <v>0</v>
      </c>
      <c r="R5" s="128">
        <f>IFERROR(INDEX(lifespans_all!R$2:R$56,MATCH($A5,lifespans_all!$A$2:$A$56,0))*INDEX(SR_mission_minutes!R$2:R$43,MATCH($A5,SR_mission_minutes!$A$2:$A$43)),"-")</f>
        <v>0</v>
      </c>
      <c r="S5" s="128">
        <f>IFERROR(INDEX(lifespans_all!S$2:S$56,MATCH($A5,lifespans_all!$A$2:$A$56,0))*INDEX(SR_mission_minutes!S$2:S$43,MATCH($A5,SR_mission_minutes!$A$2:$A$43)),"-")</f>
        <v>0</v>
      </c>
      <c r="T5" s="128">
        <f>IFERROR(INDEX(lifespans_all!T$2:T$56,MATCH($A5,lifespans_all!$A$2:$A$56,0))*INDEX(SR_mission_minutes!T$2:T$43,MATCH($A5,SR_mission_minutes!$A$2:$A$43)),"-")</f>
        <v>0</v>
      </c>
      <c r="U5" s="128">
        <f>IFERROR(INDEX(lifespans_all!U$2:U$56,MATCH($A5,lifespans_all!$A$2:$A$56,0))*INDEX(SR_mission_minutes!U$2:U$43,MATCH($A5,SR_mission_minutes!$A$2:$A$43)),"-")</f>
        <v>0</v>
      </c>
      <c r="V5" s="128">
        <f>IFERROR(INDEX(lifespans_all!V$2:V$56,MATCH($A5,lifespans_all!$A$2:$A$56,0))*INDEX(SR_mission_minutes!V$2:V$43,MATCH($A5,SR_mission_minutes!$A$2:$A$43)),"-")</f>
        <v>0</v>
      </c>
      <c r="W5" s="128">
        <f>IFERROR(INDEX(lifespans_all!W$2:W$56,MATCH($A5,lifespans_all!$A$2:$A$56,0))*INDEX(SR_mission_minutes!W$2:W$43,MATCH($A5,SR_mission_minutes!$A$2:$A$43)),"-")</f>
        <v>0</v>
      </c>
    </row>
    <row r="6" spans="1:24" x14ac:dyDescent="0.25">
      <c r="A6" s="46" t="s">
        <v>34</v>
      </c>
      <c r="B6" s="46" t="s">
        <v>64</v>
      </c>
      <c r="C6" s="135"/>
      <c r="D6" s="128" t="str">
        <f>IFERROR(INDEX(lifespans_all!D$2:D$56,MATCH($A6,lifespans_all!$A$2:$A$56,0))*INDEX(SR_mission_minutes!D$2:D$43,MATCH($A6,SR_mission_minutes!$A$2:$A$43)),"-")</f>
        <v>-</v>
      </c>
      <c r="E6" s="128" t="str">
        <f>IFERROR(INDEX(lifespans_all!E$2:E$56,MATCH($A6,lifespans_all!$A$2:$A$56,0))*INDEX(SR_mission_minutes!E$2:E$43,MATCH($A6,SR_mission_minutes!$A$2:$A$43)),"-")</f>
        <v>-</v>
      </c>
      <c r="F6" s="128" t="str">
        <f>IFERROR(INDEX(lifespans_all!F$2:F$56,MATCH($A6,lifespans_all!$A$2:$A$56,0))*INDEX(SR_mission_minutes!F$2:F$43,MATCH($A6,SR_mission_minutes!$A$2:$A$43)),"-")</f>
        <v>-</v>
      </c>
      <c r="G6" s="128" t="str">
        <f>IFERROR(INDEX(lifespans_all!G$2:G$56,MATCH($A6,lifespans_all!$A$2:$A$56,0))*INDEX(SR_mission_minutes!G$2:G$43,MATCH($A6,SR_mission_minutes!$A$2:$A$43)),"-")</f>
        <v>-</v>
      </c>
      <c r="H6" s="128" t="str">
        <f>IFERROR(INDEX(lifespans_all!H$2:H$56,MATCH($A6,lifespans_all!$A$2:$A$56,0))*INDEX(SR_mission_minutes!H$2:H$43,MATCH($A6,SR_mission_minutes!$A$2:$A$43)),"-")</f>
        <v>-</v>
      </c>
      <c r="I6" s="128" t="str">
        <f>IFERROR(INDEX(lifespans_all!I$2:I$56,MATCH($A6,lifespans_all!$A$2:$A$56,0))*INDEX(SR_mission_minutes!I$2:I$43,MATCH($A6,SR_mission_minutes!$A$2:$A$43)),"-")</f>
        <v>-</v>
      </c>
      <c r="J6" s="128" t="str">
        <f>IFERROR(INDEX(lifespans_all!J$2:J$56,MATCH($A6,lifespans_all!$A$2:$A$56,0))*INDEX(SR_mission_minutes!J$2:J$43,MATCH($A6,SR_mission_minutes!$A$2:$A$43)),"-")</f>
        <v>-</v>
      </c>
      <c r="K6" s="128" t="str">
        <f>IFERROR(INDEX(lifespans_all!K$2:K$56,MATCH($A6,lifespans_all!$A$2:$A$56,0))*INDEX(SR_mission_minutes!K$2:K$43,MATCH($A6,SR_mission_minutes!$A$2:$A$43)),"-")</f>
        <v>-</v>
      </c>
      <c r="L6" s="128" t="str">
        <f>IFERROR(INDEX(lifespans_all!L$2:L$56,MATCH($A6,lifespans_all!$A$2:$A$56,0))*INDEX(SR_mission_minutes!L$2:L$43,MATCH($A6,SR_mission_minutes!$A$2:$A$43)),"-")</f>
        <v>-</v>
      </c>
      <c r="M6" s="128" t="str">
        <f>IFERROR(INDEX(lifespans_all!M$2:M$56,MATCH($A6,lifespans_all!$A$2:$A$56,0))*INDEX(SR_mission_minutes!M$2:M$43,MATCH($A6,SR_mission_minutes!$A$2:$A$43)),"-")</f>
        <v>-</v>
      </c>
      <c r="N6" s="128" t="str">
        <f>IFERROR(INDEX(lifespans_all!N$2:N$56,MATCH($A6,lifespans_all!$A$2:$A$56,0))*INDEX(SR_mission_minutes!N$2:N$43,MATCH($A6,SR_mission_minutes!$A$2:$A$43)),"-")</f>
        <v>-</v>
      </c>
      <c r="O6" s="128" t="str">
        <f>IFERROR(INDEX(lifespans_all!O$2:O$56,MATCH($A6,lifespans_all!$A$2:$A$56,0))*INDEX(SR_mission_minutes!O$2:O$43,MATCH($A6,SR_mission_minutes!$A$2:$A$43)),"-")</f>
        <v>-</v>
      </c>
      <c r="P6" s="128" t="str">
        <f>IFERROR(INDEX(lifespans_all!P$2:P$56,MATCH($A6,lifespans_all!$A$2:$A$56,0))*INDEX(SR_mission_minutes!P$2:P$43,MATCH($A6,SR_mission_minutes!$A$2:$A$43)),"-")</f>
        <v>-</v>
      </c>
      <c r="Q6" s="128" t="str">
        <f>IFERROR(INDEX(lifespans_all!Q$2:Q$56,MATCH($A6,lifespans_all!$A$2:$A$56,0))*INDEX(SR_mission_minutes!Q$2:Q$43,MATCH($A6,SR_mission_minutes!$A$2:$A$43)),"-")</f>
        <v>-</v>
      </c>
      <c r="R6" s="128" t="str">
        <f>IFERROR(INDEX(lifespans_all!R$2:R$56,MATCH($A6,lifespans_all!$A$2:$A$56,0))*INDEX(SR_mission_minutes!R$2:R$43,MATCH($A6,SR_mission_minutes!$A$2:$A$43)),"-")</f>
        <v>-</v>
      </c>
      <c r="S6" s="128" t="str">
        <f>IFERROR(INDEX(lifespans_all!S$2:S$56,MATCH($A6,lifespans_all!$A$2:$A$56,0))*INDEX(SR_mission_minutes!S$2:S$43,MATCH($A6,SR_mission_minutes!$A$2:$A$43)),"-")</f>
        <v>-</v>
      </c>
      <c r="T6" s="128" t="str">
        <f>IFERROR(INDEX(lifespans_all!T$2:T$56,MATCH($A6,lifespans_all!$A$2:$A$56,0))*INDEX(SR_mission_minutes!T$2:T$43,MATCH($A6,SR_mission_minutes!$A$2:$A$43)),"-")</f>
        <v>-</v>
      </c>
      <c r="U6" s="128" t="str">
        <f>IFERROR(INDEX(lifespans_all!U$2:U$56,MATCH($A6,lifespans_all!$A$2:$A$56,0))*INDEX(SR_mission_minutes!U$2:U$43,MATCH($A6,SR_mission_minutes!$A$2:$A$43)),"-")</f>
        <v>-</v>
      </c>
      <c r="V6" s="128" t="str">
        <f>IFERROR(INDEX(lifespans_all!V$2:V$56,MATCH($A6,lifespans_all!$A$2:$A$56,0))*INDEX(SR_mission_minutes!V$2:V$43,MATCH($A6,SR_mission_minutes!$A$2:$A$43)),"-")</f>
        <v>-</v>
      </c>
      <c r="W6" s="128" t="str">
        <f>IFERROR(INDEX(lifespans_all!W$2:W$56,MATCH($A6,lifespans_all!$A$2:$A$56,0))*INDEX(SR_mission_minutes!W$2:W$43,MATCH($A6,SR_mission_minutes!$A$2:$A$43)),"-")</f>
        <v>-</v>
      </c>
    </row>
    <row r="7" spans="1:24" x14ac:dyDescent="0.25">
      <c r="A7" s="46" t="s">
        <v>71</v>
      </c>
      <c r="B7" s="46" t="s">
        <v>58</v>
      </c>
      <c r="C7" s="135"/>
      <c r="D7" s="128">
        <f>IFERROR(INDEX(lifespans_all!D$2:D$56,MATCH($A7,lifespans_all!$A$2:$A$56,0))*INDEX(SR_mission_minutes!D$2:D$43,MATCH($A7,SR_mission_minutes!$A$2:$A$43)),"-")</f>
        <v>2294</v>
      </c>
      <c r="E7" s="128">
        <f>IFERROR(INDEX(lifespans_all!E$2:E$56,MATCH($A7,lifespans_all!$A$2:$A$56,0))*INDEX(SR_mission_minutes!E$2:E$43,MATCH($A7,SR_mission_minutes!$A$2:$A$43)),"-")</f>
        <v>2294</v>
      </c>
      <c r="F7" s="128">
        <f>IFERROR(INDEX(lifespans_all!F$2:F$56,MATCH($A7,lifespans_all!$A$2:$A$56,0))*INDEX(SR_mission_minutes!F$2:F$43,MATCH($A7,SR_mission_minutes!$A$2:$A$43)),"-")</f>
        <v>2294</v>
      </c>
      <c r="G7" s="128">
        <f>IFERROR(INDEX(lifespans_all!G$2:G$56,MATCH($A7,lifespans_all!$A$2:$A$56,0))*INDEX(SR_mission_minutes!G$2:G$43,MATCH($A7,SR_mission_minutes!$A$2:$A$43)),"-")</f>
        <v>2294</v>
      </c>
      <c r="H7" s="128">
        <f>IFERROR(INDEX(lifespans_all!H$2:H$56,MATCH($A7,lifespans_all!$A$2:$A$56,0))*INDEX(SR_mission_minutes!H$2:H$43,MATCH($A7,SR_mission_minutes!$A$2:$A$43)),"-")</f>
        <v>2294</v>
      </c>
      <c r="I7" s="128">
        <f>IFERROR(INDEX(lifespans_all!I$2:I$56,MATCH($A7,lifespans_all!$A$2:$A$56,0))*INDEX(SR_mission_minutes!I$2:I$43,MATCH($A7,SR_mission_minutes!$A$2:$A$43)),"-")</f>
        <v>2294</v>
      </c>
      <c r="J7" s="128">
        <f>IFERROR(INDEX(lifespans_all!J$2:J$56,MATCH($A7,lifespans_all!$A$2:$A$56,0))*INDEX(SR_mission_minutes!J$2:J$43,MATCH($A7,SR_mission_minutes!$A$2:$A$43)),"-")</f>
        <v>2294</v>
      </c>
      <c r="K7" s="128">
        <f>IFERROR(INDEX(lifespans_all!K$2:K$56,MATCH($A7,lifespans_all!$A$2:$A$56,0))*INDEX(SR_mission_minutes!K$2:K$43,MATCH($A7,SR_mission_minutes!$A$2:$A$43)),"-")</f>
        <v>2294</v>
      </c>
      <c r="L7" s="128">
        <f>IFERROR(INDEX(lifespans_all!L$2:L$56,MATCH($A7,lifespans_all!$A$2:$A$56,0))*INDEX(SR_mission_minutes!L$2:L$43,MATCH($A7,SR_mission_minutes!$A$2:$A$43)),"-")</f>
        <v>2294</v>
      </c>
      <c r="M7" s="128">
        <f>IFERROR(INDEX(lifespans_all!M$2:M$56,MATCH($A7,lifespans_all!$A$2:$A$56,0))*INDEX(SR_mission_minutes!M$2:M$43,MATCH($A7,SR_mission_minutes!$A$2:$A$43)),"-")</f>
        <v>2294</v>
      </c>
      <c r="N7" s="128">
        <f>IFERROR(INDEX(lifespans_all!N$2:N$56,MATCH($A7,lifespans_all!$A$2:$A$56,0))*INDEX(SR_mission_minutes!N$2:N$43,MATCH($A7,SR_mission_minutes!$A$2:$A$43)),"-")</f>
        <v>2294</v>
      </c>
      <c r="O7" s="128">
        <f>IFERROR(INDEX(lifespans_all!O$2:O$56,MATCH($A7,lifespans_all!$A$2:$A$56,0))*INDEX(SR_mission_minutes!O$2:O$43,MATCH($A7,SR_mission_minutes!$A$2:$A$43)),"-")</f>
        <v>2294</v>
      </c>
      <c r="P7" s="128">
        <f>IFERROR(INDEX(lifespans_all!P$2:P$56,MATCH($A7,lifespans_all!$A$2:$A$56,0))*INDEX(SR_mission_minutes!P$2:P$43,MATCH($A7,SR_mission_minutes!$A$2:$A$43)),"-")</f>
        <v>2294</v>
      </c>
      <c r="Q7" s="128">
        <f>IFERROR(INDEX(lifespans_all!Q$2:Q$56,MATCH($A7,lifespans_all!$A$2:$A$56,0))*INDEX(SR_mission_minutes!Q$2:Q$43,MATCH($A7,SR_mission_minutes!$A$2:$A$43)),"-")</f>
        <v>2294</v>
      </c>
      <c r="R7" s="128">
        <f>IFERROR(INDEX(lifespans_all!R$2:R$56,MATCH($A7,lifespans_all!$A$2:$A$56,0))*INDEX(SR_mission_minutes!R$2:R$43,MATCH($A7,SR_mission_minutes!$A$2:$A$43)),"-")</f>
        <v>2294</v>
      </c>
      <c r="S7" s="128">
        <f>IFERROR(INDEX(lifespans_all!S$2:S$56,MATCH($A7,lifespans_all!$A$2:$A$56,0))*INDEX(SR_mission_minutes!S$2:S$43,MATCH($A7,SR_mission_minutes!$A$2:$A$43)),"-")</f>
        <v>2294</v>
      </c>
      <c r="T7" s="128">
        <f>IFERROR(INDEX(lifespans_all!T$2:T$56,MATCH($A7,lifespans_all!$A$2:$A$56,0))*INDEX(SR_mission_minutes!T$2:T$43,MATCH($A7,SR_mission_minutes!$A$2:$A$43)),"-")</f>
        <v>2294</v>
      </c>
      <c r="U7" s="128">
        <f>IFERROR(INDEX(lifespans_all!U$2:U$56,MATCH($A7,lifespans_all!$A$2:$A$56,0))*INDEX(SR_mission_minutes!U$2:U$43,MATCH($A7,SR_mission_minutes!$A$2:$A$43)),"-")</f>
        <v>2294</v>
      </c>
      <c r="V7" s="128">
        <f>IFERROR(INDEX(lifespans_all!V$2:V$56,MATCH($A7,lifespans_all!$A$2:$A$56,0))*INDEX(SR_mission_minutes!V$2:V$43,MATCH($A7,SR_mission_minutes!$A$2:$A$43)),"-")</f>
        <v>2294</v>
      </c>
      <c r="W7" s="128">
        <f>IFERROR(INDEX(lifespans_all!W$2:W$56,MATCH($A7,lifespans_all!$A$2:$A$56,0))*INDEX(SR_mission_minutes!W$2:W$43,MATCH($A7,SR_mission_minutes!$A$2:$A$43)),"-")</f>
        <v>2294</v>
      </c>
    </row>
    <row r="8" spans="1:24" x14ac:dyDescent="0.25">
      <c r="A8" s="46" t="s">
        <v>72</v>
      </c>
      <c r="B8" s="46" t="s">
        <v>59</v>
      </c>
      <c r="C8" s="135"/>
      <c r="D8" s="128">
        <f>IFERROR(INDEX(lifespans_all!D$2:D$56,MATCH($A8,lifespans_all!$A$2:$A$56,0))*INDEX(SR_mission_minutes!D$2:D$43,MATCH($A8,SR_mission_minutes!$A$2:$A$43)),"-")</f>
        <v>114879</v>
      </c>
      <c r="E8" s="128">
        <f>IFERROR(INDEX(lifespans_all!E$2:E$56,MATCH($A8,lifespans_all!$A$2:$A$56,0))*INDEX(SR_mission_minutes!E$2:E$43,MATCH($A8,SR_mission_minutes!$A$2:$A$43)),"-")</f>
        <v>114879</v>
      </c>
      <c r="F8" s="128">
        <f>IFERROR(INDEX(lifespans_all!F$2:F$56,MATCH($A8,lifespans_all!$A$2:$A$56,0))*INDEX(SR_mission_minutes!F$2:F$43,MATCH($A8,SR_mission_minutes!$A$2:$A$43)),"-")</f>
        <v>114879</v>
      </c>
      <c r="G8" s="128">
        <f>IFERROR(INDEX(lifespans_all!G$2:G$56,MATCH($A8,lifespans_all!$A$2:$A$56,0))*INDEX(SR_mission_minutes!G$2:G$43,MATCH($A8,SR_mission_minutes!$A$2:$A$43)),"-")</f>
        <v>114879</v>
      </c>
      <c r="H8" s="128">
        <f>IFERROR(INDEX(lifespans_all!H$2:H$56,MATCH($A8,lifespans_all!$A$2:$A$56,0))*INDEX(SR_mission_minutes!H$2:H$43,MATCH($A8,SR_mission_minutes!$A$2:$A$43)),"-")</f>
        <v>114879</v>
      </c>
      <c r="I8" s="128">
        <f>IFERROR(INDEX(lifespans_all!I$2:I$56,MATCH($A8,lifespans_all!$A$2:$A$56,0))*INDEX(SR_mission_minutes!I$2:I$43,MATCH($A8,SR_mission_minutes!$A$2:$A$43)),"-")</f>
        <v>114879</v>
      </c>
      <c r="J8" s="128">
        <f>IFERROR(INDEX(lifespans_all!J$2:J$56,MATCH($A8,lifespans_all!$A$2:$A$56,0))*INDEX(SR_mission_minutes!J$2:J$43,MATCH($A8,SR_mission_minutes!$A$2:$A$43)),"-")</f>
        <v>114879</v>
      </c>
      <c r="K8" s="128">
        <f>IFERROR(INDEX(lifespans_all!K$2:K$56,MATCH($A8,lifespans_all!$A$2:$A$56,0))*INDEX(SR_mission_minutes!K$2:K$43,MATCH($A8,SR_mission_minutes!$A$2:$A$43)),"-")</f>
        <v>114879</v>
      </c>
      <c r="L8" s="128">
        <f>IFERROR(INDEX(lifespans_all!L$2:L$56,MATCH($A8,lifespans_all!$A$2:$A$56,0))*INDEX(SR_mission_minutes!L$2:L$43,MATCH($A8,SR_mission_minutes!$A$2:$A$43)),"-")</f>
        <v>114879</v>
      </c>
      <c r="M8" s="128">
        <f>IFERROR(INDEX(lifespans_all!M$2:M$56,MATCH($A8,lifespans_all!$A$2:$A$56,0))*INDEX(SR_mission_minutes!M$2:M$43,MATCH($A8,SR_mission_minutes!$A$2:$A$43)),"-")</f>
        <v>114879</v>
      </c>
      <c r="N8" s="128">
        <f>IFERROR(INDEX(lifespans_all!N$2:N$56,MATCH($A8,lifespans_all!$A$2:$A$56,0))*INDEX(SR_mission_minutes!N$2:N$43,MATCH($A8,SR_mission_minutes!$A$2:$A$43)),"-")</f>
        <v>114879</v>
      </c>
      <c r="O8" s="128">
        <f>IFERROR(INDEX(lifespans_all!O$2:O$56,MATCH($A8,lifespans_all!$A$2:$A$56,0))*INDEX(SR_mission_minutes!O$2:O$43,MATCH($A8,SR_mission_minutes!$A$2:$A$43)),"-")</f>
        <v>114879</v>
      </c>
      <c r="P8" s="128">
        <f>IFERROR(INDEX(lifespans_all!P$2:P$56,MATCH($A8,lifespans_all!$A$2:$A$56,0))*INDEX(SR_mission_minutes!P$2:P$43,MATCH($A8,SR_mission_minutes!$A$2:$A$43)),"-")</f>
        <v>114879</v>
      </c>
      <c r="Q8" s="128">
        <f>IFERROR(INDEX(lifespans_all!Q$2:Q$56,MATCH($A8,lifespans_all!$A$2:$A$56,0))*INDEX(SR_mission_minutes!Q$2:Q$43,MATCH($A8,SR_mission_minutes!$A$2:$A$43)),"-")</f>
        <v>114879</v>
      </c>
      <c r="R8" s="128">
        <f>IFERROR(INDEX(lifespans_all!R$2:R$56,MATCH($A8,lifespans_all!$A$2:$A$56,0))*INDEX(SR_mission_minutes!R$2:R$43,MATCH($A8,SR_mission_minutes!$A$2:$A$43)),"-")</f>
        <v>114879</v>
      </c>
      <c r="S8" s="128">
        <f>IFERROR(INDEX(lifespans_all!S$2:S$56,MATCH($A8,lifespans_all!$A$2:$A$56,0))*INDEX(SR_mission_minutes!S$2:S$43,MATCH($A8,SR_mission_minutes!$A$2:$A$43)),"-")</f>
        <v>114879</v>
      </c>
      <c r="T8" s="128">
        <f>IFERROR(INDEX(lifespans_all!T$2:T$56,MATCH($A8,lifespans_all!$A$2:$A$56,0))*INDEX(SR_mission_minutes!T$2:T$43,MATCH($A8,SR_mission_minutes!$A$2:$A$43)),"-")</f>
        <v>114879</v>
      </c>
      <c r="U8" s="128">
        <f>IFERROR(INDEX(lifespans_all!U$2:U$56,MATCH($A8,lifespans_all!$A$2:$A$56,0))*INDEX(SR_mission_minutes!U$2:U$43,MATCH($A8,SR_mission_minutes!$A$2:$A$43)),"-")</f>
        <v>114879</v>
      </c>
      <c r="V8" s="128">
        <f>IFERROR(INDEX(lifespans_all!V$2:V$56,MATCH($A8,lifespans_all!$A$2:$A$56,0))*INDEX(SR_mission_minutes!V$2:V$43,MATCH($A8,SR_mission_minutes!$A$2:$A$43)),"-")</f>
        <v>114879</v>
      </c>
      <c r="W8" s="128">
        <f>IFERROR(INDEX(lifespans_all!W$2:W$56,MATCH($A8,lifespans_all!$A$2:$A$56,0))*INDEX(SR_mission_minutes!W$2:W$43,MATCH($A8,SR_mission_minutes!$A$2:$A$43)),"-")</f>
        <v>114879</v>
      </c>
    </row>
    <row r="9" spans="1:24" x14ac:dyDescent="0.25">
      <c r="A9" s="46" t="s">
        <v>35</v>
      </c>
      <c r="B9" s="46" t="s">
        <v>57</v>
      </c>
      <c r="C9" s="135"/>
      <c r="D9" s="128">
        <f>IFERROR(INDEX(lifespans_all!D$2:D$56,MATCH($A9,lifespans_all!$A$2:$A$56,0))*INDEX(SR_mission_minutes!D$2:D$43,MATCH($A9,SR_mission_minutes!$A$2:$A$43)),"-")</f>
        <v>66700.388888888891</v>
      </c>
      <c r="E9" s="128">
        <f>IFERROR(INDEX(lifespans_all!E$2:E$56,MATCH($A9,lifespans_all!$A$2:$A$56,0))*INDEX(SR_mission_minutes!E$2:E$43,MATCH($A9,SR_mission_minutes!$A$2:$A$43)),"-")</f>
        <v>66700.388888888891</v>
      </c>
      <c r="F9" s="128">
        <f>IFERROR(INDEX(lifespans_all!F$2:F$56,MATCH($A9,lifespans_all!$A$2:$A$56,0))*INDEX(SR_mission_minutes!F$2:F$43,MATCH($A9,SR_mission_minutes!$A$2:$A$43)),"-")</f>
        <v>66700.388888888891</v>
      </c>
      <c r="G9" s="128">
        <f>IFERROR(INDEX(lifespans_all!G$2:G$56,MATCH($A9,lifespans_all!$A$2:$A$56,0))*INDEX(SR_mission_minutes!G$2:G$43,MATCH($A9,SR_mission_minutes!$A$2:$A$43)),"-")</f>
        <v>66700.388888888891</v>
      </c>
      <c r="H9" s="128">
        <f>IFERROR(INDEX(lifespans_all!H$2:H$56,MATCH($A9,lifespans_all!$A$2:$A$56,0))*INDEX(SR_mission_minutes!H$2:H$43,MATCH($A9,SR_mission_minutes!$A$2:$A$43)),"-")</f>
        <v>66700.388888888891</v>
      </c>
      <c r="I9" s="128">
        <f>IFERROR(INDEX(lifespans_all!I$2:I$56,MATCH($A9,lifespans_all!$A$2:$A$56,0))*INDEX(SR_mission_minutes!I$2:I$43,MATCH($A9,SR_mission_minutes!$A$2:$A$43)),"-")</f>
        <v>66700.388888888891</v>
      </c>
      <c r="J9" s="128">
        <f>IFERROR(INDEX(lifespans_all!J$2:J$56,MATCH($A9,lifespans_all!$A$2:$A$56,0))*INDEX(SR_mission_minutes!J$2:J$43,MATCH($A9,SR_mission_minutes!$A$2:$A$43)),"-")</f>
        <v>66700.388888888891</v>
      </c>
      <c r="K9" s="128">
        <f>IFERROR(INDEX(lifespans_all!K$2:K$56,MATCH($A9,lifespans_all!$A$2:$A$56,0))*INDEX(SR_mission_minutes!K$2:K$43,MATCH($A9,SR_mission_minutes!$A$2:$A$43)),"-")</f>
        <v>0</v>
      </c>
      <c r="L9" s="128">
        <f>IFERROR(INDEX(lifespans_all!L$2:L$56,MATCH($A9,lifespans_all!$A$2:$A$56,0))*INDEX(SR_mission_minutes!L$2:L$43,MATCH($A9,SR_mission_minutes!$A$2:$A$43)),"-")</f>
        <v>0</v>
      </c>
      <c r="M9" s="128">
        <f>IFERROR(INDEX(lifespans_all!M$2:M$56,MATCH($A9,lifespans_all!$A$2:$A$56,0))*INDEX(SR_mission_minutes!M$2:M$43,MATCH($A9,SR_mission_minutes!$A$2:$A$43)),"-")</f>
        <v>0</v>
      </c>
      <c r="N9" s="128">
        <f>IFERROR(INDEX(lifespans_all!N$2:N$56,MATCH($A9,lifespans_all!$A$2:$A$56,0))*INDEX(SR_mission_minutes!N$2:N$43,MATCH($A9,SR_mission_minutes!$A$2:$A$43)),"-")</f>
        <v>0</v>
      </c>
      <c r="O9" s="128">
        <f>IFERROR(INDEX(lifespans_all!O$2:O$56,MATCH($A9,lifespans_all!$A$2:$A$56,0))*INDEX(SR_mission_minutes!O$2:O$43,MATCH($A9,SR_mission_minutes!$A$2:$A$43)),"-")</f>
        <v>0</v>
      </c>
      <c r="P9" s="128">
        <f>IFERROR(INDEX(lifespans_all!P$2:P$56,MATCH($A9,lifespans_all!$A$2:$A$56,0))*INDEX(SR_mission_minutes!P$2:P$43,MATCH($A9,SR_mission_minutes!$A$2:$A$43)),"-")</f>
        <v>0</v>
      </c>
      <c r="Q9" s="128">
        <f>IFERROR(INDEX(lifespans_all!Q$2:Q$56,MATCH($A9,lifespans_all!$A$2:$A$56,0))*INDEX(SR_mission_minutes!Q$2:Q$43,MATCH($A9,SR_mission_minutes!$A$2:$A$43)),"-")</f>
        <v>0</v>
      </c>
      <c r="R9" s="128">
        <f>IFERROR(INDEX(lifespans_all!R$2:R$56,MATCH($A9,lifespans_all!$A$2:$A$56,0))*INDEX(SR_mission_minutes!R$2:R$43,MATCH($A9,SR_mission_minutes!$A$2:$A$43)),"-")</f>
        <v>0</v>
      </c>
      <c r="S9" s="128">
        <f>IFERROR(INDEX(lifespans_all!S$2:S$56,MATCH($A9,lifespans_all!$A$2:$A$56,0))*INDEX(SR_mission_minutes!S$2:S$43,MATCH($A9,SR_mission_minutes!$A$2:$A$43)),"-")</f>
        <v>0</v>
      </c>
      <c r="T9" s="128">
        <f>IFERROR(INDEX(lifespans_all!T$2:T$56,MATCH($A9,lifespans_all!$A$2:$A$56,0))*INDEX(SR_mission_minutes!T$2:T$43,MATCH($A9,SR_mission_minutes!$A$2:$A$43)),"-")</f>
        <v>0</v>
      </c>
      <c r="U9" s="128">
        <f>IFERROR(INDEX(lifespans_all!U$2:U$56,MATCH($A9,lifespans_all!$A$2:$A$56,0))*INDEX(SR_mission_minutes!U$2:U$43,MATCH($A9,SR_mission_minutes!$A$2:$A$43)),"-")</f>
        <v>0</v>
      </c>
      <c r="V9" s="128">
        <f>IFERROR(INDEX(lifespans_all!V$2:V$56,MATCH($A9,lifespans_all!$A$2:$A$56,0))*INDEX(SR_mission_minutes!V$2:V$43,MATCH($A9,SR_mission_minutes!$A$2:$A$43)),"-")</f>
        <v>0</v>
      </c>
      <c r="W9" s="128">
        <f>IFERROR(INDEX(lifespans_all!W$2:W$56,MATCH($A9,lifespans_all!$A$2:$A$56,0))*INDEX(SR_mission_minutes!W$2:W$43,MATCH($A9,SR_mission_minutes!$A$2:$A$43)),"-")</f>
        <v>0</v>
      </c>
    </row>
    <row r="10" spans="1:24" x14ac:dyDescent="0.25">
      <c r="A10" s="46" t="s">
        <v>36</v>
      </c>
      <c r="B10" s="46" t="s">
        <v>57</v>
      </c>
      <c r="C10" s="135"/>
      <c r="D10" s="128">
        <f>IFERROR(INDEX(lifespans_all!D$2:D$56,MATCH($A10,lifespans_all!$A$2:$A$56,0))*INDEX(SR_mission_minutes!D$2:D$43,MATCH($A10,SR_mission_minutes!$A$2:$A$43)),"-")</f>
        <v>66700.388888888891</v>
      </c>
      <c r="E10" s="128">
        <f>IFERROR(INDEX(lifespans_all!E$2:E$56,MATCH($A10,lifespans_all!$A$2:$A$56,0))*INDEX(SR_mission_minutes!E$2:E$43,MATCH($A10,SR_mission_minutes!$A$2:$A$43)),"-")</f>
        <v>66700.388888888891</v>
      </c>
      <c r="F10" s="128">
        <f>IFERROR(INDEX(lifespans_all!F$2:F$56,MATCH($A10,lifespans_all!$A$2:$A$56,0))*INDEX(SR_mission_minutes!F$2:F$43,MATCH($A10,SR_mission_minutes!$A$2:$A$43)),"-")</f>
        <v>66700.388888888891</v>
      </c>
      <c r="G10" s="128">
        <f>IFERROR(INDEX(lifespans_all!G$2:G$56,MATCH($A10,lifespans_all!$A$2:$A$56,0))*INDEX(SR_mission_minutes!G$2:G$43,MATCH($A10,SR_mission_minutes!$A$2:$A$43)),"-")</f>
        <v>66700.388888888891</v>
      </c>
      <c r="H10" s="128">
        <f>IFERROR(INDEX(lifespans_all!H$2:H$56,MATCH($A10,lifespans_all!$A$2:$A$56,0))*INDEX(SR_mission_minutes!H$2:H$43,MATCH($A10,SR_mission_minutes!$A$2:$A$43)),"-")</f>
        <v>66700.388888888891</v>
      </c>
      <c r="I10" s="128">
        <f>IFERROR(INDEX(lifespans_all!I$2:I$56,MATCH($A10,lifespans_all!$A$2:$A$56,0))*INDEX(SR_mission_minutes!I$2:I$43,MATCH($A10,SR_mission_minutes!$A$2:$A$43)),"-")</f>
        <v>66700.388888888891</v>
      </c>
      <c r="J10" s="128">
        <f>IFERROR(INDEX(lifespans_all!J$2:J$56,MATCH($A10,lifespans_all!$A$2:$A$56,0))*INDEX(SR_mission_minutes!J$2:J$43,MATCH($A10,SR_mission_minutes!$A$2:$A$43)),"-")</f>
        <v>66700.388888888891</v>
      </c>
      <c r="K10" s="128">
        <f>IFERROR(INDEX(lifespans_all!K$2:K$56,MATCH($A10,lifespans_all!$A$2:$A$56,0))*INDEX(SR_mission_minutes!K$2:K$43,MATCH($A10,SR_mission_minutes!$A$2:$A$43)),"-")</f>
        <v>66700.388888888891</v>
      </c>
      <c r="L10" s="128">
        <f>IFERROR(INDEX(lifespans_all!L$2:L$56,MATCH($A10,lifespans_all!$A$2:$A$56,0))*INDEX(SR_mission_minutes!L$2:L$43,MATCH($A10,SR_mission_minutes!$A$2:$A$43)),"-")</f>
        <v>66700.388888888891</v>
      </c>
      <c r="M10" s="128">
        <f>IFERROR(INDEX(lifespans_all!M$2:M$56,MATCH($A10,lifespans_all!$A$2:$A$56,0))*INDEX(SR_mission_minutes!M$2:M$43,MATCH($A10,SR_mission_minutes!$A$2:$A$43)),"-")</f>
        <v>66700.388888888891</v>
      </c>
      <c r="N10" s="128">
        <f>IFERROR(INDEX(lifespans_all!N$2:N$56,MATCH($A10,lifespans_all!$A$2:$A$56,0))*INDEX(SR_mission_minutes!N$2:N$43,MATCH($A10,SR_mission_minutes!$A$2:$A$43)),"-")</f>
        <v>66700.388888888891</v>
      </c>
      <c r="O10" s="128">
        <f>IFERROR(INDEX(lifespans_all!O$2:O$56,MATCH($A10,lifespans_all!$A$2:$A$56,0))*INDEX(SR_mission_minutes!O$2:O$43,MATCH($A10,SR_mission_minutes!$A$2:$A$43)),"-")</f>
        <v>66700.388888888891</v>
      </c>
      <c r="P10" s="128">
        <f>IFERROR(INDEX(lifespans_all!P$2:P$56,MATCH($A10,lifespans_all!$A$2:$A$56,0))*INDEX(SR_mission_minutes!P$2:P$43,MATCH($A10,SR_mission_minutes!$A$2:$A$43)),"-")</f>
        <v>66700.388888888891</v>
      </c>
      <c r="Q10" s="128">
        <f>IFERROR(INDEX(lifespans_all!Q$2:Q$56,MATCH($A10,lifespans_all!$A$2:$A$56,0))*INDEX(SR_mission_minutes!Q$2:Q$43,MATCH($A10,SR_mission_minutes!$A$2:$A$43)),"-")</f>
        <v>66700.388888888891</v>
      </c>
      <c r="R10" s="128">
        <f>IFERROR(INDEX(lifespans_all!R$2:R$56,MATCH($A10,lifespans_all!$A$2:$A$56,0))*INDEX(SR_mission_minutes!R$2:R$43,MATCH($A10,SR_mission_minutes!$A$2:$A$43)),"-")</f>
        <v>66700.388888888891</v>
      </c>
      <c r="S10" s="128">
        <f>IFERROR(INDEX(lifespans_all!S$2:S$56,MATCH($A10,lifespans_all!$A$2:$A$56,0))*INDEX(SR_mission_minutes!S$2:S$43,MATCH($A10,SR_mission_minutes!$A$2:$A$43)),"-")</f>
        <v>66700.388888888891</v>
      </c>
      <c r="T10" s="128">
        <f>IFERROR(INDEX(lifespans_all!T$2:T$56,MATCH($A10,lifespans_all!$A$2:$A$56,0))*INDEX(SR_mission_minutes!T$2:T$43,MATCH($A10,SR_mission_minutes!$A$2:$A$43)),"-")</f>
        <v>66700.388888888891</v>
      </c>
      <c r="U10" s="128">
        <f>IFERROR(INDEX(lifespans_all!U$2:U$56,MATCH($A10,lifespans_all!$A$2:$A$56,0))*INDEX(SR_mission_minutes!U$2:U$43,MATCH($A10,SR_mission_minutes!$A$2:$A$43)),"-")</f>
        <v>66700.388888888891</v>
      </c>
      <c r="V10" s="128">
        <f>IFERROR(INDEX(lifespans_all!V$2:V$56,MATCH($A10,lifespans_all!$A$2:$A$56,0))*INDEX(SR_mission_minutes!V$2:V$43,MATCH($A10,SR_mission_minutes!$A$2:$A$43)),"-")</f>
        <v>66700.388888888891</v>
      </c>
      <c r="W10" s="128">
        <f>IFERROR(INDEX(lifespans_all!W$2:W$56,MATCH($A10,lifespans_all!$A$2:$A$56,0))*INDEX(SR_mission_minutes!W$2:W$43,MATCH($A10,SR_mission_minutes!$A$2:$A$43)),"-")</f>
        <v>66700.388888888891</v>
      </c>
    </row>
    <row r="11" spans="1:24" x14ac:dyDescent="0.25">
      <c r="A11" s="46" t="s">
        <v>37</v>
      </c>
      <c r="B11" s="46" t="s">
        <v>57</v>
      </c>
      <c r="C11" s="135"/>
      <c r="D11" s="128">
        <f>IFERROR(INDEX(lifespans_all!D$2:D$56,MATCH($A11,lifespans_all!$A$2:$A$56,0))*INDEX(SR_mission_minutes!D$2:D$43,MATCH($A11,SR_mission_minutes!$A$2:$A$43)),"-")</f>
        <v>66700.388888888891</v>
      </c>
      <c r="E11" s="128">
        <f>IFERROR(INDEX(lifespans_all!E$2:E$56,MATCH($A11,lifespans_all!$A$2:$A$56,0))*INDEX(SR_mission_minutes!E$2:E$43,MATCH($A11,SR_mission_minutes!$A$2:$A$43)),"-")</f>
        <v>66700.388888888891</v>
      </c>
      <c r="F11" s="128">
        <f>IFERROR(INDEX(lifespans_all!F$2:F$56,MATCH($A11,lifespans_all!$A$2:$A$56,0))*INDEX(SR_mission_minutes!F$2:F$43,MATCH($A11,SR_mission_minutes!$A$2:$A$43)),"-")</f>
        <v>66700.388888888891</v>
      </c>
      <c r="G11" s="128">
        <f>IFERROR(INDEX(lifespans_all!G$2:G$56,MATCH($A11,lifespans_all!$A$2:$A$56,0))*INDEX(SR_mission_minutes!G$2:G$43,MATCH($A11,SR_mission_minutes!$A$2:$A$43)),"-")</f>
        <v>66700.388888888891</v>
      </c>
      <c r="H11" s="128">
        <f>IFERROR(INDEX(lifespans_all!H$2:H$56,MATCH($A11,lifespans_all!$A$2:$A$56,0))*INDEX(SR_mission_minutes!H$2:H$43,MATCH($A11,SR_mission_minutes!$A$2:$A$43)),"-")</f>
        <v>66700.388888888891</v>
      </c>
      <c r="I11" s="128">
        <f>IFERROR(INDEX(lifespans_all!I$2:I$56,MATCH($A11,lifespans_all!$A$2:$A$56,0))*INDEX(SR_mission_minutes!I$2:I$43,MATCH($A11,SR_mission_minutes!$A$2:$A$43)),"-")</f>
        <v>0</v>
      </c>
      <c r="J11" s="128">
        <f>IFERROR(INDEX(lifespans_all!J$2:J$56,MATCH($A11,lifespans_all!$A$2:$A$56,0))*INDEX(SR_mission_minutes!J$2:J$43,MATCH($A11,SR_mission_minutes!$A$2:$A$43)),"-")</f>
        <v>0</v>
      </c>
      <c r="K11" s="128">
        <f>IFERROR(INDEX(lifespans_all!K$2:K$56,MATCH($A11,lifespans_all!$A$2:$A$56,0))*INDEX(SR_mission_minutes!K$2:K$43,MATCH($A11,SR_mission_minutes!$A$2:$A$43)),"-")</f>
        <v>0</v>
      </c>
      <c r="L11" s="128">
        <f>IFERROR(INDEX(lifespans_all!L$2:L$56,MATCH($A11,lifespans_all!$A$2:$A$56,0))*INDEX(SR_mission_minutes!L$2:L$43,MATCH($A11,SR_mission_minutes!$A$2:$A$43)),"-")</f>
        <v>0</v>
      </c>
      <c r="M11" s="128">
        <f>IFERROR(INDEX(lifespans_all!M$2:M$56,MATCH($A11,lifespans_all!$A$2:$A$56,0))*INDEX(SR_mission_minutes!M$2:M$43,MATCH($A11,SR_mission_minutes!$A$2:$A$43)),"-")</f>
        <v>0</v>
      </c>
      <c r="N11" s="128">
        <f>IFERROR(INDEX(lifespans_all!N$2:N$56,MATCH($A11,lifespans_all!$A$2:$A$56,0))*INDEX(SR_mission_minutes!N$2:N$43,MATCH($A11,SR_mission_minutes!$A$2:$A$43)),"-")</f>
        <v>0</v>
      </c>
      <c r="O11" s="128">
        <f>IFERROR(INDEX(lifespans_all!O$2:O$56,MATCH($A11,lifespans_all!$A$2:$A$56,0))*INDEX(SR_mission_minutes!O$2:O$43,MATCH($A11,SR_mission_minutes!$A$2:$A$43)),"-")</f>
        <v>0</v>
      </c>
      <c r="P11" s="128">
        <f>IFERROR(INDEX(lifespans_all!P$2:P$56,MATCH($A11,lifespans_all!$A$2:$A$56,0))*INDEX(SR_mission_minutes!P$2:P$43,MATCH($A11,SR_mission_minutes!$A$2:$A$43)),"-")</f>
        <v>0</v>
      </c>
      <c r="Q11" s="128">
        <f>IFERROR(INDEX(lifespans_all!Q$2:Q$56,MATCH($A11,lifespans_all!$A$2:$A$56,0))*INDEX(SR_mission_minutes!Q$2:Q$43,MATCH($A11,SR_mission_minutes!$A$2:$A$43)),"-")</f>
        <v>0</v>
      </c>
      <c r="R11" s="128">
        <f>IFERROR(INDEX(lifespans_all!R$2:R$56,MATCH($A11,lifespans_all!$A$2:$A$56,0))*INDEX(SR_mission_minutes!R$2:R$43,MATCH($A11,SR_mission_minutes!$A$2:$A$43)),"-")</f>
        <v>0</v>
      </c>
      <c r="S11" s="128">
        <f>IFERROR(INDEX(lifespans_all!S$2:S$56,MATCH($A11,lifespans_all!$A$2:$A$56,0))*INDEX(SR_mission_minutes!S$2:S$43,MATCH($A11,SR_mission_minutes!$A$2:$A$43)),"-")</f>
        <v>0</v>
      </c>
      <c r="T11" s="128">
        <f>IFERROR(INDEX(lifespans_all!T$2:T$56,MATCH($A11,lifespans_all!$A$2:$A$56,0))*INDEX(SR_mission_minutes!T$2:T$43,MATCH($A11,SR_mission_minutes!$A$2:$A$43)),"-")</f>
        <v>0</v>
      </c>
      <c r="U11" s="128">
        <f>IFERROR(INDEX(lifespans_all!U$2:U$56,MATCH($A11,lifespans_all!$A$2:$A$56,0))*INDEX(SR_mission_minutes!U$2:U$43,MATCH($A11,SR_mission_minutes!$A$2:$A$43)),"-")</f>
        <v>0</v>
      </c>
      <c r="V11" s="128">
        <f>IFERROR(INDEX(lifespans_all!V$2:V$56,MATCH($A11,lifespans_all!$A$2:$A$56,0))*INDEX(SR_mission_minutes!V$2:V$43,MATCH($A11,SR_mission_minutes!$A$2:$A$43)),"-")</f>
        <v>0</v>
      </c>
      <c r="W11" s="128">
        <f>IFERROR(INDEX(lifespans_all!W$2:W$56,MATCH($A11,lifespans_all!$A$2:$A$56,0))*INDEX(SR_mission_minutes!W$2:W$43,MATCH($A11,SR_mission_minutes!$A$2:$A$43)),"-")</f>
        <v>0</v>
      </c>
    </row>
    <row r="12" spans="1:24" x14ac:dyDescent="0.25">
      <c r="A12" s="46" t="s">
        <v>73</v>
      </c>
      <c r="B12" s="46" t="s">
        <v>57</v>
      </c>
      <c r="C12" s="135"/>
      <c r="D12" s="128">
        <f>IFERROR(INDEX(lifespans_all!D$2:D$56,MATCH($A12,lifespans_all!$A$2:$A$56,0))*INDEX(SR_mission_minutes!D$2:D$43,MATCH($A12,SR_mission_minutes!$A$2:$A$43)),"-")</f>
        <v>66700.388888888891</v>
      </c>
      <c r="E12" s="128">
        <f>IFERROR(INDEX(lifespans_all!E$2:E$56,MATCH($A12,lifespans_all!$A$2:$A$56,0))*INDEX(SR_mission_minutes!E$2:E$43,MATCH($A12,SR_mission_minutes!$A$2:$A$43)),"-")</f>
        <v>66700.388888888891</v>
      </c>
      <c r="F12" s="128">
        <f>IFERROR(INDEX(lifespans_all!F$2:F$56,MATCH($A12,lifespans_all!$A$2:$A$56,0))*INDEX(SR_mission_minutes!F$2:F$43,MATCH($A12,SR_mission_minutes!$A$2:$A$43)),"-")</f>
        <v>66700.388888888891</v>
      </c>
      <c r="G12" s="128">
        <f>IFERROR(INDEX(lifespans_all!G$2:G$56,MATCH($A12,lifespans_all!$A$2:$A$56,0))*INDEX(SR_mission_minutes!G$2:G$43,MATCH($A12,SR_mission_minutes!$A$2:$A$43)),"-")</f>
        <v>66700.388888888891</v>
      </c>
      <c r="H12" s="128">
        <f>IFERROR(INDEX(lifespans_all!H$2:H$56,MATCH($A12,lifespans_all!$A$2:$A$56,0))*INDEX(SR_mission_minutes!H$2:H$43,MATCH($A12,SR_mission_minutes!$A$2:$A$43)),"-")</f>
        <v>66700.388888888891</v>
      </c>
      <c r="I12" s="128">
        <f>IFERROR(INDEX(lifespans_all!I$2:I$56,MATCH($A12,lifespans_all!$A$2:$A$56,0))*INDEX(SR_mission_minutes!I$2:I$43,MATCH($A12,SR_mission_minutes!$A$2:$A$43)),"-")</f>
        <v>0</v>
      </c>
      <c r="J12" s="128">
        <f>IFERROR(INDEX(lifespans_all!J$2:J$56,MATCH($A12,lifespans_all!$A$2:$A$56,0))*INDEX(SR_mission_minutes!J$2:J$43,MATCH($A12,SR_mission_minutes!$A$2:$A$43)),"-")</f>
        <v>0</v>
      </c>
      <c r="K12" s="128">
        <f>IFERROR(INDEX(lifespans_all!K$2:K$56,MATCH($A12,lifespans_all!$A$2:$A$56,0))*INDEX(SR_mission_minutes!K$2:K$43,MATCH($A12,SR_mission_minutes!$A$2:$A$43)),"-")</f>
        <v>0</v>
      </c>
      <c r="L12" s="128">
        <f>IFERROR(INDEX(lifespans_all!L$2:L$56,MATCH($A12,lifespans_all!$A$2:$A$56,0))*INDEX(SR_mission_minutes!L$2:L$43,MATCH($A12,SR_mission_minutes!$A$2:$A$43)),"-")</f>
        <v>0</v>
      </c>
      <c r="M12" s="128">
        <f>IFERROR(INDEX(lifespans_all!M$2:M$56,MATCH($A12,lifespans_all!$A$2:$A$56,0))*INDEX(SR_mission_minutes!M$2:M$43,MATCH($A12,SR_mission_minutes!$A$2:$A$43)),"-")</f>
        <v>0</v>
      </c>
      <c r="N12" s="128">
        <f>IFERROR(INDEX(lifespans_all!N$2:N$56,MATCH($A12,lifespans_all!$A$2:$A$56,0))*INDEX(SR_mission_minutes!N$2:N$43,MATCH($A12,SR_mission_minutes!$A$2:$A$43)),"-")</f>
        <v>0</v>
      </c>
      <c r="O12" s="128">
        <f>IFERROR(INDEX(lifespans_all!O$2:O$56,MATCH($A12,lifespans_all!$A$2:$A$56,0))*INDEX(SR_mission_minutes!O$2:O$43,MATCH($A12,SR_mission_minutes!$A$2:$A$43)),"-")</f>
        <v>0</v>
      </c>
      <c r="P12" s="128">
        <f>IFERROR(INDEX(lifespans_all!P$2:P$56,MATCH($A12,lifespans_all!$A$2:$A$56,0))*INDEX(SR_mission_minutes!P$2:P$43,MATCH($A12,SR_mission_minutes!$A$2:$A$43)),"-")</f>
        <v>0</v>
      </c>
      <c r="Q12" s="128">
        <f>IFERROR(INDEX(lifespans_all!Q$2:Q$56,MATCH($A12,lifespans_all!$A$2:$A$56,0))*INDEX(SR_mission_minutes!Q$2:Q$43,MATCH($A12,SR_mission_minutes!$A$2:$A$43)),"-")</f>
        <v>0</v>
      </c>
      <c r="R12" s="128">
        <f>IFERROR(INDEX(lifespans_all!R$2:R$56,MATCH($A12,lifespans_all!$A$2:$A$56,0))*INDEX(SR_mission_minutes!R$2:R$43,MATCH($A12,SR_mission_minutes!$A$2:$A$43)),"-")</f>
        <v>0</v>
      </c>
      <c r="S12" s="128">
        <f>IFERROR(INDEX(lifespans_all!S$2:S$56,MATCH($A12,lifespans_all!$A$2:$A$56,0))*INDEX(SR_mission_minutes!S$2:S$43,MATCH($A12,SR_mission_minutes!$A$2:$A$43)),"-")</f>
        <v>0</v>
      </c>
      <c r="T12" s="128">
        <f>IFERROR(INDEX(lifespans_all!T$2:T$56,MATCH($A12,lifespans_all!$A$2:$A$56,0))*INDEX(SR_mission_minutes!T$2:T$43,MATCH($A12,SR_mission_minutes!$A$2:$A$43)),"-")</f>
        <v>0</v>
      </c>
      <c r="U12" s="128">
        <f>IFERROR(INDEX(lifespans_all!U$2:U$56,MATCH($A12,lifespans_all!$A$2:$A$56,0))*INDEX(SR_mission_minutes!U$2:U$43,MATCH($A12,SR_mission_minutes!$A$2:$A$43)),"-")</f>
        <v>0</v>
      </c>
      <c r="V12" s="128">
        <f>IFERROR(INDEX(lifespans_all!V$2:V$56,MATCH($A12,lifespans_all!$A$2:$A$56,0))*INDEX(SR_mission_minutes!V$2:V$43,MATCH($A12,SR_mission_minutes!$A$2:$A$43)),"-")</f>
        <v>0</v>
      </c>
      <c r="W12" s="128">
        <f>IFERROR(INDEX(lifespans_all!W$2:W$56,MATCH($A12,lifespans_all!$A$2:$A$56,0))*INDEX(SR_mission_minutes!W$2:W$43,MATCH($A12,SR_mission_minutes!$A$2:$A$43)),"-")</f>
        <v>0</v>
      </c>
    </row>
    <row r="13" spans="1:24" x14ac:dyDescent="0.25">
      <c r="A13" s="46" t="s">
        <v>38</v>
      </c>
      <c r="B13" s="46" t="s">
        <v>57</v>
      </c>
      <c r="C13" s="135"/>
      <c r="D13" s="128">
        <f>IFERROR(INDEX(lifespans_all!D$2:D$56,MATCH($A13,lifespans_all!$A$2:$A$56,0))*INDEX(SR_mission_minutes!D$2:D$43,MATCH($A13,SR_mission_minutes!$A$2:$A$43)),"-")</f>
        <v>66700.388888888891</v>
      </c>
      <c r="E13" s="128">
        <f>IFERROR(INDEX(lifespans_all!E$2:E$56,MATCH($A13,lifespans_all!$A$2:$A$56,0))*INDEX(SR_mission_minutes!E$2:E$43,MATCH($A13,SR_mission_minutes!$A$2:$A$43)),"-")</f>
        <v>66700.388888888891</v>
      </c>
      <c r="F13" s="128">
        <f>IFERROR(INDEX(lifespans_all!F$2:F$56,MATCH($A13,lifespans_all!$A$2:$A$56,0))*INDEX(SR_mission_minutes!F$2:F$43,MATCH($A13,SR_mission_minutes!$A$2:$A$43)),"-")</f>
        <v>66700.388888888891</v>
      </c>
      <c r="G13" s="128">
        <f>IFERROR(INDEX(lifespans_all!G$2:G$56,MATCH($A13,lifespans_all!$A$2:$A$56,0))*INDEX(SR_mission_minutes!G$2:G$43,MATCH($A13,SR_mission_minutes!$A$2:$A$43)),"-")</f>
        <v>66700.388888888891</v>
      </c>
      <c r="H13" s="128">
        <f>IFERROR(INDEX(lifespans_all!H$2:H$56,MATCH($A13,lifespans_all!$A$2:$A$56,0))*INDEX(SR_mission_minutes!H$2:H$43,MATCH($A13,SR_mission_minutes!$A$2:$A$43)),"-")</f>
        <v>0</v>
      </c>
      <c r="I13" s="128">
        <f>IFERROR(INDEX(lifespans_all!I$2:I$56,MATCH($A13,lifespans_all!$A$2:$A$56,0))*INDEX(SR_mission_minutes!I$2:I$43,MATCH($A13,SR_mission_minutes!$A$2:$A$43)),"-")</f>
        <v>0</v>
      </c>
      <c r="J13" s="128">
        <f>IFERROR(INDEX(lifespans_all!J$2:J$56,MATCH($A13,lifespans_all!$A$2:$A$56,0))*INDEX(SR_mission_minutes!J$2:J$43,MATCH($A13,SR_mission_minutes!$A$2:$A$43)),"-")</f>
        <v>0</v>
      </c>
      <c r="K13" s="128">
        <f>IFERROR(INDEX(lifespans_all!K$2:K$56,MATCH($A13,lifespans_all!$A$2:$A$56,0))*INDEX(SR_mission_minutes!K$2:K$43,MATCH($A13,SR_mission_minutes!$A$2:$A$43)),"-")</f>
        <v>0</v>
      </c>
      <c r="L13" s="128">
        <f>IFERROR(INDEX(lifespans_all!L$2:L$56,MATCH($A13,lifespans_all!$A$2:$A$56,0))*INDEX(SR_mission_minutes!L$2:L$43,MATCH($A13,SR_mission_minutes!$A$2:$A$43)),"-")</f>
        <v>0</v>
      </c>
      <c r="M13" s="128">
        <f>IFERROR(INDEX(lifespans_all!M$2:M$56,MATCH($A13,lifespans_all!$A$2:$A$56,0))*INDEX(SR_mission_minutes!M$2:M$43,MATCH($A13,SR_mission_minutes!$A$2:$A$43)),"-")</f>
        <v>0</v>
      </c>
      <c r="N13" s="128">
        <f>IFERROR(INDEX(lifespans_all!N$2:N$56,MATCH($A13,lifespans_all!$A$2:$A$56,0))*INDEX(SR_mission_minutes!N$2:N$43,MATCH($A13,SR_mission_minutes!$A$2:$A$43)),"-")</f>
        <v>0</v>
      </c>
      <c r="O13" s="128">
        <f>IFERROR(INDEX(lifespans_all!O$2:O$56,MATCH($A13,lifespans_all!$A$2:$A$56,0))*INDEX(SR_mission_minutes!O$2:O$43,MATCH($A13,SR_mission_minutes!$A$2:$A$43)),"-")</f>
        <v>0</v>
      </c>
      <c r="P13" s="128">
        <f>IFERROR(INDEX(lifespans_all!P$2:P$56,MATCH($A13,lifespans_all!$A$2:$A$56,0))*INDEX(SR_mission_minutes!P$2:P$43,MATCH($A13,SR_mission_minutes!$A$2:$A$43)),"-")</f>
        <v>0</v>
      </c>
      <c r="Q13" s="128">
        <f>IFERROR(INDEX(lifespans_all!Q$2:Q$56,MATCH($A13,lifespans_all!$A$2:$A$56,0))*INDEX(SR_mission_minutes!Q$2:Q$43,MATCH($A13,SR_mission_minutes!$A$2:$A$43)),"-")</f>
        <v>0</v>
      </c>
      <c r="R13" s="128">
        <f>IFERROR(INDEX(lifespans_all!R$2:R$56,MATCH($A13,lifespans_all!$A$2:$A$56,0))*INDEX(SR_mission_minutes!R$2:R$43,MATCH($A13,SR_mission_minutes!$A$2:$A$43)),"-")</f>
        <v>0</v>
      </c>
      <c r="S13" s="128">
        <f>IFERROR(INDEX(lifespans_all!S$2:S$56,MATCH($A13,lifespans_all!$A$2:$A$56,0))*INDEX(SR_mission_minutes!S$2:S$43,MATCH($A13,SR_mission_minutes!$A$2:$A$43)),"-")</f>
        <v>0</v>
      </c>
      <c r="T13" s="128">
        <f>IFERROR(INDEX(lifespans_all!T$2:T$56,MATCH($A13,lifespans_all!$A$2:$A$56,0))*INDEX(SR_mission_minutes!T$2:T$43,MATCH($A13,SR_mission_minutes!$A$2:$A$43)),"-")</f>
        <v>0</v>
      </c>
      <c r="U13" s="128">
        <f>IFERROR(INDEX(lifespans_all!U$2:U$56,MATCH($A13,lifespans_all!$A$2:$A$56,0))*INDEX(SR_mission_minutes!U$2:U$43,MATCH($A13,SR_mission_minutes!$A$2:$A$43)),"-")</f>
        <v>0</v>
      </c>
      <c r="V13" s="128">
        <f>IFERROR(INDEX(lifespans_all!V$2:V$56,MATCH($A13,lifespans_all!$A$2:$A$56,0))*INDEX(SR_mission_minutes!V$2:V$43,MATCH($A13,SR_mission_minutes!$A$2:$A$43)),"-")</f>
        <v>0</v>
      </c>
      <c r="W13" s="128">
        <f>IFERROR(INDEX(lifespans_all!W$2:W$56,MATCH($A13,lifespans_all!$A$2:$A$56,0))*INDEX(SR_mission_minutes!W$2:W$43,MATCH($A13,SR_mission_minutes!$A$2:$A$43)),"-")</f>
        <v>0</v>
      </c>
    </row>
    <row r="14" spans="1:24" x14ac:dyDescent="0.25">
      <c r="A14" s="46" t="s">
        <v>39</v>
      </c>
      <c r="B14" s="46" t="s">
        <v>59</v>
      </c>
      <c r="C14" s="135"/>
      <c r="D14" s="128">
        <f>IFERROR(INDEX(lifespans_all!D$2:D$56,MATCH($A14,lifespans_all!$A$2:$A$56,0))*INDEX(SR_mission_minutes!D$2:D$43,MATCH($A14,SR_mission_minutes!$A$2:$A$43)),"-")</f>
        <v>114879</v>
      </c>
      <c r="E14" s="128">
        <f>IFERROR(INDEX(lifespans_all!E$2:E$56,MATCH($A14,lifespans_all!$A$2:$A$56,0))*INDEX(SR_mission_minutes!E$2:E$43,MATCH($A14,SR_mission_minutes!$A$2:$A$43)),"-")</f>
        <v>114879</v>
      </c>
      <c r="F14" s="128">
        <f>IFERROR(INDEX(lifespans_all!F$2:F$56,MATCH($A14,lifespans_all!$A$2:$A$56,0))*INDEX(SR_mission_minutes!F$2:F$43,MATCH($A14,SR_mission_minutes!$A$2:$A$43)),"-")</f>
        <v>114879</v>
      </c>
      <c r="G14" s="128">
        <f>IFERROR(INDEX(lifespans_all!G$2:G$56,MATCH($A14,lifespans_all!$A$2:$A$56,0))*INDEX(SR_mission_minutes!G$2:G$43,MATCH($A14,SR_mission_minutes!$A$2:$A$43)),"-")</f>
        <v>114879</v>
      </c>
      <c r="H14" s="128">
        <f>IFERROR(INDEX(lifespans_all!H$2:H$56,MATCH($A14,lifespans_all!$A$2:$A$56,0))*INDEX(SR_mission_minutes!H$2:H$43,MATCH($A14,SR_mission_minutes!$A$2:$A$43)),"-")</f>
        <v>114879</v>
      </c>
      <c r="I14" s="128">
        <f>IFERROR(INDEX(lifespans_all!I$2:I$56,MATCH($A14,lifespans_all!$A$2:$A$56,0))*INDEX(SR_mission_minutes!I$2:I$43,MATCH($A14,SR_mission_minutes!$A$2:$A$43)),"-")</f>
        <v>114879</v>
      </c>
      <c r="J14" s="128">
        <f>IFERROR(INDEX(lifespans_all!J$2:J$56,MATCH($A14,lifespans_all!$A$2:$A$56,0))*INDEX(SR_mission_minutes!J$2:J$43,MATCH($A14,SR_mission_minutes!$A$2:$A$43)),"-")</f>
        <v>114879</v>
      </c>
      <c r="K14" s="128">
        <f>IFERROR(INDEX(lifespans_all!K$2:K$56,MATCH($A14,lifespans_all!$A$2:$A$56,0))*INDEX(SR_mission_minutes!K$2:K$43,MATCH($A14,SR_mission_minutes!$A$2:$A$43)),"-")</f>
        <v>114879</v>
      </c>
      <c r="L14" s="128">
        <f>IFERROR(INDEX(lifespans_all!L$2:L$56,MATCH($A14,lifespans_all!$A$2:$A$56,0))*INDEX(SR_mission_minutes!L$2:L$43,MATCH($A14,SR_mission_minutes!$A$2:$A$43)),"-")</f>
        <v>114879</v>
      </c>
      <c r="M14" s="128">
        <f>IFERROR(INDEX(lifespans_all!M$2:M$56,MATCH($A14,lifespans_all!$A$2:$A$56,0))*INDEX(SR_mission_minutes!M$2:M$43,MATCH($A14,SR_mission_minutes!$A$2:$A$43)),"-")</f>
        <v>114879</v>
      </c>
      <c r="N14" s="128">
        <f>IFERROR(INDEX(lifespans_all!N$2:N$56,MATCH($A14,lifespans_all!$A$2:$A$56,0))*INDEX(SR_mission_minutes!N$2:N$43,MATCH($A14,SR_mission_minutes!$A$2:$A$43)),"-")</f>
        <v>0</v>
      </c>
      <c r="O14" s="128">
        <f>IFERROR(INDEX(lifespans_all!O$2:O$56,MATCH($A14,lifespans_all!$A$2:$A$56,0))*INDEX(SR_mission_minutes!O$2:O$43,MATCH($A14,SR_mission_minutes!$A$2:$A$43)),"-")</f>
        <v>0</v>
      </c>
      <c r="P14" s="128">
        <f>IFERROR(INDEX(lifespans_all!P$2:P$56,MATCH($A14,lifespans_all!$A$2:$A$56,0))*INDEX(SR_mission_minutes!P$2:P$43,MATCH($A14,SR_mission_minutes!$A$2:$A$43)),"-")</f>
        <v>0</v>
      </c>
      <c r="Q14" s="128">
        <f>IFERROR(INDEX(lifespans_all!Q$2:Q$56,MATCH($A14,lifespans_all!$A$2:$A$56,0))*INDEX(SR_mission_minutes!Q$2:Q$43,MATCH($A14,SR_mission_minutes!$A$2:$A$43)),"-")</f>
        <v>0</v>
      </c>
      <c r="R14" s="128">
        <f>IFERROR(INDEX(lifespans_all!R$2:R$56,MATCH($A14,lifespans_all!$A$2:$A$56,0))*INDEX(SR_mission_minutes!R$2:R$43,MATCH($A14,SR_mission_minutes!$A$2:$A$43)),"-")</f>
        <v>0</v>
      </c>
      <c r="S14" s="128">
        <f>IFERROR(INDEX(lifespans_all!S$2:S$56,MATCH($A14,lifespans_all!$A$2:$A$56,0))*INDEX(SR_mission_minutes!S$2:S$43,MATCH($A14,SR_mission_minutes!$A$2:$A$43)),"-")</f>
        <v>0</v>
      </c>
      <c r="T14" s="128">
        <f>IFERROR(INDEX(lifespans_all!T$2:T$56,MATCH($A14,lifespans_all!$A$2:$A$56,0))*INDEX(SR_mission_minutes!T$2:T$43,MATCH($A14,SR_mission_minutes!$A$2:$A$43)),"-")</f>
        <v>0</v>
      </c>
      <c r="U14" s="128">
        <f>IFERROR(INDEX(lifespans_all!U$2:U$56,MATCH($A14,lifespans_all!$A$2:$A$56,0))*INDEX(SR_mission_minutes!U$2:U$43,MATCH($A14,SR_mission_minutes!$A$2:$A$43)),"-")</f>
        <v>0</v>
      </c>
      <c r="V14" s="128">
        <f>IFERROR(INDEX(lifespans_all!V$2:V$56,MATCH($A14,lifespans_all!$A$2:$A$56,0))*INDEX(SR_mission_minutes!V$2:V$43,MATCH($A14,SR_mission_minutes!$A$2:$A$43)),"-")</f>
        <v>0</v>
      </c>
      <c r="W14" s="128">
        <f>IFERROR(INDEX(lifespans_all!W$2:W$56,MATCH($A14,lifespans_all!$A$2:$A$56,0))*INDEX(SR_mission_minutes!W$2:W$43,MATCH($A14,SR_mission_minutes!$A$2:$A$43)),"-")</f>
        <v>0</v>
      </c>
    </row>
    <row r="15" spans="1:24" x14ac:dyDescent="0.25">
      <c r="A15" s="46" t="s">
        <v>40</v>
      </c>
      <c r="B15" s="46" t="s">
        <v>58</v>
      </c>
      <c r="C15" s="135"/>
      <c r="D15" s="128">
        <f>IFERROR(INDEX(lifespans_all!D$2:D$56,MATCH($A15,lifespans_all!$A$2:$A$56,0))*INDEX(SR_mission_minutes!D$2:D$43,MATCH($A15,SR_mission_minutes!$A$2:$A$43)),"-")</f>
        <v>0</v>
      </c>
      <c r="E15" s="128">
        <f>IFERROR(INDEX(lifespans_all!E$2:E$56,MATCH($A15,lifespans_all!$A$2:$A$56,0))*INDEX(SR_mission_minutes!E$2:E$43,MATCH($A15,SR_mission_minutes!$A$2:$A$43)),"-")</f>
        <v>0</v>
      </c>
      <c r="F15" s="128">
        <f>IFERROR(INDEX(lifespans_all!F$2:F$56,MATCH($A15,lifespans_all!$A$2:$A$56,0))*INDEX(SR_mission_minutes!F$2:F$43,MATCH($A15,SR_mission_minutes!$A$2:$A$43)),"-")</f>
        <v>0</v>
      </c>
      <c r="G15" s="128">
        <f>IFERROR(INDEX(lifespans_all!G$2:G$56,MATCH($A15,lifespans_all!$A$2:$A$56,0))*INDEX(SR_mission_minutes!G$2:G$43,MATCH($A15,SR_mission_minutes!$A$2:$A$43)),"-")</f>
        <v>0</v>
      </c>
      <c r="H15" s="128">
        <f>IFERROR(INDEX(lifespans_all!H$2:H$56,MATCH($A15,lifespans_all!$A$2:$A$56,0))*INDEX(SR_mission_minutes!H$2:H$43,MATCH($A15,SR_mission_minutes!$A$2:$A$43)),"-")</f>
        <v>0</v>
      </c>
      <c r="I15" s="128">
        <f>IFERROR(INDEX(lifespans_all!I$2:I$56,MATCH($A15,lifespans_all!$A$2:$A$56,0))*INDEX(SR_mission_minutes!I$2:I$43,MATCH($A15,SR_mission_minutes!$A$2:$A$43)),"-")</f>
        <v>0</v>
      </c>
      <c r="J15" s="128">
        <f>IFERROR(INDEX(lifespans_all!J$2:J$56,MATCH($A15,lifespans_all!$A$2:$A$56,0))*INDEX(SR_mission_minutes!J$2:J$43,MATCH($A15,SR_mission_minutes!$A$2:$A$43)),"-")</f>
        <v>0</v>
      </c>
      <c r="K15" s="128">
        <f>IFERROR(INDEX(lifespans_all!K$2:K$56,MATCH($A15,lifespans_all!$A$2:$A$56,0))*INDEX(SR_mission_minutes!K$2:K$43,MATCH($A15,SR_mission_minutes!$A$2:$A$43)),"-")</f>
        <v>0</v>
      </c>
      <c r="L15" s="128">
        <f>IFERROR(INDEX(lifespans_all!L$2:L$56,MATCH($A15,lifespans_all!$A$2:$A$56,0))*INDEX(SR_mission_minutes!L$2:L$43,MATCH($A15,SR_mission_minutes!$A$2:$A$43)),"-")</f>
        <v>0</v>
      </c>
      <c r="M15" s="128">
        <f>IFERROR(INDEX(lifespans_all!M$2:M$56,MATCH($A15,lifespans_all!$A$2:$A$56,0))*INDEX(SR_mission_minutes!M$2:M$43,MATCH($A15,SR_mission_minutes!$A$2:$A$43)),"-")</f>
        <v>0</v>
      </c>
      <c r="N15" s="128">
        <f>IFERROR(INDEX(lifespans_all!N$2:N$56,MATCH($A15,lifespans_all!$A$2:$A$56,0))*INDEX(SR_mission_minutes!N$2:N$43,MATCH($A15,SR_mission_minutes!$A$2:$A$43)),"-")</f>
        <v>0</v>
      </c>
      <c r="O15" s="128">
        <f>IFERROR(INDEX(lifespans_all!O$2:O$56,MATCH($A15,lifespans_all!$A$2:$A$56,0))*INDEX(SR_mission_minutes!O$2:O$43,MATCH($A15,SR_mission_minutes!$A$2:$A$43)),"-")</f>
        <v>0</v>
      </c>
      <c r="P15" s="128">
        <f>IFERROR(INDEX(lifespans_all!P$2:P$56,MATCH($A15,lifespans_all!$A$2:$A$56,0))*INDEX(SR_mission_minutes!P$2:P$43,MATCH($A15,SR_mission_minutes!$A$2:$A$43)),"-")</f>
        <v>0</v>
      </c>
      <c r="Q15" s="128">
        <f>IFERROR(INDEX(lifespans_all!Q$2:Q$56,MATCH($A15,lifespans_all!$A$2:$A$56,0))*INDEX(SR_mission_minutes!Q$2:Q$43,MATCH($A15,SR_mission_minutes!$A$2:$A$43)),"-")</f>
        <v>0</v>
      </c>
      <c r="R15" s="128">
        <f>IFERROR(INDEX(lifespans_all!R$2:R$56,MATCH($A15,lifespans_all!$A$2:$A$56,0))*INDEX(SR_mission_minutes!R$2:R$43,MATCH($A15,SR_mission_minutes!$A$2:$A$43)),"-")</f>
        <v>0</v>
      </c>
      <c r="S15" s="128">
        <f>IFERROR(INDEX(lifespans_all!S$2:S$56,MATCH($A15,lifespans_all!$A$2:$A$56,0))*INDEX(SR_mission_minutes!S$2:S$43,MATCH($A15,SR_mission_minutes!$A$2:$A$43)),"-")</f>
        <v>0</v>
      </c>
      <c r="T15" s="128">
        <f>IFERROR(INDEX(lifespans_all!T$2:T$56,MATCH($A15,lifespans_all!$A$2:$A$56,0))*INDEX(SR_mission_minutes!T$2:T$43,MATCH($A15,SR_mission_minutes!$A$2:$A$43)),"-")</f>
        <v>0</v>
      </c>
      <c r="U15" s="128">
        <f>IFERROR(INDEX(lifespans_all!U$2:U$56,MATCH($A15,lifespans_all!$A$2:$A$56,0))*INDEX(SR_mission_minutes!U$2:U$43,MATCH($A15,SR_mission_minutes!$A$2:$A$43)),"-")</f>
        <v>0</v>
      </c>
      <c r="V15" s="128">
        <f>IFERROR(INDEX(lifespans_all!V$2:V$56,MATCH($A15,lifespans_all!$A$2:$A$56,0))*INDEX(SR_mission_minutes!V$2:V$43,MATCH($A15,SR_mission_minutes!$A$2:$A$43)),"-")</f>
        <v>0</v>
      </c>
      <c r="W15" s="128">
        <f>IFERROR(INDEX(lifespans_all!W$2:W$56,MATCH($A15,lifespans_all!$A$2:$A$56,0))*INDEX(SR_mission_minutes!W$2:W$43,MATCH($A15,SR_mission_minutes!$A$2:$A$43)),"-")</f>
        <v>0</v>
      </c>
    </row>
    <row r="16" spans="1:24" x14ac:dyDescent="0.25">
      <c r="A16" s="46" t="s">
        <v>41</v>
      </c>
      <c r="B16" s="46" t="s">
        <v>60</v>
      </c>
      <c r="C16" s="135"/>
      <c r="D16" s="128">
        <f>IFERROR(INDEX(lifespans_all!D$2:D$56,MATCH($A16,lifespans_all!$A$2:$A$56,0))*INDEX(SR_mission_minutes!D$2:D$43,MATCH($A16,SR_mission_minutes!$A$2:$A$43)),"-")</f>
        <v>460.5</v>
      </c>
      <c r="E16" s="128">
        <f>IFERROR(INDEX(lifespans_all!E$2:E$56,MATCH($A16,lifespans_all!$A$2:$A$56,0))*INDEX(SR_mission_minutes!E$2:E$43,MATCH($A16,SR_mission_minutes!$A$2:$A$43)),"-")</f>
        <v>460.5</v>
      </c>
      <c r="F16" s="128">
        <f>IFERROR(INDEX(lifespans_all!F$2:F$56,MATCH($A16,lifespans_all!$A$2:$A$56,0))*INDEX(SR_mission_minutes!F$2:F$43,MATCH($A16,SR_mission_minutes!$A$2:$A$43)),"-")</f>
        <v>460.5</v>
      </c>
      <c r="G16" s="128">
        <f>IFERROR(INDEX(lifespans_all!G$2:G$56,MATCH($A16,lifespans_all!$A$2:$A$56,0))*INDEX(SR_mission_minutes!G$2:G$43,MATCH($A16,SR_mission_minutes!$A$2:$A$43)),"-")</f>
        <v>460.5</v>
      </c>
      <c r="H16" s="128">
        <f>IFERROR(INDEX(lifespans_all!H$2:H$56,MATCH($A16,lifespans_all!$A$2:$A$56,0))*INDEX(SR_mission_minutes!H$2:H$43,MATCH($A16,SR_mission_minutes!$A$2:$A$43)),"-")</f>
        <v>0</v>
      </c>
      <c r="I16" s="128">
        <f>IFERROR(INDEX(lifespans_all!I$2:I$56,MATCH($A16,lifespans_all!$A$2:$A$56,0))*INDEX(SR_mission_minutes!I$2:I$43,MATCH($A16,SR_mission_minutes!$A$2:$A$43)),"-")</f>
        <v>0</v>
      </c>
      <c r="J16" s="128">
        <f>IFERROR(INDEX(lifespans_all!J$2:J$56,MATCH($A16,lifespans_all!$A$2:$A$56,0))*INDEX(SR_mission_minutes!J$2:J$43,MATCH($A16,SR_mission_minutes!$A$2:$A$43)),"-")</f>
        <v>0</v>
      </c>
      <c r="K16" s="128">
        <f>IFERROR(INDEX(lifespans_all!K$2:K$56,MATCH($A16,lifespans_all!$A$2:$A$56,0))*INDEX(SR_mission_minutes!K$2:K$43,MATCH($A16,SR_mission_minutes!$A$2:$A$43)),"-")</f>
        <v>0</v>
      </c>
      <c r="L16" s="128">
        <f>IFERROR(INDEX(lifespans_all!L$2:L$56,MATCH($A16,lifespans_all!$A$2:$A$56,0))*INDEX(SR_mission_minutes!L$2:L$43,MATCH($A16,SR_mission_minutes!$A$2:$A$43)),"-")</f>
        <v>0</v>
      </c>
      <c r="M16" s="128">
        <f>IFERROR(INDEX(lifespans_all!M$2:M$56,MATCH($A16,lifespans_all!$A$2:$A$56,0))*INDEX(SR_mission_minutes!M$2:M$43,MATCH($A16,SR_mission_minutes!$A$2:$A$43)),"-")</f>
        <v>0</v>
      </c>
      <c r="N16" s="128">
        <f>IFERROR(INDEX(lifespans_all!N$2:N$56,MATCH($A16,lifespans_all!$A$2:$A$56,0))*INDEX(SR_mission_minutes!N$2:N$43,MATCH($A16,SR_mission_minutes!$A$2:$A$43)),"-")</f>
        <v>0</v>
      </c>
      <c r="O16" s="128">
        <f>IFERROR(INDEX(lifespans_all!O$2:O$56,MATCH($A16,lifespans_all!$A$2:$A$56,0))*INDEX(SR_mission_minutes!O$2:O$43,MATCH($A16,SR_mission_minutes!$A$2:$A$43)),"-")</f>
        <v>0</v>
      </c>
      <c r="P16" s="128">
        <f>IFERROR(INDEX(lifespans_all!P$2:P$56,MATCH($A16,lifespans_all!$A$2:$A$56,0))*INDEX(SR_mission_minutes!P$2:P$43,MATCH($A16,SR_mission_minutes!$A$2:$A$43)),"-")</f>
        <v>0</v>
      </c>
      <c r="Q16" s="128">
        <f>IFERROR(INDEX(lifespans_all!Q$2:Q$56,MATCH($A16,lifespans_all!$A$2:$A$56,0))*INDEX(SR_mission_minutes!Q$2:Q$43,MATCH($A16,SR_mission_minutes!$A$2:$A$43)),"-")</f>
        <v>0</v>
      </c>
      <c r="R16" s="128">
        <f>IFERROR(INDEX(lifespans_all!R$2:R$56,MATCH($A16,lifespans_all!$A$2:$A$56,0))*INDEX(SR_mission_minutes!R$2:R$43,MATCH($A16,SR_mission_minutes!$A$2:$A$43)),"-")</f>
        <v>0</v>
      </c>
      <c r="S16" s="128">
        <f>IFERROR(INDEX(lifespans_all!S$2:S$56,MATCH($A16,lifespans_all!$A$2:$A$56,0))*INDEX(SR_mission_minutes!S$2:S$43,MATCH($A16,SR_mission_minutes!$A$2:$A$43)),"-")</f>
        <v>0</v>
      </c>
      <c r="T16" s="128">
        <f>IFERROR(INDEX(lifespans_all!T$2:T$56,MATCH($A16,lifespans_all!$A$2:$A$56,0))*INDEX(SR_mission_minutes!T$2:T$43,MATCH($A16,SR_mission_minutes!$A$2:$A$43)),"-")</f>
        <v>0</v>
      </c>
      <c r="U16" s="128">
        <f>IFERROR(INDEX(lifespans_all!U$2:U$56,MATCH($A16,lifespans_all!$A$2:$A$56,0))*INDEX(SR_mission_minutes!U$2:U$43,MATCH($A16,SR_mission_minutes!$A$2:$A$43)),"-")</f>
        <v>0</v>
      </c>
      <c r="V16" s="128">
        <f>IFERROR(INDEX(lifespans_all!V$2:V$56,MATCH($A16,lifespans_all!$A$2:$A$56,0))*INDEX(SR_mission_minutes!V$2:V$43,MATCH($A16,SR_mission_minutes!$A$2:$A$43)),"-")</f>
        <v>0</v>
      </c>
      <c r="W16" s="128">
        <f>IFERROR(INDEX(lifespans_all!W$2:W$56,MATCH($A16,lifespans_all!$A$2:$A$56,0))*INDEX(SR_mission_minutes!W$2:W$43,MATCH($A16,SR_mission_minutes!$A$2:$A$43)),"-")</f>
        <v>0</v>
      </c>
    </row>
    <row r="17" spans="1:23" x14ac:dyDescent="0.25">
      <c r="A17" s="46" t="s">
        <v>74</v>
      </c>
      <c r="B17" s="46" t="s">
        <v>57</v>
      </c>
      <c r="C17" s="135"/>
      <c r="D17" s="128">
        <f>IFERROR(INDEX(lifespans_all!D$2:D$56,MATCH($A17,lifespans_all!$A$2:$A$56,0))*INDEX(SR_mission_minutes!D$2:D$43,MATCH($A17,SR_mission_minutes!$A$2:$A$43)),"-")</f>
        <v>66700.388888888891</v>
      </c>
      <c r="E17" s="128">
        <f>IFERROR(INDEX(lifespans_all!E$2:E$56,MATCH($A17,lifespans_all!$A$2:$A$56,0))*INDEX(SR_mission_minutes!E$2:E$43,MATCH($A17,SR_mission_minutes!$A$2:$A$43)),"-")</f>
        <v>0</v>
      </c>
      <c r="F17" s="128">
        <f>IFERROR(INDEX(lifespans_all!F$2:F$56,MATCH($A17,lifespans_all!$A$2:$A$56,0))*INDEX(SR_mission_minutes!F$2:F$43,MATCH($A17,SR_mission_minutes!$A$2:$A$43)),"-")</f>
        <v>0</v>
      </c>
      <c r="G17" s="128">
        <f>IFERROR(INDEX(lifespans_all!G$2:G$56,MATCH($A17,lifespans_all!$A$2:$A$56,0))*INDEX(SR_mission_minutes!G$2:G$43,MATCH($A17,SR_mission_minutes!$A$2:$A$43)),"-")</f>
        <v>0</v>
      </c>
      <c r="H17" s="128">
        <f>IFERROR(INDEX(lifespans_all!H$2:H$56,MATCH($A17,lifespans_all!$A$2:$A$56,0))*INDEX(SR_mission_minutes!H$2:H$43,MATCH($A17,SR_mission_minutes!$A$2:$A$43)),"-")</f>
        <v>0</v>
      </c>
      <c r="I17" s="128">
        <f>IFERROR(INDEX(lifespans_all!I$2:I$56,MATCH($A17,lifespans_all!$A$2:$A$56,0))*INDEX(SR_mission_minutes!I$2:I$43,MATCH($A17,SR_mission_minutes!$A$2:$A$43)),"-")</f>
        <v>0</v>
      </c>
      <c r="J17" s="128">
        <f>IFERROR(INDEX(lifespans_all!J$2:J$56,MATCH($A17,lifespans_all!$A$2:$A$56,0))*INDEX(SR_mission_minutes!J$2:J$43,MATCH($A17,SR_mission_minutes!$A$2:$A$43)),"-")</f>
        <v>0</v>
      </c>
      <c r="K17" s="128">
        <f>IFERROR(INDEX(lifespans_all!K$2:K$56,MATCH($A17,lifespans_all!$A$2:$A$56,0))*INDEX(SR_mission_minutes!K$2:K$43,MATCH($A17,SR_mission_minutes!$A$2:$A$43)),"-")</f>
        <v>0</v>
      </c>
      <c r="L17" s="128">
        <f>IFERROR(INDEX(lifespans_all!L$2:L$56,MATCH($A17,lifespans_all!$A$2:$A$56,0))*INDEX(SR_mission_minutes!L$2:L$43,MATCH($A17,SR_mission_minutes!$A$2:$A$43)),"-")</f>
        <v>0</v>
      </c>
      <c r="M17" s="128">
        <f>IFERROR(INDEX(lifespans_all!M$2:M$56,MATCH($A17,lifespans_all!$A$2:$A$56,0))*INDEX(SR_mission_minutes!M$2:M$43,MATCH($A17,SR_mission_minutes!$A$2:$A$43)),"-")</f>
        <v>0</v>
      </c>
      <c r="N17" s="128">
        <f>IFERROR(INDEX(lifespans_all!N$2:N$56,MATCH($A17,lifespans_all!$A$2:$A$56,0))*INDEX(SR_mission_minutes!N$2:N$43,MATCH($A17,SR_mission_minutes!$A$2:$A$43)),"-")</f>
        <v>0</v>
      </c>
      <c r="O17" s="128">
        <f>IFERROR(INDEX(lifespans_all!O$2:O$56,MATCH($A17,lifespans_all!$A$2:$A$56,0))*INDEX(SR_mission_minutes!O$2:O$43,MATCH($A17,SR_mission_minutes!$A$2:$A$43)),"-")</f>
        <v>0</v>
      </c>
      <c r="P17" s="128">
        <f>IFERROR(INDEX(lifespans_all!P$2:P$56,MATCH($A17,lifespans_all!$A$2:$A$56,0))*INDEX(SR_mission_minutes!P$2:P$43,MATCH($A17,SR_mission_minutes!$A$2:$A$43)),"-")</f>
        <v>0</v>
      </c>
      <c r="Q17" s="128">
        <f>IFERROR(INDEX(lifespans_all!Q$2:Q$56,MATCH($A17,lifespans_all!$A$2:$A$56,0))*INDEX(SR_mission_minutes!Q$2:Q$43,MATCH($A17,SR_mission_minutes!$A$2:$A$43)),"-")</f>
        <v>0</v>
      </c>
      <c r="R17" s="128">
        <f>IFERROR(INDEX(lifespans_all!R$2:R$56,MATCH($A17,lifespans_all!$A$2:$A$56,0))*INDEX(SR_mission_minutes!R$2:R$43,MATCH($A17,SR_mission_minutes!$A$2:$A$43)),"-")</f>
        <v>0</v>
      </c>
      <c r="S17" s="128">
        <f>IFERROR(INDEX(lifespans_all!S$2:S$56,MATCH($A17,lifespans_all!$A$2:$A$56,0))*INDEX(SR_mission_minutes!S$2:S$43,MATCH($A17,SR_mission_minutes!$A$2:$A$43)),"-")</f>
        <v>0</v>
      </c>
      <c r="T17" s="128">
        <f>IFERROR(INDEX(lifespans_all!T$2:T$56,MATCH($A17,lifespans_all!$A$2:$A$56,0))*INDEX(SR_mission_minutes!T$2:T$43,MATCH($A17,SR_mission_minutes!$A$2:$A$43)),"-")</f>
        <v>0</v>
      </c>
      <c r="U17" s="128">
        <f>IFERROR(INDEX(lifespans_all!U$2:U$56,MATCH($A17,lifespans_all!$A$2:$A$56,0))*INDEX(SR_mission_minutes!U$2:U$43,MATCH($A17,SR_mission_minutes!$A$2:$A$43)),"-")</f>
        <v>0</v>
      </c>
      <c r="V17" s="128">
        <f>IFERROR(INDEX(lifespans_all!V$2:V$56,MATCH($A17,lifespans_all!$A$2:$A$56,0))*INDEX(SR_mission_minutes!V$2:V$43,MATCH($A17,SR_mission_minutes!$A$2:$A$43)),"-")</f>
        <v>0</v>
      </c>
      <c r="W17" s="128">
        <f>IFERROR(INDEX(lifespans_all!W$2:W$56,MATCH($A17,lifespans_all!$A$2:$A$56,0))*INDEX(SR_mission_minutes!W$2:W$43,MATCH($A17,SR_mission_minutes!$A$2:$A$43)),"-")</f>
        <v>0</v>
      </c>
    </row>
    <row r="18" spans="1:23" x14ac:dyDescent="0.25">
      <c r="A18" s="46" t="s">
        <v>75</v>
      </c>
      <c r="B18" s="46" t="s">
        <v>57</v>
      </c>
      <c r="C18" s="135"/>
      <c r="D18" s="128">
        <f>IFERROR(INDEX(lifespans_all!D$2:D$56,MATCH($A18,lifespans_all!$A$2:$A$56,0))*INDEX(SR_mission_minutes!D$2:D$43,MATCH($A18,SR_mission_minutes!$A$2:$A$43)),"-")</f>
        <v>66700.388888888891</v>
      </c>
      <c r="E18" s="128">
        <f>IFERROR(INDEX(lifespans_all!E$2:E$56,MATCH($A18,lifespans_all!$A$2:$A$56,0))*INDEX(SR_mission_minutes!E$2:E$43,MATCH($A18,SR_mission_minutes!$A$2:$A$43)),"-")</f>
        <v>66700.388888888891</v>
      </c>
      <c r="F18" s="128">
        <f>IFERROR(INDEX(lifespans_all!F$2:F$56,MATCH($A18,lifespans_all!$A$2:$A$56,0))*INDEX(SR_mission_minutes!F$2:F$43,MATCH($A18,SR_mission_minutes!$A$2:$A$43)),"-")</f>
        <v>66700.388888888891</v>
      </c>
      <c r="G18" s="128">
        <f>IFERROR(INDEX(lifespans_all!G$2:G$56,MATCH($A18,lifespans_all!$A$2:$A$56,0))*INDEX(SR_mission_minutes!G$2:G$43,MATCH($A18,SR_mission_minutes!$A$2:$A$43)),"-")</f>
        <v>0</v>
      </c>
      <c r="H18" s="128">
        <f>IFERROR(INDEX(lifespans_all!H$2:H$56,MATCH($A18,lifespans_all!$A$2:$A$56,0))*INDEX(SR_mission_minutes!H$2:H$43,MATCH($A18,SR_mission_minutes!$A$2:$A$43)),"-")</f>
        <v>0</v>
      </c>
      <c r="I18" s="128">
        <f>IFERROR(INDEX(lifespans_all!I$2:I$56,MATCH($A18,lifespans_all!$A$2:$A$56,0))*INDEX(SR_mission_minutes!I$2:I$43,MATCH($A18,SR_mission_minutes!$A$2:$A$43)),"-")</f>
        <v>0</v>
      </c>
      <c r="J18" s="128">
        <f>IFERROR(INDEX(lifespans_all!J$2:J$56,MATCH($A18,lifespans_all!$A$2:$A$56,0))*INDEX(SR_mission_minutes!J$2:J$43,MATCH($A18,SR_mission_minutes!$A$2:$A$43)),"-")</f>
        <v>0</v>
      </c>
      <c r="K18" s="128">
        <f>IFERROR(INDEX(lifespans_all!K$2:K$56,MATCH($A18,lifespans_all!$A$2:$A$56,0))*INDEX(SR_mission_minutes!K$2:K$43,MATCH($A18,SR_mission_minutes!$A$2:$A$43)),"-")</f>
        <v>0</v>
      </c>
      <c r="L18" s="128">
        <f>IFERROR(INDEX(lifespans_all!L$2:L$56,MATCH($A18,lifespans_all!$A$2:$A$56,0))*INDEX(SR_mission_minutes!L$2:L$43,MATCH($A18,SR_mission_minutes!$A$2:$A$43)),"-")</f>
        <v>0</v>
      </c>
      <c r="M18" s="128">
        <f>IFERROR(INDEX(lifespans_all!M$2:M$56,MATCH($A18,lifespans_all!$A$2:$A$56,0))*INDEX(SR_mission_minutes!M$2:M$43,MATCH($A18,SR_mission_minutes!$A$2:$A$43)),"-")</f>
        <v>0</v>
      </c>
      <c r="N18" s="128">
        <f>IFERROR(INDEX(lifespans_all!N$2:N$56,MATCH($A18,lifespans_all!$A$2:$A$56,0))*INDEX(SR_mission_minutes!N$2:N$43,MATCH($A18,SR_mission_minutes!$A$2:$A$43)),"-")</f>
        <v>0</v>
      </c>
      <c r="O18" s="128">
        <f>IFERROR(INDEX(lifespans_all!O$2:O$56,MATCH($A18,lifespans_all!$A$2:$A$56,0))*INDEX(SR_mission_minutes!O$2:O$43,MATCH($A18,SR_mission_minutes!$A$2:$A$43)),"-")</f>
        <v>0</v>
      </c>
      <c r="P18" s="128">
        <f>IFERROR(INDEX(lifespans_all!P$2:P$56,MATCH($A18,lifespans_all!$A$2:$A$56,0))*INDEX(SR_mission_minutes!P$2:P$43,MATCH($A18,SR_mission_minutes!$A$2:$A$43)),"-")</f>
        <v>0</v>
      </c>
      <c r="Q18" s="128">
        <f>IFERROR(INDEX(lifespans_all!Q$2:Q$56,MATCH($A18,lifespans_all!$A$2:$A$56,0))*INDEX(SR_mission_minutes!Q$2:Q$43,MATCH($A18,SR_mission_minutes!$A$2:$A$43)),"-")</f>
        <v>0</v>
      </c>
      <c r="R18" s="128">
        <f>IFERROR(INDEX(lifespans_all!R$2:R$56,MATCH($A18,lifespans_all!$A$2:$A$56,0))*INDEX(SR_mission_minutes!R$2:R$43,MATCH($A18,SR_mission_minutes!$A$2:$A$43)),"-")</f>
        <v>0</v>
      </c>
      <c r="S18" s="128">
        <f>IFERROR(INDEX(lifespans_all!S$2:S$56,MATCH($A18,lifespans_all!$A$2:$A$56,0))*INDEX(SR_mission_minutes!S$2:S$43,MATCH($A18,SR_mission_minutes!$A$2:$A$43)),"-")</f>
        <v>0</v>
      </c>
      <c r="T18" s="128">
        <f>IFERROR(INDEX(lifespans_all!T$2:T$56,MATCH($A18,lifespans_all!$A$2:$A$56,0))*INDEX(SR_mission_minutes!T$2:T$43,MATCH($A18,SR_mission_minutes!$A$2:$A$43)),"-")</f>
        <v>0</v>
      </c>
      <c r="U18" s="128">
        <f>IFERROR(INDEX(lifespans_all!U$2:U$56,MATCH($A18,lifespans_all!$A$2:$A$56,0))*INDEX(SR_mission_minutes!U$2:U$43,MATCH($A18,SR_mission_minutes!$A$2:$A$43)),"-")</f>
        <v>0</v>
      </c>
      <c r="V18" s="128">
        <f>IFERROR(INDEX(lifespans_all!V$2:V$56,MATCH($A18,lifespans_all!$A$2:$A$56,0))*INDEX(SR_mission_minutes!V$2:V$43,MATCH($A18,SR_mission_minutes!$A$2:$A$43)),"-")</f>
        <v>0</v>
      </c>
      <c r="W18" s="128">
        <f>IFERROR(INDEX(lifespans_all!W$2:W$56,MATCH($A18,lifespans_all!$A$2:$A$56,0))*INDEX(SR_mission_minutes!W$2:W$43,MATCH($A18,SR_mission_minutes!$A$2:$A$43)),"-")</f>
        <v>0</v>
      </c>
    </row>
    <row r="19" spans="1:23" x14ac:dyDescent="0.25">
      <c r="A19" s="46" t="s">
        <v>76</v>
      </c>
      <c r="B19" s="46" t="s">
        <v>57</v>
      </c>
      <c r="C19" s="135"/>
      <c r="D19" s="128">
        <f>IFERROR(INDEX(lifespans_all!D$2:D$56,MATCH($A19,lifespans_all!$A$2:$A$56,0))*INDEX(SR_mission_minutes!D$2:D$43,MATCH($A19,SR_mission_minutes!$A$2:$A$43)),"-")</f>
        <v>66700.388888888891</v>
      </c>
      <c r="E19" s="128">
        <f>IFERROR(INDEX(lifespans_all!E$2:E$56,MATCH($A19,lifespans_all!$A$2:$A$56,0))*INDEX(SR_mission_minutes!E$2:E$43,MATCH($A19,SR_mission_minutes!$A$2:$A$43)),"-")</f>
        <v>66700.388888888891</v>
      </c>
      <c r="F19" s="128">
        <f>IFERROR(INDEX(lifespans_all!F$2:F$56,MATCH($A19,lifespans_all!$A$2:$A$56,0))*INDEX(SR_mission_minutes!F$2:F$43,MATCH($A19,SR_mission_minutes!$A$2:$A$43)),"-")</f>
        <v>66700.388888888891</v>
      </c>
      <c r="G19" s="128">
        <f>IFERROR(INDEX(lifespans_all!G$2:G$56,MATCH($A19,lifespans_all!$A$2:$A$56,0))*INDEX(SR_mission_minutes!G$2:G$43,MATCH($A19,SR_mission_minutes!$A$2:$A$43)),"-")</f>
        <v>66700.388888888891</v>
      </c>
      <c r="H19" s="128">
        <f>IFERROR(INDEX(lifespans_all!H$2:H$56,MATCH($A19,lifespans_all!$A$2:$A$56,0))*INDEX(SR_mission_minutes!H$2:H$43,MATCH($A19,SR_mission_minutes!$A$2:$A$43)),"-")</f>
        <v>66700.388888888891</v>
      </c>
      <c r="I19" s="128">
        <f>IFERROR(INDEX(lifespans_all!I$2:I$56,MATCH($A19,lifespans_all!$A$2:$A$56,0))*INDEX(SR_mission_minutes!I$2:I$43,MATCH($A19,SR_mission_minutes!$A$2:$A$43)),"-")</f>
        <v>66700.388888888891</v>
      </c>
      <c r="J19" s="128">
        <f>IFERROR(INDEX(lifespans_all!J$2:J$56,MATCH($A19,lifespans_all!$A$2:$A$56,0))*INDEX(SR_mission_minutes!J$2:J$43,MATCH($A19,SR_mission_minutes!$A$2:$A$43)),"-")</f>
        <v>0</v>
      </c>
      <c r="K19" s="128">
        <f>IFERROR(INDEX(lifespans_all!K$2:K$56,MATCH($A19,lifespans_all!$A$2:$A$56,0))*INDEX(SR_mission_minutes!K$2:K$43,MATCH($A19,SR_mission_minutes!$A$2:$A$43)),"-")</f>
        <v>0</v>
      </c>
      <c r="L19" s="128">
        <f>IFERROR(INDEX(lifespans_all!L$2:L$56,MATCH($A19,lifespans_all!$A$2:$A$56,0))*INDEX(SR_mission_minutes!L$2:L$43,MATCH($A19,SR_mission_minutes!$A$2:$A$43)),"-")</f>
        <v>0</v>
      </c>
      <c r="M19" s="128">
        <f>IFERROR(INDEX(lifespans_all!M$2:M$56,MATCH($A19,lifespans_all!$A$2:$A$56,0))*INDEX(SR_mission_minutes!M$2:M$43,MATCH($A19,SR_mission_minutes!$A$2:$A$43)),"-")</f>
        <v>0</v>
      </c>
      <c r="N19" s="128">
        <f>IFERROR(INDEX(lifespans_all!N$2:N$56,MATCH($A19,lifespans_all!$A$2:$A$56,0))*INDEX(SR_mission_minutes!N$2:N$43,MATCH($A19,SR_mission_minutes!$A$2:$A$43)),"-")</f>
        <v>0</v>
      </c>
      <c r="O19" s="128">
        <f>IFERROR(INDEX(lifespans_all!O$2:O$56,MATCH($A19,lifespans_all!$A$2:$A$56,0))*INDEX(SR_mission_minutes!O$2:O$43,MATCH($A19,SR_mission_minutes!$A$2:$A$43)),"-")</f>
        <v>0</v>
      </c>
      <c r="P19" s="128">
        <f>IFERROR(INDEX(lifespans_all!P$2:P$56,MATCH($A19,lifespans_all!$A$2:$A$56,0))*INDEX(SR_mission_minutes!P$2:P$43,MATCH($A19,SR_mission_minutes!$A$2:$A$43)),"-")</f>
        <v>0</v>
      </c>
      <c r="Q19" s="128">
        <f>IFERROR(INDEX(lifespans_all!Q$2:Q$56,MATCH($A19,lifespans_all!$A$2:$A$56,0))*INDEX(SR_mission_minutes!Q$2:Q$43,MATCH($A19,SR_mission_minutes!$A$2:$A$43)),"-")</f>
        <v>0</v>
      </c>
      <c r="R19" s="128">
        <f>IFERROR(INDEX(lifespans_all!R$2:R$56,MATCH($A19,lifespans_all!$A$2:$A$56,0))*INDEX(SR_mission_minutes!R$2:R$43,MATCH($A19,SR_mission_minutes!$A$2:$A$43)),"-")</f>
        <v>0</v>
      </c>
      <c r="S19" s="128">
        <f>IFERROR(INDEX(lifespans_all!S$2:S$56,MATCH($A19,lifespans_all!$A$2:$A$56,0))*INDEX(SR_mission_minutes!S$2:S$43,MATCH($A19,SR_mission_minutes!$A$2:$A$43)),"-")</f>
        <v>0</v>
      </c>
      <c r="T19" s="128">
        <f>IFERROR(INDEX(lifespans_all!T$2:T$56,MATCH($A19,lifespans_all!$A$2:$A$56,0))*INDEX(SR_mission_minutes!T$2:T$43,MATCH($A19,SR_mission_minutes!$A$2:$A$43)),"-")</f>
        <v>0</v>
      </c>
      <c r="U19" s="128">
        <f>IFERROR(INDEX(lifespans_all!U$2:U$56,MATCH($A19,lifespans_all!$A$2:$A$56,0))*INDEX(SR_mission_minutes!U$2:U$43,MATCH($A19,SR_mission_minutes!$A$2:$A$43)),"-")</f>
        <v>0</v>
      </c>
      <c r="V19" s="128">
        <f>IFERROR(INDEX(lifespans_all!V$2:V$56,MATCH($A19,lifespans_all!$A$2:$A$56,0))*INDEX(SR_mission_minutes!V$2:V$43,MATCH($A19,SR_mission_minutes!$A$2:$A$43)),"-")</f>
        <v>0</v>
      </c>
      <c r="W19" s="128">
        <f>IFERROR(INDEX(lifespans_all!W$2:W$56,MATCH($A19,lifespans_all!$A$2:$A$56,0))*INDEX(SR_mission_minutes!W$2:W$43,MATCH($A19,SR_mission_minutes!$A$2:$A$43)),"-")</f>
        <v>0</v>
      </c>
    </row>
    <row r="20" spans="1:23" x14ac:dyDescent="0.25">
      <c r="A20" s="46" t="s">
        <v>42</v>
      </c>
      <c r="B20" s="46" t="s">
        <v>61</v>
      </c>
      <c r="C20" s="135"/>
      <c r="D20" s="128">
        <f>IFERROR(INDEX(lifespans_all!D$2:D$56,MATCH($A20,lifespans_all!$A$2:$A$56,0))*INDEX(SR_mission_minutes!D$2:D$43,MATCH($A20,SR_mission_minutes!$A$2:$A$43)),"-")</f>
        <v>33739.333333333336</v>
      </c>
      <c r="E20" s="128">
        <f>IFERROR(INDEX(lifespans_all!E$2:E$56,MATCH($A20,lifespans_all!$A$2:$A$56,0))*INDEX(SR_mission_minutes!E$2:E$43,MATCH($A20,SR_mission_minutes!$A$2:$A$43)),"-")</f>
        <v>33739.333333333336</v>
      </c>
      <c r="F20" s="128">
        <f>IFERROR(INDEX(lifespans_all!F$2:F$56,MATCH($A20,lifespans_all!$A$2:$A$56,0))*INDEX(SR_mission_minutes!F$2:F$43,MATCH($A20,SR_mission_minutes!$A$2:$A$43)),"-")</f>
        <v>33739.333333333336</v>
      </c>
      <c r="G20" s="128">
        <f>IFERROR(INDEX(lifespans_all!G$2:G$56,MATCH($A20,lifespans_all!$A$2:$A$56,0))*INDEX(SR_mission_minutes!G$2:G$43,MATCH($A20,SR_mission_minutes!$A$2:$A$43)),"-")</f>
        <v>33739.333333333336</v>
      </c>
      <c r="H20" s="128">
        <f>IFERROR(INDEX(lifespans_all!H$2:H$56,MATCH($A20,lifespans_all!$A$2:$A$56,0))*INDEX(SR_mission_minutes!H$2:H$43,MATCH($A20,SR_mission_minutes!$A$2:$A$43)),"-")</f>
        <v>33739.333333333336</v>
      </c>
      <c r="I20" s="128">
        <f>IFERROR(INDEX(lifespans_all!I$2:I$56,MATCH($A20,lifespans_all!$A$2:$A$56,0))*INDEX(SR_mission_minutes!I$2:I$43,MATCH($A20,SR_mission_minutes!$A$2:$A$43)),"-")</f>
        <v>33739.333333333336</v>
      </c>
      <c r="J20" s="128">
        <f>IFERROR(INDEX(lifespans_all!J$2:J$56,MATCH($A20,lifespans_all!$A$2:$A$56,0))*INDEX(SR_mission_minutes!J$2:J$43,MATCH($A20,SR_mission_minutes!$A$2:$A$43)),"-")</f>
        <v>33739.333333333336</v>
      </c>
      <c r="K20" s="128">
        <f>IFERROR(INDEX(lifespans_all!K$2:K$56,MATCH($A20,lifespans_all!$A$2:$A$56,0))*INDEX(SR_mission_minutes!K$2:K$43,MATCH($A20,SR_mission_minutes!$A$2:$A$43)),"-")</f>
        <v>33739.333333333336</v>
      </c>
      <c r="L20" s="128">
        <f>IFERROR(INDEX(lifespans_all!L$2:L$56,MATCH($A20,lifespans_all!$A$2:$A$56,0))*INDEX(SR_mission_minutes!L$2:L$43,MATCH($A20,SR_mission_minutes!$A$2:$A$43)),"-")</f>
        <v>33739.333333333336</v>
      </c>
      <c r="M20" s="128">
        <f>IFERROR(INDEX(lifespans_all!M$2:M$56,MATCH($A20,lifespans_all!$A$2:$A$56,0))*INDEX(SR_mission_minutes!M$2:M$43,MATCH($A20,SR_mission_minutes!$A$2:$A$43)),"-")</f>
        <v>33739.333333333336</v>
      </c>
      <c r="N20" s="128">
        <f>IFERROR(INDEX(lifespans_all!N$2:N$56,MATCH($A20,lifespans_all!$A$2:$A$56,0))*INDEX(SR_mission_minutes!N$2:N$43,MATCH($A20,SR_mission_minutes!$A$2:$A$43)),"-")</f>
        <v>33739.333333333336</v>
      </c>
      <c r="O20" s="128">
        <f>IFERROR(INDEX(lifespans_all!O$2:O$56,MATCH($A20,lifespans_all!$A$2:$A$56,0))*INDEX(SR_mission_minutes!O$2:O$43,MATCH($A20,SR_mission_minutes!$A$2:$A$43)),"-")</f>
        <v>33739.333333333336</v>
      </c>
      <c r="P20" s="128">
        <f>IFERROR(INDEX(lifespans_all!P$2:P$56,MATCH($A20,lifespans_all!$A$2:$A$56,0))*INDEX(SR_mission_minutes!P$2:P$43,MATCH($A20,SR_mission_minutes!$A$2:$A$43)),"-")</f>
        <v>33739.333333333336</v>
      </c>
      <c r="Q20" s="128">
        <f>IFERROR(INDEX(lifespans_all!Q$2:Q$56,MATCH($A20,lifespans_all!$A$2:$A$56,0))*INDEX(SR_mission_minutes!Q$2:Q$43,MATCH($A20,SR_mission_minutes!$A$2:$A$43)),"-")</f>
        <v>33739.333333333336</v>
      </c>
      <c r="R20" s="128">
        <f>IFERROR(INDEX(lifespans_all!R$2:R$56,MATCH($A20,lifespans_all!$A$2:$A$56,0))*INDEX(SR_mission_minutes!R$2:R$43,MATCH($A20,SR_mission_minutes!$A$2:$A$43)),"-")</f>
        <v>33739.333333333336</v>
      </c>
      <c r="S20" s="128">
        <f>IFERROR(INDEX(lifespans_all!S$2:S$56,MATCH($A20,lifespans_all!$A$2:$A$56,0))*INDEX(SR_mission_minutes!S$2:S$43,MATCH($A20,SR_mission_minutes!$A$2:$A$43)),"-")</f>
        <v>33739.333333333336</v>
      </c>
      <c r="T20" s="128">
        <f>IFERROR(INDEX(lifespans_all!T$2:T$56,MATCH($A20,lifespans_all!$A$2:$A$56,0))*INDEX(SR_mission_minutes!T$2:T$43,MATCH($A20,SR_mission_minutes!$A$2:$A$43)),"-")</f>
        <v>33739.333333333336</v>
      </c>
      <c r="U20" s="128">
        <f>IFERROR(INDEX(lifespans_all!U$2:U$56,MATCH($A20,lifespans_all!$A$2:$A$56,0))*INDEX(SR_mission_minutes!U$2:U$43,MATCH($A20,SR_mission_minutes!$A$2:$A$43)),"-")</f>
        <v>33739.333333333336</v>
      </c>
      <c r="V20" s="128">
        <f>IFERROR(INDEX(lifespans_all!V$2:V$56,MATCH($A20,lifespans_all!$A$2:$A$56,0))*INDEX(SR_mission_minutes!V$2:V$43,MATCH($A20,SR_mission_minutes!$A$2:$A$43)),"-")</f>
        <v>33739.333333333336</v>
      </c>
      <c r="W20" s="128">
        <f>IFERROR(INDEX(lifespans_all!W$2:W$56,MATCH($A20,lifespans_all!$A$2:$A$56,0))*INDEX(SR_mission_minutes!W$2:W$43,MATCH($A20,SR_mission_minutes!$A$2:$A$43)),"-")</f>
        <v>33739.333333333336</v>
      </c>
    </row>
    <row r="21" spans="1:23" x14ac:dyDescent="0.25">
      <c r="A21" s="46" t="s">
        <v>77</v>
      </c>
      <c r="B21" s="46" t="s">
        <v>58</v>
      </c>
      <c r="C21" s="135"/>
      <c r="D21" s="128">
        <f>IFERROR(INDEX(lifespans_all!D$2:D$56,MATCH($A21,lifespans_all!$A$2:$A$56,0))*INDEX(SR_mission_minutes!D$2:D$43,MATCH($A21,SR_mission_minutes!$A$2:$A$43)),"-")</f>
        <v>2294</v>
      </c>
      <c r="E21" s="128">
        <f>IFERROR(INDEX(lifespans_all!E$2:E$56,MATCH($A21,lifespans_all!$A$2:$A$56,0))*INDEX(SR_mission_minutes!E$2:E$43,MATCH($A21,SR_mission_minutes!$A$2:$A$43)),"-")</f>
        <v>2294</v>
      </c>
      <c r="F21" s="128">
        <f>IFERROR(INDEX(lifespans_all!F$2:F$56,MATCH($A21,lifespans_all!$A$2:$A$56,0))*INDEX(SR_mission_minutes!F$2:F$43,MATCH($A21,SR_mission_minutes!$A$2:$A$43)),"-")</f>
        <v>2294</v>
      </c>
      <c r="G21" s="128">
        <f>IFERROR(INDEX(lifespans_all!G$2:G$56,MATCH($A21,lifespans_all!$A$2:$A$56,0))*INDEX(SR_mission_minutes!G$2:G$43,MATCH($A21,SR_mission_minutes!$A$2:$A$43)),"-")</f>
        <v>2294</v>
      </c>
      <c r="H21" s="128">
        <f>IFERROR(INDEX(lifespans_all!H$2:H$56,MATCH($A21,lifespans_all!$A$2:$A$56,0))*INDEX(SR_mission_minutes!H$2:H$43,MATCH($A21,SR_mission_minutes!$A$2:$A$43)),"-")</f>
        <v>2294</v>
      </c>
      <c r="I21" s="128">
        <f>IFERROR(INDEX(lifespans_all!I$2:I$56,MATCH($A21,lifespans_all!$A$2:$A$56,0))*INDEX(SR_mission_minutes!I$2:I$43,MATCH($A21,SR_mission_minutes!$A$2:$A$43)),"-")</f>
        <v>2294</v>
      </c>
      <c r="J21" s="128">
        <f>IFERROR(INDEX(lifespans_all!J$2:J$56,MATCH($A21,lifespans_all!$A$2:$A$56,0))*INDEX(SR_mission_minutes!J$2:J$43,MATCH($A21,SR_mission_minutes!$A$2:$A$43)),"-")</f>
        <v>2294</v>
      </c>
      <c r="K21" s="128">
        <f>IFERROR(INDEX(lifespans_all!K$2:K$56,MATCH($A21,lifespans_all!$A$2:$A$56,0))*INDEX(SR_mission_minutes!K$2:K$43,MATCH($A21,SR_mission_minutes!$A$2:$A$43)),"-")</f>
        <v>2294</v>
      </c>
      <c r="L21" s="128">
        <f>IFERROR(INDEX(lifespans_all!L$2:L$56,MATCH($A21,lifespans_all!$A$2:$A$56,0))*INDEX(SR_mission_minutes!L$2:L$43,MATCH($A21,SR_mission_minutes!$A$2:$A$43)),"-")</f>
        <v>2294</v>
      </c>
      <c r="M21" s="128">
        <f>IFERROR(INDEX(lifespans_all!M$2:M$56,MATCH($A21,lifespans_all!$A$2:$A$56,0))*INDEX(SR_mission_minutes!M$2:M$43,MATCH($A21,SR_mission_minutes!$A$2:$A$43)),"-")</f>
        <v>2294</v>
      </c>
      <c r="N21" s="128">
        <f>IFERROR(INDEX(lifespans_all!N$2:N$56,MATCH($A21,lifespans_all!$A$2:$A$56,0))*INDEX(SR_mission_minutes!N$2:N$43,MATCH($A21,SR_mission_minutes!$A$2:$A$43)),"-")</f>
        <v>2294</v>
      </c>
      <c r="O21" s="128">
        <f>IFERROR(INDEX(lifespans_all!O$2:O$56,MATCH($A21,lifespans_all!$A$2:$A$56,0))*INDEX(SR_mission_minutes!O$2:O$43,MATCH($A21,SR_mission_minutes!$A$2:$A$43)),"-")</f>
        <v>2294</v>
      </c>
      <c r="P21" s="128">
        <f>IFERROR(INDEX(lifespans_all!P$2:P$56,MATCH($A21,lifespans_all!$A$2:$A$56,0))*INDEX(SR_mission_minutes!P$2:P$43,MATCH($A21,SR_mission_minutes!$A$2:$A$43)),"-")</f>
        <v>2294</v>
      </c>
      <c r="Q21" s="128">
        <f>IFERROR(INDEX(lifespans_all!Q$2:Q$56,MATCH($A21,lifespans_all!$A$2:$A$56,0))*INDEX(SR_mission_minutes!Q$2:Q$43,MATCH($A21,SR_mission_minutes!$A$2:$A$43)),"-")</f>
        <v>2294</v>
      </c>
      <c r="R21" s="128">
        <f>IFERROR(INDEX(lifespans_all!R$2:R$56,MATCH($A21,lifespans_all!$A$2:$A$56,0))*INDEX(SR_mission_minutes!R$2:R$43,MATCH($A21,SR_mission_minutes!$A$2:$A$43)),"-")</f>
        <v>2294</v>
      </c>
      <c r="S21" s="128">
        <f>IFERROR(INDEX(lifespans_all!S$2:S$56,MATCH($A21,lifespans_all!$A$2:$A$56,0))*INDEX(SR_mission_minutes!S$2:S$43,MATCH($A21,SR_mission_minutes!$A$2:$A$43)),"-")</f>
        <v>2294</v>
      </c>
      <c r="T21" s="128">
        <f>IFERROR(INDEX(lifespans_all!T$2:T$56,MATCH($A21,lifespans_all!$A$2:$A$56,0))*INDEX(SR_mission_minutes!T$2:T$43,MATCH($A21,SR_mission_minutes!$A$2:$A$43)),"-")</f>
        <v>2294</v>
      </c>
      <c r="U21" s="128">
        <f>IFERROR(INDEX(lifespans_all!U$2:U$56,MATCH($A21,lifespans_all!$A$2:$A$56,0))*INDEX(SR_mission_minutes!U$2:U$43,MATCH($A21,SR_mission_minutes!$A$2:$A$43)),"-")</f>
        <v>2294</v>
      </c>
      <c r="V21" s="128">
        <f>IFERROR(INDEX(lifespans_all!V$2:V$56,MATCH($A21,lifespans_all!$A$2:$A$56,0))*INDEX(SR_mission_minutes!V$2:V$43,MATCH($A21,SR_mission_minutes!$A$2:$A$43)),"-")</f>
        <v>2294</v>
      </c>
      <c r="W21" s="128">
        <f>IFERROR(INDEX(lifespans_all!W$2:W$56,MATCH($A21,lifespans_all!$A$2:$A$56,0))*INDEX(SR_mission_minutes!W$2:W$43,MATCH($A21,SR_mission_minutes!$A$2:$A$43)),"-")</f>
        <v>2294</v>
      </c>
    </row>
    <row r="22" spans="1:23" x14ac:dyDescent="0.25">
      <c r="A22" s="46" t="s">
        <v>135</v>
      </c>
      <c r="B22" s="46" t="s">
        <v>56</v>
      </c>
      <c r="C22" s="135"/>
      <c r="D22" s="128" t="str">
        <f>IFERROR(INDEX(lifespans_all!D$2:D$56,MATCH($A22,lifespans_all!$A$2:$A$56,0))*INDEX(SR_mission_minutes!D$2:D$43,MATCH($A22,SR_mission_minutes!$A$2:$A$43)),"-")</f>
        <v>-</v>
      </c>
      <c r="E22" s="128" t="str">
        <f>IFERROR(INDEX(lifespans_all!E$2:E$56,MATCH($A22,lifespans_all!$A$2:$A$56,0))*INDEX(SR_mission_minutes!E$2:E$43,MATCH($A22,SR_mission_minutes!$A$2:$A$43)),"-")</f>
        <v>-</v>
      </c>
      <c r="F22" s="128" t="str">
        <f>IFERROR(INDEX(lifespans_all!F$2:F$56,MATCH($A22,lifespans_all!$A$2:$A$56,0))*INDEX(SR_mission_minutes!F$2:F$43,MATCH($A22,SR_mission_minutes!$A$2:$A$43)),"-")</f>
        <v>-</v>
      </c>
      <c r="G22" s="128" t="str">
        <f>IFERROR(INDEX(lifespans_all!G$2:G$56,MATCH($A22,lifespans_all!$A$2:$A$56,0))*INDEX(SR_mission_minutes!G$2:G$43,MATCH($A22,SR_mission_minutes!$A$2:$A$43)),"-")</f>
        <v>-</v>
      </c>
      <c r="H22" s="128" t="str">
        <f>IFERROR(INDEX(lifespans_all!H$2:H$56,MATCH($A22,lifespans_all!$A$2:$A$56,0))*INDEX(SR_mission_minutes!H$2:H$43,MATCH($A22,SR_mission_minutes!$A$2:$A$43)),"-")</f>
        <v>-</v>
      </c>
      <c r="I22" s="128" t="str">
        <f>IFERROR(INDEX(lifespans_all!I$2:I$56,MATCH($A22,lifespans_all!$A$2:$A$56,0))*INDEX(SR_mission_minutes!I$2:I$43,MATCH($A22,SR_mission_minutes!$A$2:$A$43)),"-")</f>
        <v>-</v>
      </c>
      <c r="J22" s="128" t="str">
        <f>IFERROR(INDEX(lifespans_all!J$2:J$56,MATCH($A22,lifespans_all!$A$2:$A$56,0))*INDEX(SR_mission_minutes!J$2:J$43,MATCH($A22,SR_mission_minutes!$A$2:$A$43)),"-")</f>
        <v>-</v>
      </c>
      <c r="K22" s="128" t="str">
        <f>IFERROR(INDEX(lifespans_all!K$2:K$56,MATCH($A22,lifespans_all!$A$2:$A$56,0))*INDEX(SR_mission_minutes!K$2:K$43,MATCH($A22,SR_mission_minutes!$A$2:$A$43)),"-")</f>
        <v>-</v>
      </c>
      <c r="L22" s="128" t="str">
        <f>IFERROR(INDEX(lifespans_all!L$2:L$56,MATCH($A22,lifespans_all!$A$2:$A$56,0))*INDEX(SR_mission_minutes!L$2:L$43,MATCH($A22,SR_mission_minutes!$A$2:$A$43)),"-")</f>
        <v>-</v>
      </c>
      <c r="M22" s="128" t="str">
        <f>IFERROR(INDEX(lifespans_all!M$2:M$56,MATCH($A22,lifespans_all!$A$2:$A$56,0))*INDEX(SR_mission_minutes!M$2:M$43,MATCH($A22,SR_mission_minutes!$A$2:$A$43)),"-")</f>
        <v>-</v>
      </c>
      <c r="N22" s="128" t="str">
        <f>IFERROR(INDEX(lifespans_all!N$2:N$56,MATCH($A22,lifespans_all!$A$2:$A$56,0))*INDEX(SR_mission_minutes!N$2:N$43,MATCH($A22,SR_mission_minutes!$A$2:$A$43)),"-")</f>
        <v>-</v>
      </c>
      <c r="O22" s="128" t="str">
        <f>IFERROR(INDEX(lifespans_all!O$2:O$56,MATCH($A22,lifespans_all!$A$2:$A$56,0))*INDEX(SR_mission_minutes!O$2:O$43,MATCH($A22,SR_mission_minutes!$A$2:$A$43)),"-")</f>
        <v>-</v>
      </c>
      <c r="P22" s="128" t="str">
        <f>IFERROR(INDEX(lifespans_all!P$2:P$56,MATCH($A22,lifespans_all!$A$2:$A$56,0))*INDEX(SR_mission_minutes!P$2:P$43,MATCH($A22,SR_mission_minutes!$A$2:$A$43)),"-")</f>
        <v>-</v>
      </c>
      <c r="Q22" s="128" t="str">
        <f>IFERROR(INDEX(lifespans_all!Q$2:Q$56,MATCH($A22,lifespans_all!$A$2:$A$56,0))*INDEX(SR_mission_minutes!Q$2:Q$43,MATCH($A22,SR_mission_minutes!$A$2:$A$43)),"-")</f>
        <v>-</v>
      </c>
      <c r="R22" s="128" t="str">
        <f>IFERROR(INDEX(lifespans_all!R$2:R$56,MATCH($A22,lifespans_all!$A$2:$A$56,0))*INDEX(SR_mission_minutes!R$2:R$43,MATCH($A22,SR_mission_minutes!$A$2:$A$43)),"-")</f>
        <v>-</v>
      </c>
      <c r="S22" s="128" t="str">
        <f>IFERROR(INDEX(lifespans_all!S$2:S$56,MATCH($A22,lifespans_all!$A$2:$A$56,0))*INDEX(SR_mission_minutes!S$2:S$43,MATCH($A22,SR_mission_minutes!$A$2:$A$43)),"-")</f>
        <v>-</v>
      </c>
      <c r="T22" s="128" t="str">
        <f>IFERROR(INDEX(lifespans_all!T$2:T$56,MATCH($A22,lifespans_all!$A$2:$A$56,0))*INDEX(SR_mission_minutes!T$2:T$43,MATCH($A22,SR_mission_minutes!$A$2:$A$43)),"-")</f>
        <v>-</v>
      </c>
      <c r="U22" s="128" t="str">
        <f>IFERROR(INDEX(lifespans_all!U$2:U$56,MATCH($A22,lifespans_all!$A$2:$A$56,0))*INDEX(SR_mission_minutes!U$2:U$43,MATCH($A22,SR_mission_minutes!$A$2:$A$43)),"-")</f>
        <v>-</v>
      </c>
      <c r="V22" s="128" t="str">
        <f>IFERROR(INDEX(lifespans_all!V$2:V$56,MATCH($A22,lifespans_all!$A$2:$A$56,0))*INDEX(SR_mission_minutes!V$2:V$43,MATCH($A22,SR_mission_minutes!$A$2:$A$43)),"-")</f>
        <v>-</v>
      </c>
      <c r="W22" s="128" t="str">
        <f>IFERROR(INDEX(lifespans_all!W$2:W$56,MATCH($A22,lifespans_all!$A$2:$A$56,0))*INDEX(SR_mission_minutes!W$2:W$43,MATCH($A22,SR_mission_minutes!$A$2:$A$43)),"-")</f>
        <v>-</v>
      </c>
    </row>
    <row r="23" spans="1:23" x14ac:dyDescent="0.25">
      <c r="A23" s="46" t="s">
        <v>136</v>
      </c>
      <c r="B23" s="46" t="s">
        <v>56</v>
      </c>
      <c r="C23" s="135"/>
      <c r="D23" s="128" t="str">
        <f>IFERROR(INDEX(lifespans_all!D$2:D$56,MATCH($A23,lifespans_all!$A$2:$A$56,0))*INDEX(SR_mission_minutes!D$2:D$43,MATCH($A23,SR_mission_minutes!$A$2:$A$43)),"-")</f>
        <v>-</v>
      </c>
      <c r="E23" s="128" t="str">
        <f>IFERROR(INDEX(lifespans_all!E$2:E$56,MATCH($A23,lifespans_all!$A$2:$A$56,0))*INDEX(SR_mission_minutes!E$2:E$43,MATCH($A23,SR_mission_minutes!$A$2:$A$43)),"-")</f>
        <v>-</v>
      </c>
      <c r="F23" s="128" t="str">
        <f>IFERROR(INDEX(lifespans_all!F$2:F$56,MATCH($A23,lifespans_all!$A$2:$A$56,0))*INDEX(SR_mission_minutes!F$2:F$43,MATCH($A23,SR_mission_minutes!$A$2:$A$43)),"-")</f>
        <v>-</v>
      </c>
      <c r="G23" s="128" t="str">
        <f>IFERROR(INDEX(lifespans_all!G$2:G$56,MATCH($A23,lifespans_all!$A$2:$A$56,0))*INDEX(SR_mission_minutes!G$2:G$43,MATCH($A23,SR_mission_minutes!$A$2:$A$43)),"-")</f>
        <v>-</v>
      </c>
      <c r="H23" s="128" t="str">
        <f>IFERROR(INDEX(lifespans_all!H$2:H$56,MATCH($A23,lifespans_all!$A$2:$A$56,0))*INDEX(SR_mission_minutes!H$2:H$43,MATCH($A23,SR_mission_minutes!$A$2:$A$43)),"-")</f>
        <v>-</v>
      </c>
      <c r="I23" s="128" t="str">
        <f>IFERROR(INDEX(lifespans_all!I$2:I$56,MATCH($A23,lifespans_all!$A$2:$A$56,0))*INDEX(SR_mission_minutes!I$2:I$43,MATCH($A23,SR_mission_minutes!$A$2:$A$43)),"-")</f>
        <v>-</v>
      </c>
      <c r="J23" s="128" t="str">
        <f>IFERROR(INDEX(lifespans_all!J$2:J$56,MATCH($A23,lifespans_all!$A$2:$A$56,0))*INDEX(SR_mission_minutes!J$2:J$43,MATCH($A23,SR_mission_minutes!$A$2:$A$43)),"-")</f>
        <v>-</v>
      </c>
      <c r="K23" s="128" t="str">
        <f>IFERROR(INDEX(lifespans_all!K$2:K$56,MATCH($A23,lifespans_all!$A$2:$A$56,0))*INDEX(SR_mission_minutes!K$2:K$43,MATCH($A23,SR_mission_minutes!$A$2:$A$43)),"-")</f>
        <v>-</v>
      </c>
      <c r="L23" s="128" t="str">
        <f>IFERROR(INDEX(lifespans_all!L$2:L$56,MATCH($A23,lifespans_all!$A$2:$A$56,0))*INDEX(SR_mission_minutes!L$2:L$43,MATCH($A23,SR_mission_minutes!$A$2:$A$43)),"-")</f>
        <v>-</v>
      </c>
      <c r="M23" s="128" t="str">
        <f>IFERROR(INDEX(lifespans_all!M$2:M$56,MATCH($A23,lifespans_all!$A$2:$A$56,0))*INDEX(SR_mission_minutes!M$2:M$43,MATCH($A23,SR_mission_minutes!$A$2:$A$43)),"-")</f>
        <v>-</v>
      </c>
      <c r="N23" s="128" t="str">
        <f>IFERROR(INDEX(lifespans_all!N$2:N$56,MATCH($A23,lifespans_all!$A$2:$A$56,0))*INDEX(SR_mission_minutes!N$2:N$43,MATCH($A23,SR_mission_minutes!$A$2:$A$43)),"-")</f>
        <v>-</v>
      </c>
      <c r="O23" s="128" t="str">
        <f>IFERROR(INDEX(lifespans_all!O$2:O$56,MATCH($A23,lifespans_all!$A$2:$A$56,0))*INDEX(SR_mission_minutes!O$2:O$43,MATCH($A23,SR_mission_minutes!$A$2:$A$43)),"-")</f>
        <v>-</v>
      </c>
      <c r="P23" s="128" t="str">
        <f>IFERROR(INDEX(lifespans_all!P$2:P$56,MATCH($A23,lifespans_all!$A$2:$A$56,0))*INDEX(SR_mission_minutes!P$2:P$43,MATCH($A23,SR_mission_minutes!$A$2:$A$43)),"-")</f>
        <v>-</v>
      </c>
      <c r="Q23" s="128" t="str">
        <f>IFERROR(INDEX(lifespans_all!Q$2:Q$56,MATCH($A23,lifespans_all!$A$2:$A$56,0))*INDEX(SR_mission_minutes!Q$2:Q$43,MATCH($A23,SR_mission_minutes!$A$2:$A$43)),"-")</f>
        <v>-</v>
      </c>
      <c r="R23" s="128" t="str">
        <f>IFERROR(INDEX(lifespans_all!R$2:R$56,MATCH($A23,lifespans_all!$A$2:$A$56,0))*INDEX(SR_mission_minutes!R$2:R$43,MATCH($A23,SR_mission_minutes!$A$2:$A$43)),"-")</f>
        <v>-</v>
      </c>
      <c r="S23" s="128" t="str">
        <f>IFERROR(INDEX(lifespans_all!S$2:S$56,MATCH($A23,lifespans_all!$A$2:$A$56,0))*INDEX(SR_mission_minutes!S$2:S$43,MATCH($A23,SR_mission_minutes!$A$2:$A$43)),"-")</f>
        <v>-</v>
      </c>
      <c r="T23" s="128" t="str">
        <f>IFERROR(INDEX(lifespans_all!T$2:T$56,MATCH($A23,lifespans_all!$A$2:$A$56,0))*INDEX(SR_mission_minutes!T$2:T$43,MATCH($A23,SR_mission_minutes!$A$2:$A$43)),"-")</f>
        <v>-</v>
      </c>
      <c r="U23" s="128" t="str">
        <f>IFERROR(INDEX(lifespans_all!U$2:U$56,MATCH($A23,lifespans_all!$A$2:$A$56,0))*INDEX(SR_mission_minutes!U$2:U$43,MATCH($A23,SR_mission_minutes!$A$2:$A$43)),"-")</f>
        <v>-</v>
      </c>
      <c r="V23" s="128" t="str">
        <f>IFERROR(INDEX(lifespans_all!V$2:V$56,MATCH($A23,lifespans_all!$A$2:$A$56,0))*INDEX(SR_mission_minutes!V$2:V$43,MATCH($A23,SR_mission_minutes!$A$2:$A$43)),"-")</f>
        <v>-</v>
      </c>
      <c r="W23" s="128" t="str">
        <f>IFERROR(INDEX(lifespans_all!W$2:W$56,MATCH($A23,lifespans_all!$A$2:$A$56,0))*INDEX(SR_mission_minutes!W$2:W$43,MATCH($A23,SR_mission_minutes!$A$2:$A$43)),"-")</f>
        <v>-</v>
      </c>
    </row>
    <row r="24" spans="1:23" x14ac:dyDescent="0.25">
      <c r="A24" s="46" t="s">
        <v>137</v>
      </c>
      <c r="B24" s="46" t="s">
        <v>56</v>
      </c>
      <c r="C24" s="135"/>
      <c r="D24" s="128" t="str">
        <f>IFERROR(INDEX(lifespans_all!D$2:D$56,MATCH($A24,lifespans_all!$A$2:$A$56,0))*INDEX(SR_mission_minutes!D$2:D$43,MATCH($A24,SR_mission_minutes!$A$2:$A$43)),"-")</f>
        <v>-</v>
      </c>
      <c r="E24" s="128" t="str">
        <f>IFERROR(INDEX(lifespans_all!E$2:E$56,MATCH($A24,lifespans_all!$A$2:$A$56,0))*INDEX(SR_mission_minutes!E$2:E$43,MATCH($A24,SR_mission_minutes!$A$2:$A$43)),"-")</f>
        <v>-</v>
      </c>
      <c r="F24" s="128" t="str">
        <f>IFERROR(INDEX(lifespans_all!F$2:F$56,MATCH($A24,lifespans_all!$A$2:$A$56,0))*INDEX(SR_mission_minutes!F$2:F$43,MATCH($A24,SR_mission_minutes!$A$2:$A$43)),"-")</f>
        <v>-</v>
      </c>
      <c r="G24" s="128" t="str">
        <f>IFERROR(INDEX(lifespans_all!G$2:G$56,MATCH($A24,lifespans_all!$A$2:$A$56,0))*INDEX(SR_mission_minutes!G$2:G$43,MATCH($A24,SR_mission_minutes!$A$2:$A$43)),"-")</f>
        <v>-</v>
      </c>
      <c r="H24" s="128" t="str">
        <f>IFERROR(INDEX(lifespans_all!H$2:H$56,MATCH($A24,lifespans_all!$A$2:$A$56,0))*INDEX(SR_mission_minutes!H$2:H$43,MATCH($A24,SR_mission_minutes!$A$2:$A$43)),"-")</f>
        <v>-</v>
      </c>
      <c r="I24" s="128" t="str">
        <f>IFERROR(INDEX(lifespans_all!I$2:I$56,MATCH($A24,lifespans_all!$A$2:$A$56,0))*INDEX(SR_mission_minutes!I$2:I$43,MATCH($A24,SR_mission_minutes!$A$2:$A$43)),"-")</f>
        <v>-</v>
      </c>
      <c r="J24" s="128" t="str">
        <f>IFERROR(INDEX(lifespans_all!J$2:J$56,MATCH($A24,lifespans_all!$A$2:$A$56,0))*INDEX(SR_mission_minutes!J$2:J$43,MATCH($A24,SR_mission_minutes!$A$2:$A$43)),"-")</f>
        <v>-</v>
      </c>
      <c r="K24" s="128" t="str">
        <f>IFERROR(INDEX(lifespans_all!K$2:K$56,MATCH($A24,lifespans_all!$A$2:$A$56,0))*INDEX(SR_mission_minutes!K$2:K$43,MATCH($A24,SR_mission_minutes!$A$2:$A$43)),"-")</f>
        <v>-</v>
      </c>
      <c r="L24" s="128" t="str">
        <f>IFERROR(INDEX(lifespans_all!L$2:L$56,MATCH($A24,lifespans_all!$A$2:$A$56,0))*INDEX(SR_mission_minutes!L$2:L$43,MATCH($A24,SR_mission_minutes!$A$2:$A$43)),"-")</f>
        <v>-</v>
      </c>
      <c r="M24" s="128" t="str">
        <f>IFERROR(INDEX(lifespans_all!M$2:M$56,MATCH($A24,lifespans_all!$A$2:$A$56,0))*INDEX(SR_mission_minutes!M$2:M$43,MATCH($A24,SR_mission_minutes!$A$2:$A$43)),"-")</f>
        <v>-</v>
      </c>
      <c r="N24" s="128" t="str">
        <f>IFERROR(INDEX(lifespans_all!N$2:N$56,MATCH($A24,lifespans_all!$A$2:$A$56,0))*INDEX(SR_mission_minutes!N$2:N$43,MATCH($A24,SR_mission_minutes!$A$2:$A$43)),"-")</f>
        <v>-</v>
      </c>
      <c r="O24" s="128" t="str">
        <f>IFERROR(INDEX(lifespans_all!O$2:O$56,MATCH($A24,lifespans_all!$A$2:$A$56,0))*INDEX(SR_mission_minutes!O$2:O$43,MATCH($A24,SR_mission_minutes!$A$2:$A$43)),"-")</f>
        <v>-</v>
      </c>
      <c r="P24" s="128" t="str">
        <f>IFERROR(INDEX(lifespans_all!P$2:P$56,MATCH($A24,lifespans_all!$A$2:$A$56,0))*INDEX(SR_mission_minutes!P$2:P$43,MATCH($A24,SR_mission_minutes!$A$2:$A$43)),"-")</f>
        <v>-</v>
      </c>
      <c r="Q24" s="128" t="str">
        <f>IFERROR(INDEX(lifespans_all!Q$2:Q$56,MATCH($A24,lifespans_all!$A$2:$A$56,0))*INDEX(SR_mission_minutes!Q$2:Q$43,MATCH($A24,SR_mission_minutes!$A$2:$A$43)),"-")</f>
        <v>-</v>
      </c>
      <c r="R24" s="128" t="str">
        <f>IFERROR(INDEX(lifespans_all!R$2:R$56,MATCH($A24,lifespans_all!$A$2:$A$56,0))*INDEX(SR_mission_minutes!R$2:R$43,MATCH($A24,SR_mission_minutes!$A$2:$A$43)),"-")</f>
        <v>-</v>
      </c>
      <c r="S24" s="128" t="str">
        <f>IFERROR(INDEX(lifespans_all!S$2:S$56,MATCH($A24,lifespans_all!$A$2:$A$56,0))*INDEX(SR_mission_minutes!S$2:S$43,MATCH($A24,SR_mission_minutes!$A$2:$A$43)),"-")</f>
        <v>-</v>
      </c>
      <c r="T24" s="128" t="str">
        <f>IFERROR(INDEX(lifespans_all!T$2:T$56,MATCH($A24,lifespans_all!$A$2:$A$56,0))*INDEX(SR_mission_minutes!T$2:T$43,MATCH($A24,SR_mission_minutes!$A$2:$A$43)),"-")</f>
        <v>-</v>
      </c>
      <c r="U24" s="128" t="str">
        <f>IFERROR(INDEX(lifespans_all!U$2:U$56,MATCH($A24,lifespans_all!$A$2:$A$56,0))*INDEX(SR_mission_minutes!U$2:U$43,MATCH($A24,SR_mission_minutes!$A$2:$A$43)),"-")</f>
        <v>-</v>
      </c>
      <c r="V24" s="128" t="str">
        <f>IFERROR(INDEX(lifespans_all!V$2:V$56,MATCH($A24,lifespans_all!$A$2:$A$56,0))*INDEX(SR_mission_minutes!V$2:V$43,MATCH($A24,SR_mission_minutes!$A$2:$A$43)),"-")</f>
        <v>-</v>
      </c>
      <c r="W24" s="128" t="str">
        <f>IFERROR(INDEX(lifespans_all!W$2:W$56,MATCH($A24,lifespans_all!$A$2:$A$56,0))*INDEX(SR_mission_minutes!W$2:W$43,MATCH($A24,SR_mission_minutes!$A$2:$A$43)),"-")</f>
        <v>-</v>
      </c>
    </row>
    <row r="25" spans="1:23" x14ac:dyDescent="0.25">
      <c r="A25" s="46" t="s">
        <v>138</v>
      </c>
      <c r="B25" s="46" t="s">
        <v>56</v>
      </c>
      <c r="C25" s="135"/>
      <c r="D25" s="128" t="str">
        <f>IFERROR(INDEX(lifespans_all!D$2:D$56,MATCH($A25,lifespans_all!$A$2:$A$56,0))*INDEX(SR_mission_minutes!D$2:D$43,MATCH($A25,SR_mission_minutes!$A$2:$A$43)),"-")</f>
        <v>-</v>
      </c>
      <c r="E25" s="128" t="str">
        <f>IFERROR(INDEX(lifespans_all!E$2:E$56,MATCH($A25,lifespans_all!$A$2:$A$56,0))*INDEX(SR_mission_minutes!E$2:E$43,MATCH($A25,SR_mission_minutes!$A$2:$A$43)),"-")</f>
        <v>-</v>
      </c>
      <c r="F25" s="128" t="str">
        <f>IFERROR(INDEX(lifespans_all!F$2:F$56,MATCH($A25,lifespans_all!$A$2:$A$56,0))*INDEX(SR_mission_minutes!F$2:F$43,MATCH($A25,SR_mission_minutes!$A$2:$A$43)),"-")</f>
        <v>-</v>
      </c>
      <c r="G25" s="128" t="str">
        <f>IFERROR(INDEX(lifespans_all!G$2:G$56,MATCH($A25,lifespans_all!$A$2:$A$56,0))*INDEX(SR_mission_minutes!G$2:G$43,MATCH($A25,SR_mission_minutes!$A$2:$A$43)),"-")</f>
        <v>-</v>
      </c>
      <c r="H25" s="128" t="str">
        <f>IFERROR(INDEX(lifespans_all!H$2:H$56,MATCH($A25,lifespans_all!$A$2:$A$56,0))*INDEX(SR_mission_minutes!H$2:H$43,MATCH($A25,SR_mission_minutes!$A$2:$A$43)),"-")</f>
        <v>-</v>
      </c>
      <c r="I25" s="128" t="str">
        <f>IFERROR(INDEX(lifespans_all!I$2:I$56,MATCH($A25,lifespans_all!$A$2:$A$56,0))*INDEX(SR_mission_minutes!I$2:I$43,MATCH($A25,SR_mission_minutes!$A$2:$A$43)),"-")</f>
        <v>-</v>
      </c>
      <c r="J25" s="128" t="str">
        <f>IFERROR(INDEX(lifespans_all!J$2:J$56,MATCH($A25,lifespans_all!$A$2:$A$56,0))*INDEX(SR_mission_minutes!J$2:J$43,MATCH($A25,SR_mission_minutes!$A$2:$A$43)),"-")</f>
        <v>-</v>
      </c>
      <c r="K25" s="128" t="str">
        <f>IFERROR(INDEX(lifespans_all!K$2:K$56,MATCH($A25,lifespans_all!$A$2:$A$56,0))*INDEX(SR_mission_minutes!K$2:K$43,MATCH($A25,SR_mission_minutes!$A$2:$A$43)),"-")</f>
        <v>-</v>
      </c>
      <c r="L25" s="128" t="str">
        <f>IFERROR(INDEX(lifespans_all!L$2:L$56,MATCH($A25,lifespans_all!$A$2:$A$56,0))*INDEX(SR_mission_minutes!L$2:L$43,MATCH($A25,SR_mission_minutes!$A$2:$A$43)),"-")</f>
        <v>-</v>
      </c>
      <c r="M25" s="128" t="str">
        <f>IFERROR(INDEX(lifespans_all!M$2:M$56,MATCH($A25,lifespans_all!$A$2:$A$56,0))*INDEX(SR_mission_minutes!M$2:M$43,MATCH($A25,SR_mission_minutes!$A$2:$A$43)),"-")</f>
        <v>-</v>
      </c>
      <c r="N25" s="128" t="str">
        <f>IFERROR(INDEX(lifespans_all!N$2:N$56,MATCH($A25,lifespans_all!$A$2:$A$56,0))*INDEX(SR_mission_minutes!N$2:N$43,MATCH($A25,SR_mission_minutes!$A$2:$A$43)),"-")</f>
        <v>-</v>
      </c>
      <c r="O25" s="128" t="str">
        <f>IFERROR(INDEX(lifespans_all!O$2:O$56,MATCH($A25,lifespans_all!$A$2:$A$56,0))*INDEX(SR_mission_minutes!O$2:O$43,MATCH($A25,SR_mission_minutes!$A$2:$A$43)),"-")</f>
        <v>-</v>
      </c>
      <c r="P25" s="128" t="str">
        <f>IFERROR(INDEX(lifespans_all!P$2:P$56,MATCH($A25,lifespans_all!$A$2:$A$56,0))*INDEX(SR_mission_minutes!P$2:P$43,MATCH($A25,SR_mission_minutes!$A$2:$A$43)),"-")</f>
        <v>-</v>
      </c>
      <c r="Q25" s="128" t="str">
        <f>IFERROR(INDEX(lifespans_all!Q$2:Q$56,MATCH($A25,lifespans_all!$A$2:$A$56,0))*INDEX(SR_mission_minutes!Q$2:Q$43,MATCH($A25,SR_mission_minutes!$A$2:$A$43)),"-")</f>
        <v>-</v>
      </c>
      <c r="R25" s="128" t="str">
        <f>IFERROR(INDEX(lifespans_all!R$2:R$56,MATCH($A25,lifespans_all!$A$2:$A$56,0))*INDEX(SR_mission_minutes!R$2:R$43,MATCH($A25,SR_mission_minutes!$A$2:$A$43)),"-")</f>
        <v>-</v>
      </c>
      <c r="S25" s="128" t="str">
        <f>IFERROR(INDEX(lifespans_all!S$2:S$56,MATCH($A25,lifespans_all!$A$2:$A$56,0))*INDEX(SR_mission_minutes!S$2:S$43,MATCH($A25,SR_mission_minutes!$A$2:$A$43)),"-")</f>
        <v>-</v>
      </c>
      <c r="T25" s="128" t="str">
        <f>IFERROR(INDEX(lifespans_all!T$2:T$56,MATCH($A25,lifespans_all!$A$2:$A$56,0))*INDEX(SR_mission_minutes!T$2:T$43,MATCH($A25,SR_mission_minutes!$A$2:$A$43)),"-")</f>
        <v>-</v>
      </c>
      <c r="U25" s="128" t="str">
        <f>IFERROR(INDEX(lifespans_all!U$2:U$56,MATCH($A25,lifespans_all!$A$2:$A$56,0))*INDEX(SR_mission_minutes!U$2:U$43,MATCH($A25,SR_mission_minutes!$A$2:$A$43)),"-")</f>
        <v>-</v>
      </c>
      <c r="V25" s="128" t="str">
        <f>IFERROR(INDEX(lifespans_all!V$2:V$56,MATCH($A25,lifespans_all!$A$2:$A$56,0))*INDEX(SR_mission_minutes!V$2:V$43,MATCH($A25,SR_mission_minutes!$A$2:$A$43)),"-")</f>
        <v>-</v>
      </c>
      <c r="W25" s="128" t="str">
        <f>IFERROR(INDEX(lifespans_all!W$2:W$56,MATCH($A25,lifespans_all!$A$2:$A$56,0))*INDEX(SR_mission_minutes!W$2:W$43,MATCH($A25,SR_mission_minutes!$A$2:$A$43)),"-")</f>
        <v>-</v>
      </c>
    </row>
    <row r="26" spans="1:23" x14ac:dyDescent="0.25">
      <c r="A26" s="46" t="s">
        <v>43</v>
      </c>
      <c r="B26" s="46" t="s">
        <v>61</v>
      </c>
      <c r="C26" s="135"/>
      <c r="D26" s="128">
        <f>IFERROR(INDEX(lifespans_all!D$2:D$56,MATCH($A26,lifespans_all!$A$2:$A$56,0))*INDEX(SR_mission_minutes!D$2:D$43,MATCH($A26,SR_mission_minutes!$A$2:$A$43)),"-")</f>
        <v>33739.333333333336</v>
      </c>
      <c r="E26" s="128">
        <f>IFERROR(INDEX(lifespans_all!E$2:E$56,MATCH($A26,lifespans_all!$A$2:$A$56,0))*INDEX(SR_mission_minutes!E$2:E$43,MATCH($A26,SR_mission_minutes!$A$2:$A$43)),"-")</f>
        <v>0</v>
      </c>
      <c r="F26" s="128">
        <f>IFERROR(INDEX(lifespans_all!F$2:F$56,MATCH($A26,lifespans_all!$A$2:$A$56,0))*INDEX(SR_mission_minutes!F$2:F$43,MATCH($A26,SR_mission_minutes!$A$2:$A$43)),"-")</f>
        <v>0</v>
      </c>
      <c r="G26" s="128">
        <f>IFERROR(INDEX(lifespans_all!G$2:G$56,MATCH($A26,lifespans_all!$A$2:$A$56,0))*INDEX(SR_mission_minutes!G$2:G$43,MATCH($A26,SR_mission_minutes!$A$2:$A$43)),"-")</f>
        <v>0</v>
      </c>
      <c r="H26" s="128">
        <f>IFERROR(INDEX(lifespans_all!H$2:H$56,MATCH($A26,lifespans_all!$A$2:$A$56,0))*INDEX(SR_mission_minutes!H$2:H$43,MATCH($A26,SR_mission_minutes!$A$2:$A$43)),"-")</f>
        <v>0</v>
      </c>
      <c r="I26" s="128">
        <f>IFERROR(INDEX(lifespans_all!I$2:I$56,MATCH($A26,lifespans_all!$A$2:$A$56,0))*INDEX(SR_mission_minutes!I$2:I$43,MATCH($A26,SR_mission_minutes!$A$2:$A$43)),"-")</f>
        <v>0</v>
      </c>
      <c r="J26" s="128">
        <f>IFERROR(INDEX(lifespans_all!J$2:J$56,MATCH($A26,lifespans_all!$A$2:$A$56,0))*INDEX(SR_mission_minutes!J$2:J$43,MATCH($A26,SR_mission_minutes!$A$2:$A$43)),"-")</f>
        <v>0</v>
      </c>
      <c r="K26" s="128">
        <f>IFERROR(INDEX(lifespans_all!K$2:K$56,MATCH($A26,lifespans_all!$A$2:$A$56,0))*INDEX(SR_mission_minutes!K$2:K$43,MATCH($A26,SR_mission_minutes!$A$2:$A$43)),"-")</f>
        <v>0</v>
      </c>
      <c r="L26" s="128">
        <f>IFERROR(INDEX(lifespans_all!L$2:L$56,MATCH($A26,lifespans_all!$A$2:$A$56,0))*INDEX(SR_mission_minutes!L$2:L$43,MATCH($A26,SR_mission_minutes!$A$2:$A$43)),"-")</f>
        <v>0</v>
      </c>
      <c r="M26" s="128">
        <f>IFERROR(INDEX(lifespans_all!M$2:M$56,MATCH($A26,lifespans_all!$A$2:$A$56,0))*INDEX(SR_mission_minutes!M$2:M$43,MATCH($A26,SR_mission_minutes!$A$2:$A$43)),"-")</f>
        <v>0</v>
      </c>
      <c r="N26" s="128">
        <f>IFERROR(INDEX(lifespans_all!N$2:N$56,MATCH($A26,lifespans_all!$A$2:$A$56,0))*INDEX(SR_mission_minutes!N$2:N$43,MATCH($A26,SR_mission_minutes!$A$2:$A$43)),"-")</f>
        <v>0</v>
      </c>
      <c r="O26" s="128">
        <f>IFERROR(INDEX(lifespans_all!O$2:O$56,MATCH($A26,lifespans_all!$A$2:$A$56,0))*INDEX(SR_mission_minutes!O$2:O$43,MATCH($A26,SR_mission_minutes!$A$2:$A$43)),"-")</f>
        <v>0</v>
      </c>
      <c r="P26" s="128">
        <f>IFERROR(INDEX(lifespans_all!P$2:P$56,MATCH($A26,lifespans_all!$A$2:$A$56,0))*INDEX(SR_mission_minutes!P$2:P$43,MATCH($A26,SR_mission_minutes!$A$2:$A$43)),"-")</f>
        <v>0</v>
      </c>
      <c r="Q26" s="128">
        <f>IFERROR(INDEX(lifespans_all!Q$2:Q$56,MATCH($A26,lifespans_all!$A$2:$A$56,0))*INDEX(SR_mission_minutes!Q$2:Q$43,MATCH($A26,SR_mission_minutes!$A$2:$A$43)),"-")</f>
        <v>0</v>
      </c>
      <c r="R26" s="128">
        <f>IFERROR(INDEX(lifespans_all!R$2:R$56,MATCH($A26,lifespans_all!$A$2:$A$56,0))*INDEX(SR_mission_minutes!R$2:R$43,MATCH($A26,SR_mission_minutes!$A$2:$A$43)),"-")</f>
        <v>0</v>
      </c>
      <c r="S26" s="128">
        <f>IFERROR(INDEX(lifespans_all!S$2:S$56,MATCH($A26,lifespans_all!$A$2:$A$56,0))*INDEX(SR_mission_minutes!S$2:S$43,MATCH($A26,SR_mission_minutes!$A$2:$A$43)),"-")</f>
        <v>0</v>
      </c>
      <c r="T26" s="128">
        <f>IFERROR(INDEX(lifespans_all!T$2:T$56,MATCH($A26,lifespans_all!$A$2:$A$56,0))*INDEX(SR_mission_minutes!T$2:T$43,MATCH($A26,SR_mission_minutes!$A$2:$A$43)),"-")</f>
        <v>0</v>
      </c>
      <c r="U26" s="128">
        <f>IFERROR(INDEX(lifespans_all!U$2:U$56,MATCH($A26,lifespans_all!$A$2:$A$56,0))*INDEX(SR_mission_minutes!U$2:U$43,MATCH($A26,SR_mission_minutes!$A$2:$A$43)),"-")</f>
        <v>0</v>
      </c>
      <c r="V26" s="128">
        <f>IFERROR(INDEX(lifespans_all!V$2:V$56,MATCH($A26,lifespans_all!$A$2:$A$56,0))*INDEX(SR_mission_minutes!V$2:V$43,MATCH($A26,SR_mission_minutes!$A$2:$A$43)),"-")</f>
        <v>0</v>
      </c>
      <c r="W26" s="128">
        <f>IFERROR(INDEX(lifespans_all!W$2:W$56,MATCH($A26,lifespans_all!$A$2:$A$56,0))*INDEX(SR_mission_minutes!W$2:W$43,MATCH($A26,SR_mission_minutes!$A$2:$A$43)),"-")</f>
        <v>0</v>
      </c>
    </row>
    <row r="27" spans="1:23" x14ac:dyDescent="0.25">
      <c r="A27" s="46" t="s">
        <v>44</v>
      </c>
      <c r="B27" s="46" t="s">
        <v>57</v>
      </c>
      <c r="C27" s="135"/>
      <c r="D27" s="128">
        <f>IFERROR(INDEX(lifespans_all!D$2:D$56,MATCH($A27,lifespans_all!$A$2:$A$56,0))*INDEX(SR_mission_minutes!D$2:D$43,MATCH($A27,SR_mission_minutes!$A$2:$A$43)),"-")</f>
        <v>66700.388888888891</v>
      </c>
      <c r="E27" s="128">
        <f>IFERROR(INDEX(lifespans_all!E$2:E$56,MATCH($A27,lifespans_all!$A$2:$A$56,0))*INDEX(SR_mission_minutes!E$2:E$43,MATCH($A27,SR_mission_minutes!$A$2:$A$43)),"-")</f>
        <v>0</v>
      </c>
      <c r="F27" s="128">
        <f>IFERROR(INDEX(lifespans_all!F$2:F$56,MATCH($A27,lifespans_all!$A$2:$A$56,0))*INDEX(SR_mission_minutes!F$2:F$43,MATCH($A27,SR_mission_minutes!$A$2:$A$43)),"-")</f>
        <v>0</v>
      </c>
      <c r="G27" s="128">
        <f>IFERROR(INDEX(lifespans_all!G$2:G$56,MATCH($A27,lifespans_all!$A$2:$A$56,0))*INDEX(SR_mission_minutes!G$2:G$43,MATCH($A27,SR_mission_minutes!$A$2:$A$43)),"-")</f>
        <v>0</v>
      </c>
      <c r="H27" s="128">
        <f>IFERROR(INDEX(lifespans_all!H$2:H$56,MATCH($A27,lifespans_all!$A$2:$A$56,0))*INDEX(SR_mission_minutes!H$2:H$43,MATCH($A27,SR_mission_minutes!$A$2:$A$43)),"-")</f>
        <v>0</v>
      </c>
      <c r="I27" s="128">
        <f>IFERROR(INDEX(lifespans_all!I$2:I$56,MATCH($A27,lifespans_all!$A$2:$A$56,0))*INDEX(SR_mission_minutes!I$2:I$43,MATCH($A27,SR_mission_minutes!$A$2:$A$43)),"-")</f>
        <v>0</v>
      </c>
      <c r="J27" s="128">
        <f>IFERROR(INDEX(lifespans_all!J$2:J$56,MATCH($A27,lifespans_all!$A$2:$A$56,0))*INDEX(SR_mission_minutes!J$2:J$43,MATCH($A27,SR_mission_minutes!$A$2:$A$43)),"-")</f>
        <v>0</v>
      </c>
      <c r="K27" s="128">
        <f>IFERROR(INDEX(lifespans_all!K$2:K$56,MATCH($A27,lifespans_all!$A$2:$A$56,0))*INDEX(SR_mission_minutes!K$2:K$43,MATCH($A27,SR_mission_minutes!$A$2:$A$43)),"-")</f>
        <v>0</v>
      </c>
      <c r="L27" s="128">
        <f>IFERROR(INDEX(lifespans_all!L$2:L$56,MATCH($A27,lifespans_all!$A$2:$A$56,0))*INDEX(SR_mission_minutes!L$2:L$43,MATCH($A27,SR_mission_minutes!$A$2:$A$43)),"-")</f>
        <v>0</v>
      </c>
      <c r="M27" s="128">
        <f>IFERROR(INDEX(lifespans_all!M$2:M$56,MATCH($A27,lifespans_all!$A$2:$A$56,0))*INDEX(SR_mission_minutes!M$2:M$43,MATCH($A27,SR_mission_minutes!$A$2:$A$43)),"-")</f>
        <v>0</v>
      </c>
      <c r="N27" s="128">
        <f>IFERROR(INDEX(lifespans_all!N$2:N$56,MATCH($A27,lifespans_all!$A$2:$A$56,0))*INDEX(SR_mission_minutes!N$2:N$43,MATCH($A27,SR_mission_minutes!$A$2:$A$43)),"-")</f>
        <v>0</v>
      </c>
      <c r="O27" s="128">
        <f>IFERROR(INDEX(lifespans_all!O$2:O$56,MATCH($A27,lifespans_all!$A$2:$A$56,0))*INDEX(SR_mission_minutes!O$2:O$43,MATCH($A27,SR_mission_minutes!$A$2:$A$43)),"-")</f>
        <v>0</v>
      </c>
      <c r="P27" s="128">
        <f>IFERROR(INDEX(lifespans_all!P$2:P$56,MATCH($A27,lifespans_all!$A$2:$A$56,0))*INDEX(SR_mission_minutes!P$2:P$43,MATCH($A27,SR_mission_minutes!$A$2:$A$43)),"-")</f>
        <v>0</v>
      </c>
      <c r="Q27" s="128">
        <f>IFERROR(INDEX(lifespans_all!Q$2:Q$56,MATCH($A27,lifespans_all!$A$2:$A$56,0))*INDEX(SR_mission_minutes!Q$2:Q$43,MATCH($A27,SR_mission_minutes!$A$2:$A$43)),"-")</f>
        <v>0</v>
      </c>
      <c r="R27" s="128">
        <f>IFERROR(INDEX(lifespans_all!R$2:R$56,MATCH($A27,lifespans_all!$A$2:$A$56,0))*INDEX(SR_mission_minutes!R$2:R$43,MATCH($A27,SR_mission_minutes!$A$2:$A$43)),"-")</f>
        <v>0</v>
      </c>
      <c r="S27" s="128">
        <f>IFERROR(INDEX(lifespans_all!S$2:S$56,MATCH($A27,lifespans_all!$A$2:$A$56,0))*INDEX(SR_mission_minutes!S$2:S$43,MATCH($A27,SR_mission_minutes!$A$2:$A$43)),"-")</f>
        <v>0</v>
      </c>
      <c r="T27" s="128">
        <f>IFERROR(INDEX(lifespans_all!T$2:T$56,MATCH($A27,lifespans_all!$A$2:$A$56,0))*INDEX(SR_mission_minutes!T$2:T$43,MATCH($A27,SR_mission_minutes!$A$2:$A$43)),"-")</f>
        <v>0</v>
      </c>
      <c r="U27" s="128">
        <f>IFERROR(INDEX(lifespans_all!U$2:U$56,MATCH($A27,lifespans_all!$A$2:$A$56,0))*INDEX(SR_mission_minutes!U$2:U$43,MATCH($A27,SR_mission_minutes!$A$2:$A$43)),"-")</f>
        <v>0</v>
      </c>
      <c r="V27" s="128">
        <f>IFERROR(INDEX(lifespans_all!V$2:V$56,MATCH($A27,lifespans_all!$A$2:$A$56,0))*INDEX(SR_mission_minutes!V$2:V$43,MATCH($A27,SR_mission_minutes!$A$2:$A$43)),"-")</f>
        <v>0</v>
      </c>
      <c r="W27" s="128">
        <f>IFERROR(INDEX(lifespans_all!W$2:W$56,MATCH($A27,lifespans_all!$A$2:$A$56,0))*INDEX(SR_mission_minutes!W$2:W$43,MATCH($A27,SR_mission_minutes!$A$2:$A$43)),"-")</f>
        <v>0</v>
      </c>
    </row>
    <row r="28" spans="1:23" x14ac:dyDescent="0.25">
      <c r="A28" s="46" t="s">
        <v>78</v>
      </c>
      <c r="B28" s="46" t="s">
        <v>57</v>
      </c>
      <c r="C28" s="135"/>
      <c r="D28" s="128">
        <f>IFERROR(INDEX(lifespans_all!D$2:D$56,MATCH($A28,lifespans_all!$A$2:$A$56,0))*INDEX(SR_mission_minutes!D$2:D$43,MATCH($A28,SR_mission_minutes!$A$2:$A$43)),"-")</f>
        <v>66700.388888888891</v>
      </c>
      <c r="E28" s="128">
        <f>IFERROR(INDEX(lifespans_all!E$2:E$56,MATCH($A28,lifespans_all!$A$2:$A$56,0))*INDEX(SR_mission_minutes!E$2:E$43,MATCH($A28,SR_mission_minutes!$A$2:$A$43)),"-")</f>
        <v>66700.388888888891</v>
      </c>
      <c r="F28" s="128">
        <f>IFERROR(INDEX(lifespans_all!F$2:F$56,MATCH($A28,lifespans_all!$A$2:$A$56,0))*INDEX(SR_mission_minutes!F$2:F$43,MATCH($A28,SR_mission_minutes!$A$2:$A$43)),"-")</f>
        <v>66700.388888888891</v>
      </c>
      <c r="G28" s="128">
        <f>IFERROR(INDEX(lifespans_all!G$2:G$56,MATCH($A28,lifespans_all!$A$2:$A$56,0))*INDEX(SR_mission_minutes!G$2:G$43,MATCH($A28,SR_mission_minutes!$A$2:$A$43)),"-")</f>
        <v>66700.388888888891</v>
      </c>
      <c r="H28" s="128">
        <f>IFERROR(INDEX(lifespans_all!H$2:H$56,MATCH($A28,lifespans_all!$A$2:$A$56,0))*INDEX(SR_mission_minutes!H$2:H$43,MATCH($A28,SR_mission_minutes!$A$2:$A$43)),"-")</f>
        <v>66700.388888888891</v>
      </c>
      <c r="I28" s="128">
        <f>IFERROR(INDEX(lifespans_all!I$2:I$56,MATCH($A28,lifespans_all!$A$2:$A$56,0))*INDEX(SR_mission_minutes!I$2:I$43,MATCH($A28,SR_mission_minutes!$A$2:$A$43)),"-")</f>
        <v>0</v>
      </c>
      <c r="J28" s="128">
        <f>IFERROR(INDEX(lifespans_all!J$2:J$56,MATCH($A28,lifespans_all!$A$2:$A$56,0))*INDEX(SR_mission_minutes!J$2:J$43,MATCH($A28,SR_mission_minutes!$A$2:$A$43)),"-")</f>
        <v>0</v>
      </c>
      <c r="K28" s="128">
        <f>IFERROR(INDEX(lifespans_all!K$2:K$56,MATCH($A28,lifespans_all!$A$2:$A$56,0))*INDEX(SR_mission_minutes!K$2:K$43,MATCH($A28,SR_mission_minutes!$A$2:$A$43)),"-")</f>
        <v>0</v>
      </c>
      <c r="L28" s="128">
        <f>IFERROR(INDEX(lifespans_all!L$2:L$56,MATCH($A28,lifespans_all!$A$2:$A$56,0))*INDEX(SR_mission_minutes!L$2:L$43,MATCH($A28,SR_mission_minutes!$A$2:$A$43)),"-")</f>
        <v>0</v>
      </c>
      <c r="M28" s="128">
        <f>IFERROR(INDEX(lifespans_all!M$2:M$56,MATCH($A28,lifespans_all!$A$2:$A$56,0))*INDEX(SR_mission_minutes!M$2:M$43,MATCH($A28,SR_mission_minutes!$A$2:$A$43)),"-")</f>
        <v>0</v>
      </c>
      <c r="N28" s="128">
        <f>IFERROR(INDEX(lifespans_all!N$2:N$56,MATCH($A28,lifespans_all!$A$2:$A$56,0))*INDEX(SR_mission_minutes!N$2:N$43,MATCH($A28,SR_mission_minutes!$A$2:$A$43)),"-")</f>
        <v>0</v>
      </c>
      <c r="O28" s="128">
        <f>IFERROR(INDEX(lifespans_all!O$2:O$56,MATCH($A28,lifespans_all!$A$2:$A$56,0))*INDEX(SR_mission_minutes!O$2:O$43,MATCH($A28,SR_mission_minutes!$A$2:$A$43)),"-")</f>
        <v>0</v>
      </c>
      <c r="P28" s="128">
        <f>IFERROR(INDEX(lifespans_all!P$2:P$56,MATCH($A28,lifespans_all!$A$2:$A$56,0))*INDEX(SR_mission_minutes!P$2:P$43,MATCH($A28,SR_mission_minutes!$A$2:$A$43)),"-")</f>
        <v>0</v>
      </c>
      <c r="Q28" s="128">
        <f>IFERROR(INDEX(lifespans_all!Q$2:Q$56,MATCH($A28,lifespans_all!$A$2:$A$56,0))*INDEX(SR_mission_minutes!Q$2:Q$43,MATCH($A28,SR_mission_minutes!$A$2:$A$43)),"-")</f>
        <v>0</v>
      </c>
      <c r="R28" s="128">
        <f>IFERROR(INDEX(lifespans_all!R$2:R$56,MATCH($A28,lifespans_all!$A$2:$A$56,0))*INDEX(SR_mission_minutes!R$2:R$43,MATCH($A28,SR_mission_minutes!$A$2:$A$43)),"-")</f>
        <v>0</v>
      </c>
      <c r="S28" s="128">
        <f>IFERROR(INDEX(lifespans_all!S$2:S$56,MATCH($A28,lifespans_all!$A$2:$A$56,0))*INDEX(SR_mission_minutes!S$2:S$43,MATCH($A28,SR_mission_minutes!$A$2:$A$43)),"-")</f>
        <v>0</v>
      </c>
      <c r="T28" s="128">
        <f>IFERROR(INDEX(lifespans_all!T$2:T$56,MATCH($A28,lifespans_all!$A$2:$A$56,0))*INDEX(SR_mission_minutes!T$2:T$43,MATCH($A28,SR_mission_minutes!$A$2:$A$43)),"-")</f>
        <v>0</v>
      </c>
      <c r="U28" s="128">
        <f>IFERROR(INDEX(lifespans_all!U$2:U$56,MATCH($A28,lifespans_all!$A$2:$A$56,0))*INDEX(SR_mission_minutes!U$2:U$43,MATCH($A28,SR_mission_minutes!$A$2:$A$43)),"-")</f>
        <v>0</v>
      </c>
      <c r="V28" s="128">
        <f>IFERROR(INDEX(lifespans_all!V$2:V$56,MATCH($A28,lifespans_all!$A$2:$A$56,0))*INDEX(SR_mission_minutes!V$2:V$43,MATCH($A28,SR_mission_minutes!$A$2:$A$43)),"-")</f>
        <v>0</v>
      </c>
      <c r="W28" s="128">
        <f>IFERROR(INDEX(lifespans_all!W$2:W$56,MATCH($A28,lifespans_all!$A$2:$A$56,0))*INDEX(SR_mission_minutes!W$2:W$43,MATCH($A28,SR_mission_minutes!$A$2:$A$43)),"-")</f>
        <v>0</v>
      </c>
    </row>
    <row r="29" spans="1:23" x14ac:dyDescent="0.25">
      <c r="A29" s="46" t="s">
        <v>45</v>
      </c>
      <c r="B29" s="46" t="s">
        <v>57</v>
      </c>
      <c r="C29" s="135"/>
      <c r="D29" s="128">
        <f>IFERROR(INDEX(lifespans_all!D$2:D$56,MATCH($A29,lifespans_all!$A$2:$A$56,0))*INDEX(SR_mission_minutes!D$2:D$43,MATCH($A29,SR_mission_minutes!$A$2:$A$43)),"-")</f>
        <v>66700.388888888891</v>
      </c>
      <c r="E29" s="128">
        <f>IFERROR(INDEX(lifespans_all!E$2:E$56,MATCH($A29,lifespans_all!$A$2:$A$56,0))*INDEX(SR_mission_minutes!E$2:E$43,MATCH($A29,SR_mission_minutes!$A$2:$A$43)),"-")</f>
        <v>66700.388888888891</v>
      </c>
      <c r="F29" s="128">
        <f>IFERROR(INDEX(lifespans_all!F$2:F$56,MATCH($A29,lifespans_all!$A$2:$A$56,0))*INDEX(SR_mission_minutes!F$2:F$43,MATCH($A29,SR_mission_minutes!$A$2:$A$43)),"-")</f>
        <v>66700.388888888891</v>
      </c>
      <c r="G29" s="128">
        <f>IFERROR(INDEX(lifespans_all!G$2:G$56,MATCH($A29,lifespans_all!$A$2:$A$56,0))*INDEX(SR_mission_minutes!G$2:G$43,MATCH($A29,SR_mission_minutes!$A$2:$A$43)),"-")</f>
        <v>0</v>
      </c>
      <c r="H29" s="128">
        <f>IFERROR(INDEX(lifespans_all!H$2:H$56,MATCH($A29,lifespans_all!$A$2:$A$56,0))*INDEX(SR_mission_minutes!H$2:H$43,MATCH($A29,SR_mission_minutes!$A$2:$A$43)),"-")</f>
        <v>0</v>
      </c>
      <c r="I29" s="128">
        <f>IFERROR(INDEX(lifespans_all!I$2:I$56,MATCH($A29,lifespans_all!$A$2:$A$56,0))*INDEX(SR_mission_minutes!I$2:I$43,MATCH($A29,SR_mission_minutes!$A$2:$A$43)),"-")</f>
        <v>0</v>
      </c>
      <c r="J29" s="128">
        <f>IFERROR(INDEX(lifespans_all!J$2:J$56,MATCH($A29,lifespans_all!$A$2:$A$56,0))*INDEX(SR_mission_minutes!J$2:J$43,MATCH($A29,SR_mission_minutes!$A$2:$A$43)),"-")</f>
        <v>0</v>
      </c>
      <c r="K29" s="128">
        <f>IFERROR(INDEX(lifespans_all!K$2:K$56,MATCH($A29,lifespans_all!$A$2:$A$56,0))*INDEX(SR_mission_minutes!K$2:K$43,MATCH($A29,SR_mission_minutes!$A$2:$A$43)),"-")</f>
        <v>0</v>
      </c>
      <c r="L29" s="128">
        <f>IFERROR(INDEX(lifespans_all!L$2:L$56,MATCH($A29,lifespans_all!$A$2:$A$56,0))*INDEX(SR_mission_minutes!L$2:L$43,MATCH($A29,SR_mission_minutes!$A$2:$A$43)),"-")</f>
        <v>0</v>
      </c>
      <c r="M29" s="128">
        <f>IFERROR(INDEX(lifespans_all!M$2:M$56,MATCH($A29,lifespans_all!$A$2:$A$56,0))*INDEX(SR_mission_minutes!M$2:M$43,MATCH($A29,SR_mission_minutes!$A$2:$A$43)),"-")</f>
        <v>0</v>
      </c>
      <c r="N29" s="128">
        <f>IFERROR(INDEX(lifespans_all!N$2:N$56,MATCH($A29,lifespans_all!$A$2:$A$56,0))*INDEX(SR_mission_minutes!N$2:N$43,MATCH($A29,SR_mission_minutes!$A$2:$A$43)),"-")</f>
        <v>0</v>
      </c>
      <c r="O29" s="128">
        <f>IFERROR(INDEX(lifespans_all!O$2:O$56,MATCH($A29,lifespans_all!$A$2:$A$56,0))*INDEX(SR_mission_minutes!O$2:O$43,MATCH($A29,SR_mission_minutes!$A$2:$A$43)),"-")</f>
        <v>0</v>
      </c>
      <c r="P29" s="128">
        <f>IFERROR(INDEX(lifespans_all!P$2:P$56,MATCH($A29,lifespans_all!$A$2:$A$56,0))*INDEX(SR_mission_minutes!P$2:P$43,MATCH($A29,SR_mission_minutes!$A$2:$A$43)),"-")</f>
        <v>0</v>
      </c>
      <c r="Q29" s="128">
        <f>IFERROR(INDEX(lifespans_all!Q$2:Q$56,MATCH($A29,lifespans_all!$A$2:$A$56,0))*INDEX(SR_mission_minutes!Q$2:Q$43,MATCH($A29,SR_mission_minutes!$A$2:$A$43)),"-")</f>
        <v>0</v>
      </c>
      <c r="R29" s="128">
        <f>IFERROR(INDEX(lifespans_all!R$2:R$56,MATCH($A29,lifespans_all!$A$2:$A$56,0))*INDEX(SR_mission_minutes!R$2:R$43,MATCH($A29,SR_mission_minutes!$A$2:$A$43)),"-")</f>
        <v>0</v>
      </c>
      <c r="S29" s="128">
        <f>IFERROR(INDEX(lifespans_all!S$2:S$56,MATCH($A29,lifespans_all!$A$2:$A$56,0))*INDEX(SR_mission_minutes!S$2:S$43,MATCH($A29,SR_mission_minutes!$A$2:$A$43)),"-")</f>
        <v>0</v>
      </c>
      <c r="T29" s="128">
        <f>IFERROR(INDEX(lifespans_all!T$2:T$56,MATCH($A29,lifespans_all!$A$2:$A$56,0))*INDEX(SR_mission_minutes!T$2:T$43,MATCH($A29,SR_mission_minutes!$A$2:$A$43)),"-")</f>
        <v>0</v>
      </c>
      <c r="U29" s="128">
        <f>IFERROR(INDEX(lifespans_all!U$2:U$56,MATCH($A29,lifespans_all!$A$2:$A$56,0))*INDEX(SR_mission_minutes!U$2:U$43,MATCH($A29,SR_mission_minutes!$A$2:$A$43)),"-")</f>
        <v>0</v>
      </c>
      <c r="V29" s="128">
        <f>IFERROR(INDEX(lifespans_all!V$2:V$56,MATCH($A29,lifespans_all!$A$2:$A$56,0))*INDEX(SR_mission_minutes!V$2:V$43,MATCH($A29,SR_mission_minutes!$A$2:$A$43)),"-")</f>
        <v>0</v>
      </c>
      <c r="W29" s="128">
        <f>IFERROR(INDEX(lifespans_all!W$2:W$56,MATCH($A29,lifespans_all!$A$2:$A$56,0))*INDEX(SR_mission_minutes!W$2:W$43,MATCH($A29,SR_mission_minutes!$A$2:$A$43)),"-")</f>
        <v>0</v>
      </c>
    </row>
    <row r="30" spans="1:23" x14ac:dyDescent="0.25">
      <c r="A30" s="46" t="s">
        <v>46</v>
      </c>
      <c r="B30" s="46" t="s">
        <v>59</v>
      </c>
      <c r="C30" s="135"/>
      <c r="D30" s="128">
        <f>IFERROR(INDEX(lifespans_all!D$2:D$56,MATCH($A30,lifespans_all!$A$2:$A$56,0))*INDEX(SR_mission_minutes!D$2:D$43,MATCH($A30,SR_mission_minutes!$A$2:$A$43)),"-")</f>
        <v>114879</v>
      </c>
      <c r="E30" s="128">
        <f>IFERROR(INDEX(lifespans_all!E$2:E$56,MATCH($A30,lifespans_all!$A$2:$A$56,0))*INDEX(SR_mission_minutes!E$2:E$43,MATCH($A30,SR_mission_minutes!$A$2:$A$43)),"-")</f>
        <v>114879</v>
      </c>
      <c r="F30" s="128">
        <f>IFERROR(INDEX(lifespans_all!F$2:F$56,MATCH($A30,lifespans_all!$A$2:$A$56,0))*INDEX(SR_mission_minutes!F$2:F$43,MATCH($A30,SR_mission_minutes!$A$2:$A$43)),"-")</f>
        <v>114879</v>
      </c>
      <c r="G30" s="128">
        <f>IFERROR(INDEX(lifespans_all!G$2:G$56,MATCH($A30,lifespans_all!$A$2:$A$56,0))*INDEX(SR_mission_minutes!G$2:G$43,MATCH($A30,SR_mission_minutes!$A$2:$A$43)),"-")</f>
        <v>114879</v>
      </c>
      <c r="H30" s="128">
        <f>IFERROR(INDEX(lifespans_all!H$2:H$56,MATCH($A30,lifespans_all!$A$2:$A$56,0))*INDEX(SR_mission_minutes!H$2:H$43,MATCH($A30,SR_mission_minutes!$A$2:$A$43)),"-")</f>
        <v>114879</v>
      </c>
      <c r="I30" s="128">
        <f>IFERROR(INDEX(lifespans_all!I$2:I$56,MATCH($A30,lifespans_all!$A$2:$A$56,0))*INDEX(SR_mission_minutes!I$2:I$43,MATCH($A30,SR_mission_minutes!$A$2:$A$43)),"-")</f>
        <v>114879</v>
      </c>
      <c r="J30" s="128">
        <f>IFERROR(INDEX(lifespans_all!J$2:J$56,MATCH($A30,lifespans_all!$A$2:$A$56,0))*INDEX(SR_mission_minutes!J$2:J$43,MATCH($A30,SR_mission_minutes!$A$2:$A$43)),"-")</f>
        <v>114879</v>
      </c>
      <c r="K30" s="128">
        <f>IFERROR(INDEX(lifespans_all!K$2:K$56,MATCH($A30,lifespans_all!$A$2:$A$56,0))*INDEX(SR_mission_minutes!K$2:K$43,MATCH($A30,SR_mission_minutes!$A$2:$A$43)),"-")</f>
        <v>114879</v>
      </c>
      <c r="L30" s="128">
        <f>IFERROR(INDEX(lifespans_all!L$2:L$56,MATCH($A30,lifespans_all!$A$2:$A$56,0))*INDEX(SR_mission_minutes!L$2:L$43,MATCH($A30,SR_mission_minutes!$A$2:$A$43)),"-")</f>
        <v>114879</v>
      </c>
      <c r="M30" s="128">
        <f>IFERROR(INDEX(lifespans_all!M$2:M$56,MATCH($A30,lifespans_all!$A$2:$A$56,0))*INDEX(SR_mission_minutes!M$2:M$43,MATCH($A30,SR_mission_minutes!$A$2:$A$43)),"-")</f>
        <v>114879</v>
      </c>
      <c r="N30" s="128">
        <f>IFERROR(INDEX(lifespans_all!N$2:N$56,MATCH($A30,lifespans_all!$A$2:$A$56,0))*INDEX(SR_mission_minutes!N$2:N$43,MATCH($A30,SR_mission_minutes!$A$2:$A$43)),"-")</f>
        <v>114879</v>
      </c>
      <c r="O30" s="128">
        <f>IFERROR(INDEX(lifespans_all!O$2:O$56,MATCH($A30,lifespans_all!$A$2:$A$56,0))*INDEX(SR_mission_minutes!O$2:O$43,MATCH($A30,SR_mission_minutes!$A$2:$A$43)),"-")</f>
        <v>114879</v>
      </c>
      <c r="P30" s="128">
        <f>IFERROR(INDEX(lifespans_all!P$2:P$56,MATCH($A30,lifespans_all!$A$2:$A$56,0))*INDEX(SR_mission_minutes!P$2:P$43,MATCH($A30,SR_mission_minutes!$A$2:$A$43)),"-")</f>
        <v>114879</v>
      </c>
      <c r="Q30" s="128">
        <f>IFERROR(INDEX(lifespans_all!Q$2:Q$56,MATCH($A30,lifespans_all!$A$2:$A$56,0))*INDEX(SR_mission_minutes!Q$2:Q$43,MATCH($A30,SR_mission_minutes!$A$2:$A$43)),"-")</f>
        <v>114879</v>
      </c>
      <c r="R30" s="128">
        <f>IFERROR(INDEX(lifespans_all!R$2:R$56,MATCH($A30,lifespans_all!$A$2:$A$56,0))*INDEX(SR_mission_minutes!R$2:R$43,MATCH($A30,SR_mission_minutes!$A$2:$A$43)),"-")</f>
        <v>114879</v>
      </c>
      <c r="S30" s="128">
        <f>IFERROR(INDEX(lifespans_all!S$2:S$56,MATCH($A30,lifespans_all!$A$2:$A$56,0))*INDEX(SR_mission_minutes!S$2:S$43,MATCH($A30,SR_mission_minutes!$A$2:$A$43)),"-")</f>
        <v>114879</v>
      </c>
      <c r="T30" s="128">
        <f>IFERROR(INDEX(lifespans_all!T$2:T$56,MATCH($A30,lifespans_all!$A$2:$A$56,0))*INDEX(SR_mission_minutes!T$2:T$43,MATCH($A30,SR_mission_minutes!$A$2:$A$43)),"-")</f>
        <v>114879</v>
      </c>
      <c r="U30" s="128">
        <f>IFERROR(INDEX(lifespans_all!U$2:U$56,MATCH($A30,lifespans_all!$A$2:$A$56,0))*INDEX(SR_mission_minutes!U$2:U$43,MATCH($A30,SR_mission_minutes!$A$2:$A$43)),"-")</f>
        <v>114879</v>
      </c>
      <c r="V30" s="128">
        <f>IFERROR(INDEX(lifespans_all!V$2:V$56,MATCH($A30,lifespans_all!$A$2:$A$56,0))*INDEX(SR_mission_minutes!V$2:V$43,MATCH($A30,SR_mission_minutes!$A$2:$A$43)),"-")</f>
        <v>114879</v>
      </c>
      <c r="W30" s="128">
        <f>IFERROR(INDEX(lifespans_all!W$2:W$56,MATCH($A30,lifespans_all!$A$2:$A$56,0))*INDEX(SR_mission_minutes!W$2:W$43,MATCH($A30,SR_mission_minutes!$A$2:$A$43)),"-")</f>
        <v>114879</v>
      </c>
    </row>
    <row r="31" spans="1:23" x14ac:dyDescent="0.25">
      <c r="A31" s="46" t="s">
        <v>70</v>
      </c>
      <c r="B31" s="46" t="s">
        <v>59</v>
      </c>
      <c r="C31" s="135"/>
      <c r="D31" s="128" t="str">
        <f>IFERROR(INDEX(lifespans_all!D$2:D$56,MATCH($A31,lifespans_all!$A$2:$A$56,0))*INDEX(SR_mission_minutes!D$2:D$43,MATCH($A31,SR_mission_minutes!$A$2:$A$43)),"-")</f>
        <v>-</v>
      </c>
      <c r="E31" s="128" t="str">
        <f>IFERROR(INDEX(lifespans_all!E$2:E$56,MATCH($A31,lifespans_all!$A$2:$A$56,0))*INDEX(SR_mission_minutes!E$2:E$43,MATCH($A31,SR_mission_minutes!$A$2:$A$43)),"-")</f>
        <v>-</v>
      </c>
      <c r="F31" s="128" t="str">
        <f>IFERROR(INDEX(lifespans_all!F$2:F$56,MATCH($A31,lifespans_all!$A$2:$A$56,0))*INDEX(SR_mission_minutes!F$2:F$43,MATCH($A31,SR_mission_minutes!$A$2:$A$43)),"-")</f>
        <v>-</v>
      </c>
      <c r="G31" s="128" t="str">
        <f>IFERROR(INDEX(lifespans_all!G$2:G$56,MATCH($A31,lifespans_all!$A$2:$A$56,0))*INDEX(SR_mission_minutes!G$2:G$43,MATCH($A31,SR_mission_minutes!$A$2:$A$43)),"-")</f>
        <v>-</v>
      </c>
      <c r="H31" s="128" t="str">
        <f>IFERROR(INDEX(lifespans_all!H$2:H$56,MATCH($A31,lifespans_all!$A$2:$A$56,0))*INDEX(SR_mission_minutes!H$2:H$43,MATCH($A31,SR_mission_minutes!$A$2:$A$43)),"-")</f>
        <v>-</v>
      </c>
      <c r="I31" s="128" t="str">
        <f>IFERROR(INDEX(lifespans_all!I$2:I$56,MATCH($A31,lifespans_all!$A$2:$A$56,0))*INDEX(SR_mission_minutes!I$2:I$43,MATCH($A31,SR_mission_minutes!$A$2:$A$43)),"-")</f>
        <v>-</v>
      </c>
      <c r="J31" s="128" t="str">
        <f>IFERROR(INDEX(lifespans_all!J$2:J$56,MATCH($A31,lifespans_all!$A$2:$A$56,0))*INDEX(SR_mission_minutes!J$2:J$43,MATCH($A31,SR_mission_minutes!$A$2:$A$43)),"-")</f>
        <v>-</v>
      </c>
      <c r="K31" s="128" t="str">
        <f>IFERROR(INDEX(lifespans_all!K$2:K$56,MATCH($A31,lifespans_all!$A$2:$A$56,0))*INDEX(SR_mission_minutes!K$2:K$43,MATCH($A31,SR_mission_minutes!$A$2:$A$43)),"-")</f>
        <v>-</v>
      </c>
      <c r="L31" s="128" t="str">
        <f>IFERROR(INDEX(lifespans_all!L$2:L$56,MATCH($A31,lifespans_all!$A$2:$A$56,0))*INDEX(SR_mission_minutes!L$2:L$43,MATCH($A31,SR_mission_minutes!$A$2:$A$43)),"-")</f>
        <v>-</v>
      </c>
      <c r="M31" s="128" t="str">
        <f>IFERROR(INDEX(lifespans_all!M$2:M$56,MATCH($A31,lifespans_all!$A$2:$A$56,0))*INDEX(SR_mission_minutes!M$2:M$43,MATCH($A31,SR_mission_minutes!$A$2:$A$43)),"-")</f>
        <v>-</v>
      </c>
      <c r="N31" s="128" t="str">
        <f>IFERROR(INDEX(lifespans_all!N$2:N$56,MATCH($A31,lifespans_all!$A$2:$A$56,0))*INDEX(SR_mission_minutes!N$2:N$43,MATCH($A31,SR_mission_minutes!$A$2:$A$43)),"-")</f>
        <v>-</v>
      </c>
      <c r="O31" s="128" t="str">
        <f>IFERROR(INDEX(lifespans_all!O$2:O$56,MATCH($A31,lifespans_all!$A$2:$A$56,0))*INDEX(SR_mission_minutes!O$2:O$43,MATCH($A31,SR_mission_minutes!$A$2:$A$43)),"-")</f>
        <v>-</v>
      </c>
      <c r="P31" s="128" t="str">
        <f>IFERROR(INDEX(lifespans_all!P$2:P$56,MATCH($A31,lifespans_all!$A$2:$A$56,0))*INDEX(SR_mission_minutes!P$2:P$43,MATCH($A31,SR_mission_minutes!$A$2:$A$43)),"-")</f>
        <v>-</v>
      </c>
      <c r="Q31" s="128" t="str">
        <f>IFERROR(INDEX(lifespans_all!Q$2:Q$56,MATCH($A31,lifespans_all!$A$2:$A$56,0))*INDEX(SR_mission_minutes!Q$2:Q$43,MATCH($A31,SR_mission_minutes!$A$2:$A$43)),"-")</f>
        <v>-</v>
      </c>
      <c r="R31" s="128" t="str">
        <f>IFERROR(INDEX(lifespans_all!R$2:R$56,MATCH($A31,lifespans_all!$A$2:$A$56,0))*INDEX(SR_mission_minutes!R$2:R$43,MATCH($A31,SR_mission_minutes!$A$2:$A$43)),"-")</f>
        <v>-</v>
      </c>
      <c r="S31" s="128" t="str">
        <f>IFERROR(INDEX(lifespans_all!S$2:S$56,MATCH($A31,lifespans_all!$A$2:$A$56,0))*INDEX(SR_mission_minutes!S$2:S$43,MATCH($A31,SR_mission_minutes!$A$2:$A$43)),"-")</f>
        <v>-</v>
      </c>
      <c r="T31" s="128" t="str">
        <f>IFERROR(INDEX(lifespans_all!T$2:T$56,MATCH($A31,lifespans_all!$A$2:$A$56,0))*INDEX(SR_mission_minutes!T$2:T$43,MATCH($A31,SR_mission_minutes!$A$2:$A$43)),"-")</f>
        <v>-</v>
      </c>
      <c r="U31" s="128" t="str">
        <f>IFERROR(INDEX(lifespans_all!U$2:U$56,MATCH($A31,lifespans_all!$A$2:$A$56,0))*INDEX(SR_mission_minutes!U$2:U$43,MATCH($A31,SR_mission_minutes!$A$2:$A$43)),"-")</f>
        <v>-</v>
      </c>
      <c r="V31" s="128" t="str">
        <f>IFERROR(INDEX(lifespans_all!V$2:V$56,MATCH($A31,lifespans_all!$A$2:$A$56,0))*INDEX(SR_mission_minutes!V$2:V$43,MATCH($A31,SR_mission_minutes!$A$2:$A$43)),"-")</f>
        <v>-</v>
      </c>
      <c r="W31" s="128" t="str">
        <f>IFERROR(INDEX(lifespans_all!W$2:W$56,MATCH($A31,lifespans_all!$A$2:$A$56,0))*INDEX(SR_mission_minutes!W$2:W$43,MATCH($A31,SR_mission_minutes!$A$2:$A$43)),"-")</f>
        <v>-</v>
      </c>
    </row>
    <row r="32" spans="1:23" x14ac:dyDescent="0.25">
      <c r="A32" s="46" t="s">
        <v>47</v>
      </c>
      <c r="B32" s="46" t="s">
        <v>64</v>
      </c>
      <c r="C32" s="135"/>
      <c r="D32" s="128" t="str">
        <f>IFERROR(INDEX(lifespans_all!D$2:D$56,MATCH($A32,lifespans_all!$A$2:$A$56,0))*INDEX(SR_mission_minutes!D$2:D$43,MATCH($A32,SR_mission_minutes!$A$2:$A$43)),"-")</f>
        <v>-</v>
      </c>
      <c r="E32" s="128" t="str">
        <f>IFERROR(INDEX(lifespans_all!E$2:E$56,MATCH($A32,lifespans_all!$A$2:$A$56,0))*INDEX(SR_mission_minutes!E$2:E$43,MATCH($A32,SR_mission_minutes!$A$2:$A$43)),"-")</f>
        <v>-</v>
      </c>
      <c r="F32" s="128" t="str">
        <f>IFERROR(INDEX(lifespans_all!F$2:F$56,MATCH($A32,lifespans_all!$A$2:$A$56,0))*INDEX(SR_mission_minutes!F$2:F$43,MATCH($A32,SR_mission_minutes!$A$2:$A$43)),"-")</f>
        <v>-</v>
      </c>
      <c r="G32" s="128" t="str">
        <f>IFERROR(INDEX(lifespans_all!G$2:G$56,MATCH($A32,lifespans_all!$A$2:$A$56,0))*INDEX(SR_mission_minutes!G$2:G$43,MATCH($A32,SR_mission_minutes!$A$2:$A$43)),"-")</f>
        <v>-</v>
      </c>
      <c r="H32" s="128" t="str">
        <f>IFERROR(INDEX(lifespans_all!H$2:H$56,MATCH($A32,lifespans_all!$A$2:$A$56,0))*INDEX(SR_mission_minutes!H$2:H$43,MATCH($A32,SR_mission_minutes!$A$2:$A$43)),"-")</f>
        <v>-</v>
      </c>
      <c r="I32" s="128" t="str">
        <f>IFERROR(INDEX(lifespans_all!I$2:I$56,MATCH($A32,lifespans_all!$A$2:$A$56,0))*INDEX(SR_mission_minutes!I$2:I$43,MATCH($A32,SR_mission_minutes!$A$2:$A$43)),"-")</f>
        <v>-</v>
      </c>
      <c r="J32" s="128" t="str">
        <f>IFERROR(INDEX(lifespans_all!J$2:J$56,MATCH($A32,lifespans_all!$A$2:$A$56,0))*INDEX(SR_mission_minutes!J$2:J$43,MATCH($A32,SR_mission_minutes!$A$2:$A$43)),"-")</f>
        <v>-</v>
      </c>
      <c r="K32" s="128" t="str">
        <f>IFERROR(INDEX(lifespans_all!K$2:K$56,MATCH($A32,lifespans_all!$A$2:$A$56,0))*INDEX(SR_mission_minutes!K$2:K$43,MATCH($A32,SR_mission_minutes!$A$2:$A$43)),"-")</f>
        <v>-</v>
      </c>
      <c r="L32" s="128" t="str">
        <f>IFERROR(INDEX(lifespans_all!L$2:L$56,MATCH($A32,lifespans_all!$A$2:$A$56,0))*INDEX(SR_mission_minutes!L$2:L$43,MATCH($A32,SR_mission_minutes!$A$2:$A$43)),"-")</f>
        <v>-</v>
      </c>
      <c r="M32" s="128" t="str">
        <f>IFERROR(INDEX(lifespans_all!M$2:M$56,MATCH($A32,lifespans_all!$A$2:$A$56,0))*INDEX(SR_mission_minutes!M$2:M$43,MATCH($A32,SR_mission_minutes!$A$2:$A$43)),"-")</f>
        <v>-</v>
      </c>
      <c r="N32" s="128" t="str">
        <f>IFERROR(INDEX(lifespans_all!N$2:N$56,MATCH($A32,lifespans_all!$A$2:$A$56,0))*INDEX(SR_mission_minutes!N$2:N$43,MATCH($A32,SR_mission_minutes!$A$2:$A$43)),"-")</f>
        <v>-</v>
      </c>
      <c r="O32" s="128" t="str">
        <f>IFERROR(INDEX(lifespans_all!O$2:O$56,MATCH($A32,lifespans_all!$A$2:$A$56,0))*INDEX(SR_mission_minutes!O$2:O$43,MATCH($A32,SR_mission_minutes!$A$2:$A$43)),"-")</f>
        <v>-</v>
      </c>
      <c r="P32" s="128" t="str">
        <f>IFERROR(INDEX(lifespans_all!P$2:P$56,MATCH($A32,lifespans_all!$A$2:$A$56,0))*INDEX(SR_mission_minutes!P$2:P$43,MATCH($A32,SR_mission_minutes!$A$2:$A$43)),"-")</f>
        <v>-</v>
      </c>
      <c r="Q32" s="128" t="str">
        <f>IFERROR(INDEX(lifespans_all!Q$2:Q$56,MATCH($A32,lifespans_all!$A$2:$A$56,0))*INDEX(SR_mission_minutes!Q$2:Q$43,MATCH($A32,SR_mission_minutes!$A$2:$A$43)),"-")</f>
        <v>-</v>
      </c>
      <c r="R32" s="128" t="str">
        <f>IFERROR(INDEX(lifespans_all!R$2:R$56,MATCH($A32,lifespans_all!$A$2:$A$56,0))*INDEX(SR_mission_minutes!R$2:R$43,MATCH($A32,SR_mission_minutes!$A$2:$A$43)),"-")</f>
        <v>-</v>
      </c>
      <c r="S32" s="128" t="str">
        <f>IFERROR(INDEX(lifespans_all!S$2:S$56,MATCH($A32,lifespans_all!$A$2:$A$56,0))*INDEX(SR_mission_minutes!S$2:S$43,MATCH($A32,SR_mission_minutes!$A$2:$A$43)),"-")</f>
        <v>-</v>
      </c>
      <c r="T32" s="128" t="str">
        <f>IFERROR(INDEX(lifespans_all!T$2:T$56,MATCH($A32,lifespans_all!$A$2:$A$56,0))*INDEX(SR_mission_minutes!T$2:T$43,MATCH($A32,SR_mission_minutes!$A$2:$A$43)),"-")</f>
        <v>-</v>
      </c>
      <c r="U32" s="128" t="str">
        <f>IFERROR(INDEX(lifespans_all!U$2:U$56,MATCH($A32,lifespans_all!$A$2:$A$56,0))*INDEX(SR_mission_minutes!U$2:U$43,MATCH($A32,SR_mission_minutes!$A$2:$A$43)),"-")</f>
        <v>-</v>
      </c>
      <c r="V32" s="128" t="str">
        <f>IFERROR(INDEX(lifespans_all!V$2:V$56,MATCH($A32,lifespans_all!$A$2:$A$56,0))*INDEX(SR_mission_minutes!V$2:V$43,MATCH($A32,SR_mission_minutes!$A$2:$A$43)),"-")</f>
        <v>-</v>
      </c>
      <c r="W32" s="128" t="str">
        <f>IFERROR(INDEX(lifespans_all!W$2:W$56,MATCH($A32,lifespans_all!$A$2:$A$56,0))*INDEX(SR_mission_minutes!W$2:W$43,MATCH($A32,SR_mission_minutes!$A$2:$A$43)),"-")</f>
        <v>-</v>
      </c>
    </row>
    <row r="33" spans="1:23" x14ac:dyDescent="0.25">
      <c r="A33" s="46" t="s">
        <v>48</v>
      </c>
      <c r="B33" s="46" t="s">
        <v>64</v>
      </c>
      <c r="C33" s="135"/>
      <c r="D33" s="128" t="str">
        <f>IFERROR(INDEX(lifespans_all!D$2:D$56,MATCH($A33,lifespans_all!$A$2:$A$56,0))*INDEX(SR_mission_minutes!D$2:D$43,MATCH($A33,SR_mission_minutes!$A$2:$A$43)),"-")</f>
        <v>-</v>
      </c>
      <c r="E33" s="128" t="str">
        <f>IFERROR(INDEX(lifespans_all!E$2:E$56,MATCH($A33,lifespans_all!$A$2:$A$56,0))*INDEX(SR_mission_minutes!E$2:E$43,MATCH($A33,SR_mission_minutes!$A$2:$A$43)),"-")</f>
        <v>-</v>
      </c>
      <c r="F33" s="128" t="str">
        <f>IFERROR(INDEX(lifespans_all!F$2:F$56,MATCH($A33,lifespans_all!$A$2:$A$56,0))*INDEX(SR_mission_minutes!F$2:F$43,MATCH($A33,SR_mission_minutes!$A$2:$A$43)),"-")</f>
        <v>-</v>
      </c>
      <c r="G33" s="128" t="str">
        <f>IFERROR(INDEX(lifespans_all!G$2:G$56,MATCH($A33,lifespans_all!$A$2:$A$56,0))*INDEX(SR_mission_minutes!G$2:G$43,MATCH($A33,SR_mission_minutes!$A$2:$A$43)),"-")</f>
        <v>-</v>
      </c>
      <c r="H33" s="128" t="str">
        <f>IFERROR(INDEX(lifespans_all!H$2:H$56,MATCH($A33,lifespans_all!$A$2:$A$56,0))*INDEX(SR_mission_minutes!H$2:H$43,MATCH($A33,SR_mission_minutes!$A$2:$A$43)),"-")</f>
        <v>-</v>
      </c>
      <c r="I33" s="128" t="str">
        <f>IFERROR(INDEX(lifespans_all!I$2:I$56,MATCH($A33,lifespans_all!$A$2:$A$56,0))*INDEX(SR_mission_minutes!I$2:I$43,MATCH($A33,SR_mission_minutes!$A$2:$A$43)),"-")</f>
        <v>-</v>
      </c>
      <c r="J33" s="128" t="str">
        <f>IFERROR(INDEX(lifespans_all!J$2:J$56,MATCH($A33,lifespans_all!$A$2:$A$56,0))*INDEX(SR_mission_minutes!J$2:J$43,MATCH($A33,SR_mission_minutes!$A$2:$A$43)),"-")</f>
        <v>-</v>
      </c>
      <c r="K33" s="128" t="str">
        <f>IFERROR(INDEX(lifespans_all!K$2:K$56,MATCH($A33,lifespans_all!$A$2:$A$56,0))*INDEX(SR_mission_minutes!K$2:K$43,MATCH($A33,SR_mission_minutes!$A$2:$A$43)),"-")</f>
        <v>-</v>
      </c>
      <c r="L33" s="128" t="str">
        <f>IFERROR(INDEX(lifespans_all!L$2:L$56,MATCH($A33,lifespans_all!$A$2:$A$56,0))*INDEX(SR_mission_minutes!L$2:L$43,MATCH($A33,SR_mission_minutes!$A$2:$A$43)),"-")</f>
        <v>-</v>
      </c>
      <c r="M33" s="128" t="str">
        <f>IFERROR(INDEX(lifespans_all!M$2:M$56,MATCH($A33,lifespans_all!$A$2:$A$56,0))*INDEX(SR_mission_minutes!M$2:M$43,MATCH($A33,SR_mission_minutes!$A$2:$A$43)),"-")</f>
        <v>-</v>
      </c>
      <c r="N33" s="128" t="str">
        <f>IFERROR(INDEX(lifespans_all!N$2:N$56,MATCH($A33,lifespans_all!$A$2:$A$56,0))*INDEX(SR_mission_minutes!N$2:N$43,MATCH($A33,SR_mission_minutes!$A$2:$A$43)),"-")</f>
        <v>-</v>
      </c>
      <c r="O33" s="128" t="str">
        <f>IFERROR(INDEX(lifespans_all!O$2:O$56,MATCH($A33,lifespans_all!$A$2:$A$56,0))*INDEX(SR_mission_minutes!O$2:O$43,MATCH($A33,SR_mission_minutes!$A$2:$A$43)),"-")</f>
        <v>-</v>
      </c>
      <c r="P33" s="128" t="str">
        <f>IFERROR(INDEX(lifespans_all!P$2:P$56,MATCH($A33,lifespans_all!$A$2:$A$56,0))*INDEX(SR_mission_minutes!P$2:P$43,MATCH($A33,SR_mission_minutes!$A$2:$A$43)),"-")</f>
        <v>-</v>
      </c>
      <c r="Q33" s="128" t="str">
        <f>IFERROR(INDEX(lifespans_all!Q$2:Q$56,MATCH($A33,lifespans_all!$A$2:$A$56,0))*INDEX(SR_mission_minutes!Q$2:Q$43,MATCH($A33,SR_mission_minutes!$A$2:$A$43)),"-")</f>
        <v>-</v>
      </c>
      <c r="R33" s="128" t="str">
        <f>IFERROR(INDEX(lifespans_all!R$2:R$56,MATCH($A33,lifespans_all!$A$2:$A$56,0))*INDEX(SR_mission_minutes!R$2:R$43,MATCH($A33,SR_mission_minutes!$A$2:$A$43)),"-")</f>
        <v>-</v>
      </c>
      <c r="S33" s="128" t="str">
        <f>IFERROR(INDEX(lifespans_all!S$2:S$56,MATCH($A33,lifespans_all!$A$2:$A$56,0))*INDEX(SR_mission_minutes!S$2:S$43,MATCH($A33,SR_mission_minutes!$A$2:$A$43)),"-")</f>
        <v>-</v>
      </c>
      <c r="T33" s="128" t="str">
        <f>IFERROR(INDEX(lifespans_all!T$2:T$56,MATCH($A33,lifespans_all!$A$2:$A$56,0))*INDEX(SR_mission_minutes!T$2:T$43,MATCH($A33,SR_mission_minutes!$A$2:$A$43)),"-")</f>
        <v>-</v>
      </c>
      <c r="U33" s="128" t="str">
        <f>IFERROR(INDEX(lifespans_all!U$2:U$56,MATCH($A33,lifespans_all!$A$2:$A$56,0))*INDEX(SR_mission_minutes!U$2:U$43,MATCH($A33,SR_mission_minutes!$A$2:$A$43)),"-")</f>
        <v>-</v>
      </c>
      <c r="V33" s="128" t="str">
        <f>IFERROR(INDEX(lifespans_all!V$2:V$56,MATCH($A33,lifespans_all!$A$2:$A$56,0))*INDEX(SR_mission_minutes!V$2:V$43,MATCH($A33,SR_mission_minutes!$A$2:$A$43)),"-")</f>
        <v>-</v>
      </c>
      <c r="W33" s="128" t="str">
        <f>IFERROR(INDEX(lifespans_all!W$2:W$56,MATCH($A33,lifespans_all!$A$2:$A$56,0))*INDEX(SR_mission_minutes!W$2:W$43,MATCH($A33,SR_mission_minutes!$A$2:$A$43)),"-")</f>
        <v>-</v>
      </c>
    </row>
    <row r="34" spans="1:23" x14ac:dyDescent="0.25">
      <c r="A34" s="46" t="s">
        <v>49</v>
      </c>
      <c r="B34" s="46" t="s">
        <v>57</v>
      </c>
      <c r="C34" s="135"/>
      <c r="D34" s="128">
        <f>IFERROR(INDEX(lifespans_all!D$2:D$56,MATCH($A34,lifespans_all!$A$2:$A$56,0))*INDEX(SR_mission_minutes!D$2:D$43,MATCH($A34,SR_mission_minutes!$A$2:$A$43)),"-")</f>
        <v>0</v>
      </c>
      <c r="E34" s="128">
        <f>IFERROR(INDEX(lifespans_all!E$2:E$56,MATCH($A34,lifespans_all!$A$2:$A$56,0))*INDEX(SR_mission_minutes!E$2:E$43,MATCH($A34,SR_mission_minutes!$A$2:$A$43)),"-")</f>
        <v>0</v>
      </c>
      <c r="F34" s="128">
        <f>IFERROR(INDEX(lifespans_all!F$2:F$56,MATCH($A34,lifespans_all!$A$2:$A$56,0))*INDEX(SR_mission_minutes!F$2:F$43,MATCH($A34,SR_mission_minutes!$A$2:$A$43)),"-")</f>
        <v>0</v>
      </c>
      <c r="G34" s="128">
        <f>IFERROR(INDEX(lifespans_all!G$2:G$56,MATCH($A34,lifespans_all!$A$2:$A$56,0))*INDEX(SR_mission_minutes!G$2:G$43,MATCH($A34,SR_mission_minutes!$A$2:$A$43)),"-")</f>
        <v>0</v>
      </c>
      <c r="H34" s="128">
        <f>IFERROR(INDEX(lifespans_all!H$2:H$56,MATCH($A34,lifespans_all!$A$2:$A$56,0))*INDEX(SR_mission_minutes!H$2:H$43,MATCH($A34,SR_mission_minutes!$A$2:$A$43)),"-")</f>
        <v>0</v>
      </c>
      <c r="I34" s="128">
        <f>IFERROR(INDEX(lifespans_all!I$2:I$56,MATCH($A34,lifespans_all!$A$2:$A$56,0))*INDEX(SR_mission_minutes!I$2:I$43,MATCH($A34,SR_mission_minutes!$A$2:$A$43)),"-")</f>
        <v>0</v>
      </c>
      <c r="J34" s="128">
        <f>IFERROR(INDEX(lifespans_all!J$2:J$56,MATCH($A34,lifespans_all!$A$2:$A$56,0))*INDEX(SR_mission_minutes!J$2:J$43,MATCH($A34,SR_mission_minutes!$A$2:$A$43)),"-")</f>
        <v>0</v>
      </c>
      <c r="K34" s="128">
        <f>IFERROR(INDEX(lifespans_all!K$2:K$56,MATCH($A34,lifespans_all!$A$2:$A$56,0))*INDEX(SR_mission_minutes!K$2:K$43,MATCH($A34,SR_mission_minutes!$A$2:$A$43)),"-")</f>
        <v>0</v>
      </c>
      <c r="L34" s="128">
        <f>IFERROR(INDEX(lifespans_all!L$2:L$56,MATCH($A34,lifespans_all!$A$2:$A$56,0))*INDEX(SR_mission_minutes!L$2:L$43,MATCH($A34,SR_mission_minutes!$A$2:$A$43)),"-")</f>
        <v>0</v>
      </c>
      <c r="M34" s="128">
        <f>IFERROR(INDEX(lifespans_all!M$2:M$56,MATCH($A34,lifespans_all!$A$2:$A$56,0))*INDEX(SR_mission_minutes!M$2:M$43,MATCH($A34,SR_mission_minutes!$A$2:$A$43)),"-")</f>
        <v>0</v>
      </c>
      <c r="N34" s="128">
        <f>IFERROR(INDEX(lifespans_all!N$2:N$56,MATCH($A34,lifespans_all!$A$2:$A$56,0))*INDEX(SR_mission_minutes!N$2:N$43,MATCH($A34,SR_mission_minutes!$A$2:$A$43)),"-")</f>
        <v>0</v>
      </c>
      <c r="O34" s="128">
        <f>IFERROR(INDEX(lifespans_all!O$2:O$56,MATCH($A34,lifespans_all!$A$2:$A$56,0))*INDEX(SR_mission_minutes!O$2:O$43,MATCH($A34,SR_mission_minutes!$A$2:$A$43)),"-")</f>
        <v>0</v>
      </c>
      <c r="P34" s="128">
        <f>IFERROR(INDEX(lifespans_all!P$2:P$56,MATCH($A34,lifespans_all!$A$2:$A$56,0))*INDEX(SR_mission_minutes!P$2:P$43,MATCH($A34,SR_mission_minutes!$A$2:$A$43)),"-")</f>
        <v>0</v>
      </c>
      <c r="Q34" s="128">
        <f>IFERROR(INDEX(lifespans_all!Q$2:Q$56,MATCH($A34,lifespans_all!$A$2:$A$56,0))*INDEX(SR_mission_minutes!Q$2:Q$43,MATCH($A34,SR_mission_minutes!$A$2:$A$43)),"-")</f>
        <v>0</v>
      </c>
      <c r="R34" s="128">
        <f>IFERROR(INDEX(lifespans_all!R$2:R$56,MATCH($A34,lifespans_all!$A$2:$A$56,0))*INDEX(SR_mission_minutes!R$2:R$43,MATCH($A34,SR_mission_minutes!$A$2:$A$43)),"-")</f>
        <v>0</v>
      </c>
      <c r="S34" s="128">
        <f>IFERROR(INDEX(lifespans_all!S$2:S$56,MATCH($A34,lifespans_all!$A$2:$A$56,0))*INDEX(SR_mission_minutes!S$2:S$43,MATCH($A34,SR_mission_minutes!$A$2:$A$43)),"-")</f>
        <v>0</v>
      </c>
      <c r="T34" s="128">
        <f>IFERROR(INDEX(lifespans_all!T$2:T$56,MATCH($A34,lifespans_all!$A$2:$A$56,0))*INDEX(SR_mission_minutes!T$2:T$43,MATCH($A34,SR_mission_minutes!$A$2:$A$43)),"-")</f>
        <v>0</v>
      </c>
      <c r="U34" s="128">
        <f>IFERROR(INDEX(lifespans_all!U$2:U$56,MATCH($A34,lifespans_all!$A$2:$A$56,0))*INDEX(SR_mission_minutes!U$2:U$43,MATCH($A34,SR_mission_minutes!$A$2:$A$43)),"-")</f>
        <v>0</v>
      </c>
      <c r="V34" s="128">
        <f>IFERROR(INDEX(lifespans_all!V$2:V$56,MATCH($A34,lifespans_all!$A$2:$A$56,0))*INDEX(SR_mission_minutes!V$2:V$43,MATCH($A34,SR_mission_minutes!$A$2:$A$43)),"-")</f>
        <v>0</v>
      </c>
      <c r="W34" s="128">
        <f>IFERROR(INDEX(lifespans_all!W$2:W$56,MATCH($A34,lifespans_all!$A$2:$A$56,0))*INDEX(SR_mission_minutes!W$2:W$43,MATCH($A34,SR_mission_minutes!$A$2:$A$43)),"-")</f>
        <v>0</v>
      </c>
    </row>
    <row r="35" spans="1:23" x14ac:dyDescent="0.25">
      <c r="A35" s="46" t="s">
        <v>50</v>
      </c>
      <c r="B35" s="46" t="s">
        <v>61</v>
      </c>
      <c r="C35" s="135"/>
      <c r="D35" s="128">
        <f>IFERROR(INDEX(lifespans_all!D$2:D$56,MATCH($A35,lifespans_all!$A$2:$A$56,0))*INDEX(SR_mission_minutes!D$2:D$43,MATCH($A35,SR_mission_minutes!$A$2:$A$43)),"-")</f>
        <v>33739.333333333336</v>
      </c>
      <c r="E35" s="128">
        <f>IFERROR(INDEX(lifespans_all!E$2:E$56,MATCH($A35,lifespans_all!$A$2:$A$56,0))*INDEX(SR_mission_minutes!E$2:E$43,MATCH($A35,SR_mission_minutes!$A$2:$A$43)),"-")</f>
        <v>33739.333333333336</v>
      </c>
      <c r="F35" s="128">
        <f>IFERROR(INDEX(lifespans_all!F$2:F$56,MATCH($A35,lifespans_all!$A$2:$A$56,0))*INDEX(SR_mission_minutes!F$2:F$43,MATCH($A35,SR_mission_minutes!$A$2:$A$43)),"-")</f>
        <v>33739.333333333336</v>
      </c>
      <c r="G35" s="128">
        <f>IFERROR(INDEX(lifespans_all!G$2:G$56,MATCH($A35,lifespans_all!$A$2:$A$56,0))*INDEX(SR_mission_minutes!G$2:G$43,MATCH($A35,SR_mission_minutes!$A$2:$A$43)),"-")</f>
        <v>33739.333333333336</v>
      </c>
      <c r="H35" s="128">
        <f>IFERROR(INDEX(lifespans_all!H$2:H$56,MATCH($A35,lifespans_all!$A$2:$A$56,0))*INDEX(SR_mission_minutes!H$2:H$43,MATCH($A35,SR_mission_minutes!$A$2:$A$43)),"-")</f>
        <v>33739.333333333336</v>
      </c>
      <c r="I35" s="128">
        <f>IFERROR(INDEX(lifespans_all!I$2:I$56,MATCH($A35,lifespans_all!$A$2:$A$56,0))*INDEX(SR_mission_minutes!I$2:I$43,MATCH($A35,SR_mission_minutes!$A$2:$A$43)),"-")</f>
        <v>0</v>
      </c>
      <c r="J35" s="128">
        <f>IFERROR(INDEX(lifespans_all!J$2:J$56,MATCH($A35,lifespans_all!$A$2:$A$56,0))*INDEX(SR_mission_minutes!J$2:J$43,MATCH($A35,SR_mission_minutes!$A$2:$A$43)),"-")</f>
        <v>0</v>
      </c>
      <c r="K35" s="128">
        <f>IFERROR(INDEX(lifespans_all!K$2:K$56,MATCH($A35,lifespans_all!$A$2:$A$56,0))*INDEX(SR_mission_minutes!K$2:K$43,MATCH($A35,SR_mission_minutes!$A$2:$A$43)),"-")</f>
        <v>0</v>
      </c>
      <c r="L35" s="128">
        <f>IFERROR(INDEX(lifespans_all!L$2:L$56,MATCH($A35,lifespans_all!$A$2:$A$56,0))*INDEX(SR_mission_minutes!L$2:L$43,MATCH($A35,SR_mission_minutes!$A$2:$A$43)),"-")</f>
        <v>0</v>
      </c>
      <c r="M35" s="128">
        <f>IFERROR(INDEX(lifespans_all!M$2:M$56,MATCH($A35,lifespans_all!$A$2:$A$56,0))*INDEX(SR_mission_minutes!M$2:M$43,MATCH($A35,SR_mission_minutes!$A$2:$A$43)),"-")</f>
        <v>0</v>
      </c>
      <c r="N35" s="128">
        <f>IFERROR(INDEX(lifespans_all!N$2:N$56,MATCH($A35,lifespans_all!$A$2:$A$56,0))*INDEX(SR_mission_minutes!N$2:N$43,MATCH($A35,SR_mission_minutes!$A$2:$A$43)),"-")</f>
        <v>0</v>
      </c>
      <c r="O35" s="128">
        <f>IFERROR(INDEX(lifespans_all!O$2:O$56,MATCH($A35,lifespans_all!$A$2:$A$56,0))*INDEX(SR_mission_minutes!O$2:O$43,MATCH($A35,SR_mission_minutes!$A$2:$A$43)),"-")</f>
        <v>0</v>
      </c>
      <c r="P35" s="128">
        <f>IFERROR(INDEX(lifespans_all!P$2:P$56,MATCH($A35,lifespans_all!$A$2:$A$56,0))*INDEX(SR_mission_minutes!P$2:P$43,MATCH($A35,SR_mission_minutes!$A$2:$A$43)),"-")</f>
        <v>0</v>
      </c>
      <c r="Q35" s="128">
        <f>IFERROR(INDEX(lifespans_all!Q$2:Q$56,MATCH($A35,lifespans_all!$A$2:$A$56,0))*INDEX(SR_mission_minutes!Q$2:Q$43,MATCH($A35,SR_mission_minutes!$A$2:$A$43)),"-")</f>
        <v>0</v>
      </c>
      <c r="R35" s="128">
        <f>IFERROR(INDEX(lifespans_all!R$2:R$56,MATCH($A35,lifespans_all!$A$2:$A$56,0))*INDEX(SR_mission_minutes!R$2:R$43,MATCH($A35,SR_mission_minutes!$A$2:$A$43)),"-")</f>
        <v>0</v>
      </c>
      <c r="S35" s="128">
        <f>IFERROR(INDEX(lifespans_all!S$2:S$56,MATCH($A35,lifespans_all!$A$2:$A$56,0))*INDEX(SR_mission_minutes!S$2:S$43,MATCH($A35,SR_mission_minutes!$A$2:$A$43)),"-")</f>
        <v>0</v>
      </c>
      <c r="T35" s="128">
        <f>IFERROR(INDEX(lifespans_all!T$2:T$56,MATCH($A35,lifespans_all!$A$2:$A$56,0))*INDEX(SR_mission_minutes!T$2:T$43,MATCH($A35,SR_mission_minutes!$A$2:$A$43)),"-")</f>
        <v>0</v>
      </c>
      <c r="U35" s="128">
        <f>IFERROR(INDEX(lifespans_all!U$2:U$56,MATCH($A35,lifespans_all!$A$2:$A$56,0))*INDEX(SR_mission_minutes!U$2:U$43,MATCH($A35,SR_mission_minutes!$A$2:$A$43)),"-")</f>
        <v>0</v>
      </c>
      <c r="V35" s="128">
        <f>IFERROR(INDEX(lifespans_all!V$2:V$56,MATCH($A35,lifespans_all!$A$2:$A$56,0))*INDEX(SR_mission_minutes!V$2:V$43,MATCH($A35,SR_mission_minutes!$A$2:$A$43)),"-")</f>
        <v>0</v>
      </c>
      <c r="W35" s="128">
        <f>IFERROR(INDEX(lifespans_all!W$2:W$56,MATCH($A35,lifespans_all!$A$2:$A$56,0))*INDEX(SR_mission_minutes!W$2:W$43,MATCH($A35,SR_mission_minutes!$A$2:$A$43)),"-")</f>
        <v>0</v>
      </c>
    </row>
    <row r="36" spans="1:23" x14ac:dyDescent="0.25">
      <c r="A36" s="46" t="s">
        <v>79</v>
      </c>
      <c r="B36" s="46" t="s">
        <v>59</v>
      </c>
      <c r="C36" s="135"/>
      <c r="D36" s="128">
        <f>IFERROR(INDEX(lifespans_all!D$2:D$56,MATCH($A36,lifespans_all!$A$2:$A$56,0))*INDEX(SR_mission_minutes!D$2:D$43,MATCH($A36,SR_mission_minutes!$A$2:$A$43)),"-")</f>
        <v>114879</v>
      </c>
      <c r="E36" s="128">
        <f>IFERROR(INDEX(lifespans_all!E$2:E$56,MATCH($A36,lifespans_all!$A$2:$A$56,0))*INDEX(SR_mission_minutes!E$2:E$43,MATCH($A36,SR_mission_minutes!$A$2:$A$43)),"-")</f>
        <v>114879</v>
      </c>
      <c r="F36" s="128">
        <f>IFERROR(INDEX(lifespans_all!F$2:F$56,MATCH($A36,lifespans_all!$A$2:$A$56,0))*INDEX(SR_mission_minutes!F$2:F$43,MATCH($A36,SR_mission_minutes!$A$2:$A$43)),"-")</f>
        <v>114879</v>
      </c>
      <c r="G36" s="128">
        <f>IFERROR(INDEX(lifespans_all!G$2:G$56,MATCH($A36,lifespans_all!$A$2:$A$56,0))*INDEX(SR_mission_minutes!G$2:G$43,MATCH($A36,SR_mission_minutes!$A$2:$A$43)),"-")</f>
        <v>114879</v>
      </c>
      <c r="H36" s="128">
        <f>IFERROR(INDEX(lifespans_all!H$2:H$56,MATCH($A36,lifespans_all!$A$2:$A$56,0))*INDEX(SR_mission_minutes!H$2:H$43,MATCH($A36,SR_mission_minutes!$A$2:$A$43)),"-")</f>
        <v>114879</v>
      </c>
      <c r="I36" s="128">
        <f>IFERROR(INDEX(lifespans_all!I$2:I$56,MATCH($A36,lifespans_all!$A$2:$A$56,0))*INDEX(SR_mission_minutes!I$2:I$43,MATCH($A36,SR_mission_minutes!$A$2:$A$43)),"-")</f>
        <v>114879</v>
      </c>
      <c r="J36" s="128">
        <f>IFERROR(INDEX(lifespans_all!J$2:J$56,MATCH($A36,lifespans_all!$A$2:$A$56,0))*INDEX(SR_mission_minutes!J$2:J$43,MATCH($A36,SR_mission_minutes!$A$2:$A$43)),"-")</f>
        <v>114879</v>
      </c>
      <c r="K36" s="128">
        <f>IFERROR(INDEX(lifespans_all!K$2:K$56,MATCH($A36,lifespans_all!$A$2:$A$56,0))*INDEX(SR_mission_minutes!K$2:K$43,MATCH($A36,SR_mission_minutes!$A$2:$A$43)),"-")</f>
        <v>114879</v>
      </c>
      <c r="L36" s="128">
        <f>IFERROR(INDEX(lifespans_all!L$2:L$56,MATCH($A36,lifespans_all!$A$2:$A$56,0))*INDEX(SR_mission_minutes!L$2:L$43,MATCH($A36,SR_mission_minutes!$A$2:$A$43)),"-")</f>
        <v>114879</v>
      </c>
      <c r="M36" s="128">
        <f>IFERROR(INDEX(lifespans_all!M$2:M$56,MATCH($A36,lifespans_all!$A$2:$A$56,0))*INDEX(SR_mission_minutes!M$2:M$43,MATCH($A36,SR_mission_minutes!$A$2:$A$43)),"-")</f>
        <v>114879</v>
      </c>
      <c r="N36" s="128">
        <f>IFERROR(INDEX(lifespans_all!N$2:N$56,MATCH($A36,lifespans_all!$A$2:$A$56,0))*INDEX(SR_mission_minutes!N$2:N$43,MATCH($A36,SR_mission_minutes!$A$2:$A$43)),"-")</f>
        <v>114879</v>
      </c>
      <c r="O36" s="128">
        <f>IFERROR(INDEX(lifespans_all!O$2:O$56,MATCH($A36,lifespans_all!$A$2:$A$56,0))*INDEX(SR_mission_minutes!O$2:O$43,MATCH($A36,SR_mission_minutes!$A$2:$A$43)),"-")</f>
        <v>114879</v>
      </c>
      <c r="P36" s="128">
        <f>IFERROR(INDEX(lifespans_all!P$2:P$56,MATCH($A36,lifespans_all!$A$2:$A$56,0))*INDEX(SR_mission_minutes!P$2:P$43,MATCH($A36,SR_mission_minutes!$A$2:$A$43)),"-")</f>
        <v>114879</v>
      </c>
      <c r="Q36" s="128">
        <f>IFERROR(INDEX(lifespans_all!Q$2:Q$56,MATCH($A36,lifespans_all!$A$2:$A$56,0))*INDEX(SR_mission_minutes!Q$2:Q$43,MATCH($A36,SR_mission_minutes!$A$2:$A$43)),"-")</f>
        <v>114879</v>
      </c>
      <c r="R36" s="128">
        <f>IFERROR(INDEX(lifespans_all!R$2:R$56,MATCH($A36,lifespans_all!$A$2:$A$56,0))*INDEX(SR_mission_minutes!R$2:R$43,MATCH($A36,SR_mission_minutes!$A$2:$A$43)),"-")</f>
        <v>114879</v>
      </c>
      <c r="S36" s="128">
        <f>IFERROR(INDEX(lifespans_all!S$2:S$56,MATCH($A36,lifespans_all!$A$2:$A$56,0))*INDEX(SR_mission_minutes!S$2:S$43,MATCH($A36,SR_mission_minutes!$A$2:$A$43)),"-")</f>
        <v>114879</v>
      </c>
      <c r="T36" s="128">
        <f>IFERROR(INDEX(lifespans_all!T$2:T$56,MATCH($A36,lifespans_all!$A$2:$A$56,0))*INDEX(SR_mission_minutes!T$2:T$43,MATCH($A36,SR_mission_minutes!$A$2:$A$43)),"-")</f>
        <v>114879</v>
      </c>
      <c r="U36" s="128">
        <f>IFERROR(INDEX(lifespans_all!U$2:U$56,MATCH($A36,lifespans_all!$A$2:$A$56,0))*INDEX(SR_mission_minutes!U$2:U$43,MATCH($A36,SR_mission_minutes!$A$2:$A$43)),"-")</f>
        <v>114879</v>
      </c>
      <c r="V36" s="128">
        <f>IFERROR(INDEX(lifespans_all!V$2:V$56,MATCH($A36,lifespans_all!$A$2:$A$56,0))*INDEX(SR_mission_minutes!V$2:V$43,MATCH($A36,SR_mission_minutes!$A$2:$A$43)),"-")</f>
        <v>114879</v>
      </c>
      <c r="W36" s="128">
        <f>IFERROR(INDEX(lifespans_all!W$2:W$56,MATCH($A36,lifespans_all!$A$2:$A$56,0))*INDEX(SR_mission_minutes!W$2:W$43,MATCH($A36,SR_mission_minutes!$A$2:$A$43)),"-")</f>
        <v>114879</v>
      </c>
    </row>
    <row r="37" spans="1:23" x14ac:dyDescent="0.25">
      <c r="A37" s="46" t="s">
        <v>80</v>
      </c>
      <c r="B37" s="46" t="s">
        <v>62</v>
      </c>
      <c r="C37" s="135"/>
      <c r="D37" s="128" t="str">
        <f>IFERROR(INDEX(lifespans_all!D$2:D$56,MATCH($A37,lifespans_all!$A$2:$A$56,0))*INDEX(SR_mission_minutes!D$2:D$43,MATCH($A37,SR_mission_minutes!$A$2:$A$43)),"-")</f>
        <v>-</v>
      </c>
      <c r="E37" s="128" t="str">
        <f>IFERROR(INDEX(lifespans_all!E$2:E$56,MATCH($A37,lifespans_all!$A$2:$A$56,0))*INDEX(SR_mission_minutes!E$2:E$43,MATCH($A37,SR_mission_minutes!$A$2:$A$43)),"-")</f>
        <v>-</v>
      </c>
      <c r="F37" s="128" t="str">
        <f>IFERROR(INDEX(lifespans_all!F$2:F$56,MATCH($A37,lifespans_all!$A$2:$A$56,0))*INDEX(SR_mission_minutes!F$2:F$43,MATCH($A37,SR_mission_minutes!$A$2:$A$43)),"-")</f>
        <v>-</v>
      </c>
      <c r="G37" s="128" t="str">
        <f>IFERROR(INDEX(lifespans_all!G$2:G$56,MATCH($A37,lifespans_all!$A$2:$A$56,0))*INDEX(SR_mission_minutes!G$2:G$43,MATCH($A37,SR_mission_minutes!$A$2:$A$43)),"-")</f>
        <v>-</v>
      </c>
      <c r="H37" s="128" t="str">
        <f>IFERROR(INDEX(lifespans_all!H$2:H$56,MATCH($A37,lifespans_all!$A$2:$A$56,0))*INDEX(SR_mission_minutes!H$2:H$43,MATCH($A37,SR_mission_minutes!$A$2:$A$43)),"-")</f>
        <v>-</v>
      </c>
      <c r="I37" s="128" t="str">
        <f>IFERROR(INDEX(lifespans_all!I$2:I$56,MATCH($A37,lifespans_all!$A$2:$A$56,0))*INDEX(SR_mission_minutes!I$2:I$43,MATCH($A37,SR_mission_minutes!$A$2:$A$43)),"-")</f>
        <v>-</v>
      </c>
      <c r="J37" s="128" t="str">
        <f>IFERROR(INDEX(lifespans_all!J$2:J$56,MATCH($A37,lifespans_all!$A$2:$A$56,0))*INDEX(SR_mission_minutes!J$2:J$43,MATCH($A37,SR_mission_minutes!$A$2:$A$43)),"-")</f>
        <v>-</v>
      </c>
      <c r="K37" s="128" t="str">
        <f>IFERROR(INDEX(lifespans_all!K$2:K$56,MATCH($A37,lifespans_all!$A$2:$A$56,0))*INDEX(SR_mission_minutes!K$2:K$43,MATCH($A37,SR_mission_minutes!$A$2:$A$43)),"-")</f>
        <v>-</v>
      </c>
      <c r="L37" s="128" t="str">
        <f>IFERROR(INDEX(lifespans_all!L$2:L$56,MATCH($A37,lifespans_all!$A$2:$A$56,0))*INDEX(SR_mission_minutes!L$2:L$43,MATCH($A37,SR_mission_minutes!$A$2:$A$43)),"-")</f>
        <v>-</v>
      </c>
      <c r="M37" s="128" t="str">
        <f>IFERROR(INDEX(lifespans_all!M$2:M$56,MATCH($A37,lifespans_all!$A$2:$A$56,0))*INDEX(SR_mission_minutes!M$2:M$43,MATCH($A37,SR_mission_minutes!$A$2:$A$43)),"-")</f>
        <v>-</v>
      </c>
      <c r="N37" s="128" t="str">
        <f>IFERROR(INDEX(lifespans_all!N$2:N$56,MATCH($A37,lifespans_all!$A$2:$A$56,0))*INDEX(SR_mission_minutes!N$2:N$43,MATCH($A37,SR_mission_minutes!$A$2:$A$43)),"-")</f>
        <v>-</v>
      </c>
      <c r="O37" s="128" t="str">
        <f>IFERROR(INDEX(lifespans_all!O$2:O$56,MATCH($A37,lifespans_all!$A$2:$A$56,0))*INDEX(SR_mission_minutes!O$2:O$43,MATCH($A37,SR_mission_minutes!$A$2:$A$43)),"-")</f>
        <v>-</v>
      </c>
      <c r="P37" s="128" t="str">
        <f>IFERROR(INDEX(lifespans_all!P$2:P$56,MATCH($A37,lifespans_all!$A$2:$A$56,0))*INDEX(SR_mission_minutes!P$2:P$43,MATCH($A37,SR_mission_minutes!$A$2:$A$43)),"-")</f>
        <v>-</v>
      </c>
      <c r="Q37" s="128" t="str">
        <f>IFERROR(INDEX(lifespans_all!Q$2:Q$56,MATCH($A37,lifespans_all!$A$2:$A$56,0))*INDEX(SR_mission_minutes!Q$2:Q$43,MATCH($A37,SR_mission_minutes!$A$2:$A$43)),"-")</f>
        <v>-</v>
      </c>
      <c r="R37" s="128" t="str">
        <f>IFERROR(INDEX(lifespans_all!R$2:R$56,MATCH($A37,lifespans_all!$A$2:$A$56,0))*INDEX(SR_mission_minutes!R$2:R$43,MATCH($A37,SR_mission_minutes!$A$2:$A$43)),"-")</f>
        <v>-</v>
      </c>
      <c r="S37" s="128" t="str">
        <f>IFERROR(INDEX(lifespans_all!S$2:S$56,MATCH($A37,lifespans_all!$A$2:$A$56,0))*INDEX(SR_mission_minutes!S$2:S$43,MATCH($A37,SR_mission_minutes!$A$2:$A$43)),"-")</f>
        <v>-</v>
      </c>
      <c r="T37" s="128" t="str">
        <f>IFERROR(INDEX(lifespans_all!T$2:T$56,MATCH($A37,lifespans_all!$A$2:$A$56,0))*INDEX(SR_mission_minutes!T$2:T$43,MATCH($A37,SR_mission_minutes!$A$2:$A$43)),"-")</f>
        <v>-</v>
      </c>
      <c r="U37" s="128" t="str">
        <f>IFERROR(INDEX(lifespans_all!U$2:U$56,MATCH($A37,lifespans_all!$A$2:$A$56,0))*INDEX(SR_mission_minutes!U$2:U$43,MATCH($A37,SR_mission_minutes!$A$2:$A$43)),"-")</f>
        <v>-</v>
      </c>
      <c r="V37" s="128" t="str">
        <f>IFERROR(INDEX(lifespans_all!V$2:V$56,MATCH($A37,lifespans_all!$A$2:$A$56,0))*INDEX(SR_mission_minutes!V$2:V$43,MATCH($A37,SR_mission_minutes!$A$2:$A$43)),"-")</f>
        <v>-</v>
      </c>
      <c r="W37" s="128" t="str">
        <f>IFERROR(INDEX(lifespans_all!W$2:W$56,MATCH($A37,lifespans_all!$A$2:$A$56,0))*INDEX(SR_mission_minutes!W$2:W$43,MATCH($A37,SR_mission_minutes!$A$2:$A$43)),"-")</f>
        <v>-</v>
      </c>
    </row>
    <row r="38" spans="1:23" x14ac:dyDescent="0.25">
      <c r="A38" s="46" t="s">
        <v>81</v>
      </c>
      <c r="B38" s="46" t="s">
        <v>57</v>
      </c>
      <c r="C38" s="135"/>
      <c r="D38" s="128">
        <f>IFERROR(INDEX(lifespans_all!D$2:D$56,MATCH($A38,lifespans_all!$A$2:$A$56,0))*INDEX(SR_mission_minutes!D$2:D$43,MATCH($A38,SR_mission_minutes!$A$2:$A$43)),"-")</f>
        <v>66700.388888888891</v>
      </c>
      <c r="E38" s="128">
        <f>IFERROR(INDEX(lifespans_all!E$2:E$56,MATCH($A38,lifespans_all!$A$2:$A$56,0))*INDEX(SR_mission_minutes!E$2:E$43,MATCH($A38,SR_mission_minutes!$A$2:$A$43)),"-")</f>
        <v>66700.388888888891</v>
      </c>
      <c r="F38" s="128">
        <f>IFERROR(INDEX(lifespans_all!F$2:F$56,MATCH($A38,lifespans_all!$A$2:$A$56,0))*INDEX(SR_mission_minutes!F$2:F$43,MATCH($A38,SR_mission_minutes!$A$2:$A$43)),"-")</f>
        <v>66700.388888888891</v>
      </c>
      <c r="G38" s="128">
        <f>IFERROR(INDEX(lifespans_all!G$2:G$56,MATCH($A38,lifespans_all!$A$2:$A$56,0))*INDEX(SR_mission_minutes!G$2:G$43,MATCH($A38,SR_mission_minutes!$A$2:$A$43)),"-")</f>
        <v>66700.388888888891</v>
      </c>
      <c r="H38" s="128">
        <f>IFERROR(INDEX(lifespans_all!H$2:H$56,MATCH($A38,lifespans_all!$A$2:$A$56,0))*INDEX(SR_mission_minutes!H$2:H$43,MATCH($A38,SR_mission_minutes!$A$2:$A$43)),"-")</f>
        <v>66700.388888888891</v>
      </c>
      <c r="I38" s="128">
        <f>IFERROR(INDEX(lifespans_all!I$2:I$56,MATCH($A38,lifespans_all!$A$2:$A$56,0))*INDEX(SR_mission_minutes!I$2:I$43,MATCH($A38,SR_mission_minutes!$A$2:$A$43)),"-")</f>
        <v>66700.388888888891</v>
      </c>
      <c r="J38" s="128">
        <f>IFERROR(INDEX(lifespans_all!J$2:J$56,MATCH($A38,lifespans_all!$A$2:$A$56,0))*INDEX(SR_mission_minutes!J$2:J$43,MATCH($A38,SR_mission_minutes!$A$2:$A$43)),"-")</f>
        <v>66700.388888888891</v>
      </c>
      <c r="K38" s="128">
        <f>IFERROR(INDEX(lifespans_all!K$2:K$56,MATCH($A38,lifespans_all!$A$2:$A$56,0))*INDEX(SR_mission_minutes!K$2:K$43,MATCH($A38,SR_mission_minutes!$A$2:$A$43)),"-")</f>
        <v>0</v>
      </c>
      <c r="L38" s="128">
        <f>IFERROR(INDEX(lifespans_all!L$2:L$56,MATCH($A38,lifespans_all!$A$2:$A$56,0))*INDEX(SR_mission_minutes!L$2:L$43,MATCH($A38,SR_mission_minutes!$A$2:$A$43)),"-")</f>
        <v>0</v>
      </c>
      <c r="M38" s="128">
        <f>IFERROR(INDEX(lifespans_all!M$2:M$56,MATCH($A38,lifespans_all!$A$2:$A$56,0))*INDEX(SR_mission_minutes!M$2:M$43,MATCH($A38,SR_mission_minutes!$A$2:$A$43)),"-")</f>
        <v>0</v>
      </c>
      <c r="N38" s="128">
        <f>IFERROR(INDEX(lifespans_all!N$2:N$56,MATCH($A38,lifespans_all!$A$2:$A$56,0))*INDEX(SR_mission_minutes!N$2:N$43,MATCH($A38,SR_mission_minutes!$A$2:$A$43)),"-")</f>
        <v>0</v>
      </c>
      <c r="O38" s="128">
        <f>IFERROR(INDEX(lifespans_all!O$2:O$56,MATCH($A38,lifespans_all!$A$2:$A$56,0))*INDEX(SR_mission_minutes!O$2:O$43,MATCH($A38,SR_mission_minutes!$A$2:$A$43)),"-")</f>
        <v>0</v>
      </c>
      <c r="P38" s="128">
        <f>IFERROR(INDEX(lifespans_all!P$2:P$56,MATCH($A38,lifespans_all!$A$2:$A$56,0))*INDEX(SR_mission_minutes!P$2:P$43,MATCH($A38,SR_mission_minutes!$A$2:$A$43)),"-")</f>
        <v>0</v>
      </c>
      <c r="Q38" s="128">
        <f>IFERROR(INDEX(lifespans_all!Q$2:Q$56,MATCH($A38,lifespans_all!$A$2:$A$56,0))*INDEX(SR_mission_minutes!Q$2:Q$43,MATCH($A38,SR_mission_minutes!$A$2:$A$43)),"-")</f>
        <v>0</v>
      </c>
      <c r="R38" s="128">
        <f>IFERROR(INDEX(lifespans_all!R$2:R$56,MATCH($A38,lifespans_all!$A$2:$A$56,0))*INDEX(SR_mission_minutes!R$2:R$43,MATCH($A38,SR_mission_minutes!$A$2:$A$43)),"-")</f>
        <v>0</v>
      </c>
      <c r="S38" s="128">
        <f>IFERROR(INDEX(lifespans_all!S$2:S$56,MATCH($A38,lifespans_all!$A$2:$A$56,0))*INDEX(SR_mission_minutes!S$2:S$43,MATCH($A38,SR_mission_minutes!$A$2:$A$43)),"-")</f>
        <v>0</v>
      </c>
      <c r="T38" s="128">
        <f>IFERROR(INDEX(lifespans_all!T$2:T$56,MATCH($A38,lifespans_all!$A$2:$A$56,0))*INDEX(SR_mission_minutes!T$2:T$43,MATCH($A38,SR_mission_minutes!$A$2:$A$43)),"-")</f>
        <v>0</v>
      </c>
      <c r="U38" s="128">
        <f>IFERROR(INDEX(lifespans_all!U$2:U$56,MATCH($A38,lifespans_all!$A$2:$A$56,0))*INDEX(SR_mission_minutes!U$2:U$43,MATCH($A38,SR_mission_minutes!$A$2:$A$43)),"-")</f>
        <v>0</v>
      </c>
      <c r="V38" s="128">
        <f>IFERROR(INDEX(lifespans_all!V$2:V$56,MATCH($A38,lifespans_all!$A$2:$A$56,0))*INDEX(SR_mission_minutes!V$2:V$43,MATCH($A38,SR_mission_minutes!$A$2:$A$43)),"-")</f>
        <v>0</v>
      </c>
      <c r="W38" s="128">
        <f>IFERROR(INDEX(lifespans_all!W$2:W$56,MATCH($A38,lifespans_all!$A$2:$A$56,0))*INDEX(SR_mission_minutes!W$2:W$43,MATCH($A38,SR_mission_minutes!$A$2:$A$43)),"-")</f>
        <v>0</v>
      </c>
    </row>
    <row r="39" spans="1:23" x14ac:dyDescent="0.25">
      <c r="A39" s="46" t="s">
        <v>51</v>
      </c>
      <c r="B39" s="46" t="s">
        <v>56</v>
      </c>
      <c r="C39" s="135"/>
      <c r="D39" s="128">
        <f>IFERROR(INDEX(lifespans_all!D$2:D$56,MATCH($A39,lifespans_all!$A$2:$A$56,0))*INDEX(SR_mission_minutes!D$2:D$43,MATCH($A39,SR_mission_minutes!$A$2:$A$43)),"-")</f>
        <v>2364.2857142857142</v>
      </c>
      <c r="E39" s="128">
        <f>IFERROR(INDEX(lifespans_all!E$2:E$56,MATCH($A39,lifespans_all!$A$2:$A$56,0))*INDEX(SR_mission_minutes!E$2:E$43,MATCH($A39,SR_mission_minutes!$A$2:$A$43)),"-")</f>
        <v>2364.2857142857142</v>
      </c>
      <c r="F39" s="128">
        <f>IFERROR(INDEX(lifespans_all!F$2:F$56,MATCH($A39,lifespans_all!$A$2:$A$56,0))*INDEX(SR_mission_minutes!F$2:F$43,MATCH($A39,SR_mission_minutes!$A$2:$A$43)),"-")</f>
        <v>0</v>
      </c>
      <c r="G39" s="128">
        <f>IFERROR(INDEX(lifespans_all!G$2:G$56,MATCH($A39,lifespans_all!$A$2:$A$56,0))*INDEX(SR_mission_minutes!G$2:G$43,MATCH($A39,SR_mission_minutes!$A$2:$A$43)),"-")</f>
        <v>0</v>
      </c>
      <c r="H39" s="128">
        <f>IFERROR(INDEX(lifespans_all!H$2:H$56,MATCH($A39,lifespans_all!$A$2:$A$56,0))*INDEX(SR_mission_minutes!H$2:H$43,MATCH($A39,SR_mission_minutes!$A$2:$A$43)),"-")</f>
        <v>0</v>
      </c>
      <c r="I39" s="128">
        <f>IFERROR(INDEX(lifespans_all!I$2:I$56,MATCH($A39,lifespans_all!$A$2:$A$56,0))*INDEX(SR_mission_minutes!I$2:I$43,MATCH($A39,SR_mission_minutes!$A$2:$A$43)),"-")</f>
        <v>0</v>
      </c>
      <c r="J39" s="128">
        <f>IFERROR(INDEX(lifespans_all!J$2:J$56,MATCH($A39,lifespans_all!$A$2:$A$56,0))*INDEX(SR_mission_minutes!J$2:J$43,MATCH($A39,SR_mission_minutes!$A$2:$A$43)),"-")</f>
        <v>0</v>
      </c>
      <c r="K39" s="128">
        <f>IFERROR(INDEX(lifespans_all!K$2:K$56,MATCH($A39,lifespans_all!$A$2:$A$56,0))*INDEX(SR_mission_minutes!K$2:K$43,MATCH($A39,SR_mission_minutes!$A$2:$A$43)),"-")</f>
        <v>0</v>
      </c>
      <c r="L39" s="128">
        <f>IFERROR(INDEX(lifespans_all!L$2:L$56,MATCH($A39,lifespans_all!$A$2:$A$56,0))*INDEX(SR_mission_minutes!L$2:L$43,MATCH($A39,SR_mission_minutes!$A$2:$A$43)),"-")</f>
        <v>0</v>
      </c>
      <c r="M39" s="128">
        <f>IFERROR(INDEX(lifespans_all!M$2:M$56,MATCH($A39,lifespans_all!$A$2:$A$56,0))*INDEX(SR_mission_minutes!M$2:M$43,MATCH($A39,SR_mission_minutes!$A$2:$A$43)),"-")</f>
        <v>0</v>
      </c>
      <c r="N39" s="128">
        <f>IFERROR(INDEX(lifespans_all!N$2:N$56,MATCH($A39,lifespans_all!$A$2:$A$56,0))*INDEX(SR_mission_minutes!N$2:N$43,MATCH($A39,SR_mission_minutes!$A$2:$A$43)),"-")</f>
        <v>0</v>
      </c>
      <c r="O39" s="128">
        <f>IFERROR(INDEX(lifespans_all!O$2:O$56,MATCH($A39,lifespans_all!$A$2:$A$56,0))*INDEX(SR_mission_minutes!O$2:O$43,MATCH($A39,SR_mission_minutes!$A$2:$A$43)),"-")</f>
        <v>0</v>
      </c>
      <c r="P39" s="128">
        <f>IFERROR(INDEX(lifespans_all!P$2:P$56,MATCH($A39,lifespans_all!$A$2:$A$56,0))*INDEX(SR_mission_minutes!P$2:P$43,MATCH($A39,SR_mission_minutes!$A$2:$A$43)),"-")</f>
        <v>0</v>
      </c>
      <c r="Q39" s="128">
        <f>IFERROR(INDEX(lifespans_all!Q$2:Q$56,MATCH($A39,lifespans_all!$A$2:$A$56,0))*INDEX(SR_mission_minutes!Q$2:Q$43,MATCH($A39,SR_mission_minutes!$A$2:$A$43)),"-")</f>
        <v>0</v>
      </c>
      <c r="R39" s="128">
        <f>IFERROR(INDEX(lifespans_all!R$2:R$56,MATCH($A39,lifespans_all!$A$2:$A$56,0))*INDEX(SR_mission_minutes!R$2:R$43,MATCH($A39,SR_mission_minutes!$A$2:$A$43)),"-")</f>
        <v>0</v>
      </c>
      <c r="S39" s="128">
        <f>IFERROR(INDEX(lifespans_all!S$2:S$56,MATCH($A39,lifespans_all!$A$2:$A$56,0))*INDEX(SR_mission_minutes!S$2:S$43,MATCH($A39,SR_mission_minutes!$A$2:$A$43)),"-")</f>
        <v>0</v>
      </c>
      <c r="T39" s="128">
        <f>IFERROR(INDEX(lifespans_all!T$2:T$56,MATCH($A39,lifespans_all!$A$2:$A$56,0))*INDEX(SR_mission_minutes!T$2:T$43,MATCH($A39,SR_mission_minutes!$A$2:$A$43)),"-")</f>
        <v>0</v>
      </c>
      <c r="U39" s="128">
        <f>IFERROR(INDEX(lifespans_all!U$2:U$56,MATCH($A39,lifespans_all!$A$2:$A$56,0))*INDEX(SR_mission_minutes!U$2:U$43,MATCH($A39,SR_mission_minutes!$A$2:$A$43)),"-")</f>
        <v>0</v>
      </c>
      <c r="V39" s="128">
        <f>IFERROR(INDEX(lifespans_all!V$2:V$56,MATCH($A39,lifespans_all!$A$2:$A$56,0))*INDEX(SR_mission_minutes!V$2:V$43,MATCH($A39,SR_mission_minutes!$A$2:$A$43)),"-")</f>
        <v>0</v>
      </c>
      <c r="W39" s="128">
        <f>IFERROR(INDEX(lifespans_all!W$2:W$56,MATCH($A39,lifespans_all!$A$2:$A$56,0))*INDEX(SR_mission_minutes!W$2:W$43,MATCH($A39,SR_mission_minutes!$A$2:$A$43)),"-")</f>
        <v>0</v>
      </c>
    </row>
    <row r="40" spans="1:23" x14ac:dyDescent="0.25">
      <c r="A40" s="46" t="s">
        <v>52</v>
      </c>
      <c r="B40" s="46" t="s">
        <v>56</v>
      </c>
      <c r="C40" s="135"/>
      <c r="D40" s="128">
        <f>IFERROR(INDEX(lifespans_all!D$2:D$56,MATCH($A40,lifespans_all!$A$2:$A$56,0))*INDEX(SR_mission_minutes!D$2:D$43,MATCH($A40,SR_mission_minutes!$A$2:$A$43)),"-")</f>
        <v>2364.2857142857142</v>
      </c>
      <c r="E40" s="128">
        <f>IFERROR(INDEX(lifespans_all!E$2:E$56,MATCH($A40,lifespans_all!$A$2:$A$56,0))*INDEX(SR_mission_minutes!E$2:E$43,MATCH($A40,SR_mission_minutes!$A$2:$A$43)),"-")</f>
        <v>2364.2857142857142</v>
      </c>
      <c r="F40" s="128">
        <f>IFERROR(INDEX(lifespans_all!F$2:F$56,MATCH($A40,lifespans_all!$A$2:$A$56,0))*INDEX(SR_mission_minutes!F$2:F$43,MATCH($A40,SR_mission_minutes!$A$2:$A$43)),"-")</f>
        <v>0</v>
      </c>
      <c r="G40" s="128">
        <f>IFERROR(INDEX(lifespans_all!G$2:G$56,MATCH($A40,lifespans_all!$A$2:$A$56,0))*INDEX(SR_mission_minutes!G$2:G$43,MATCH($A40,SR_mission_minutes!$A$2:$A$43)),"-")</f>
        <v>0</v>
      </c>
      <c r="H40" s="128">
        <f>IFERROR(INDEX(lifespans_all!H$2:H$56,MATCH($A40,lifespans_all!$A$2:$A$56,0))*INDEX(SR_mission_minutes!H$2:H$43,MATCH($A40,SR_mission_minutes!$A$2:$A$43)),"-")</f>
        <v>0</v>
      </c>
      <c r="I40" s="128">
        <f>IFERROR(INDEX(lifespans_all!I$2:I$56,MATCH($A40,lifespans_all!$A$2:$A$56,0))*INDEX(SR_mission_minutes!I$2:I$43,MATCH($A40,SR_mission_minutes!$A$2:$A$43)),"-")</f>
        <v>0</v>
      </c>
      <c r="J40" s="128">
        <f>IFERROR(INDEX(lifespans_all!J$2:J$56,MATCH($A40,lifespans_all!$A$2:$A$56,0))*INDEX(SR_mission_minutes!J$2:J$43,MATCH($A40,SR_mission_minutes!$A$2:$A$43)),"-")</f>
        <v>0</v>
      </c>
      <c r="K40" s="128">
        <f>IFERROR(INDEX(lifespans_all!K$2:K$56,MATCH($A40,lifespans_all!$A$2:$A$56,0))*INDEX(SR_mission_minutes!K$2:K$43,MATCH($A40,SR_mission_minutes!$A$2:$A$43)),"-")</f>
        <v>0</v>
      </c>
      <c r="L40" s="128">
        <f>IFERROR(INDEX(lifespans_all!L$2:L$56,MATCH($A40,lifespans_all!$A$2:$A$56,0))*INDEX(SR_mission_minutes!L$2:L$43,MATCH($A40,SR_mission_minutes!$A$2:$A$43)),"-")</f>
        <v>0</v>
      </c>
      <c r="M40" s="128">
        <f>IFERROR(INDEX(lifespans_all!M$2:M$56,MATCH($A40,lifespans_all!$A$2:$A$56,0))*INDEX(SR_mission_minutes!M$2:M$43,MATCH($A40,SR_mission_minutes!$A$2:$A$43)),"-")</f>
        <v>0</v>
      </c>
      <c r="N40" s="128">
        <f>IFERROR(INDEX(lifespans_all!N$2:N$56,MATCH($A40,lifespans_all!$A$2:$A$56,0))*INDEX(SR_mission_minutes!N$2:N$43,MATCH($A40,SR_mission_minutes!$A$2:$A$43)),"-")</f>
        <v>0</v>
      </c>
      <c r="O40" s="128">
        <f>IFERROR(INDEX(lifespans_all!O$2:O$56,MATCH($A40,lifespans_all!$A$2:$A$56,0))*INDEX(SR_mission_minutes!O$2:O$43,MATCH($A40,SR_mission_minutes!$A$2:$A$43)),"-")</f>
        <v>0</v>
      </c>
      <c r="P40" s="128">
        <f>IFERROR(INDEX(lifespans_all!P$2:P$56,MATCH($A40,lifespans_all!$A$2:$A$56,0))*INDEX(SR_mission_minutes!P$2:P$43,MATCH($A40,SR_mission_minutes!$A$2:$A$43)),"-")</f>
        <v>0</v>
      </c>
      <c r="Q40" s="128">
        <f>IFERROR(INDEX(lifespans_all!Q$2:Q$56,MATCH($A40,lifespans_all!$A$2:$A$56,0))*INDEX(SR_mission_minutes!Q$2:Q$43,MATCH($A40,SR_mission_minutes!$A$2:$A$43)),"-")</f>
        <v>0</v>
      </c>
      <c r="R40" s="128">
        <f>IFERROR(INDEX(lifespans_all!R$2:R$56,MATCH($A40,lifespans_all!$A$2:$A$56,0))*INDEX(SR_mission_minutes!R$2:R$43,MATCH($A40,SR_mission_minutes!$A$2:$A$43)),"-")</f>
        <v>0</v>
      </c>
      <c r="S40" s="128">
        <f>IFERROR(INDEX(lifespans_all!S$2:S$56,MATCH($A40,lifespans_all!$A$2:$A$56,0))*INDEX(SR_mission_minutes!S$2:S$43,MATCH($A40,SR_mission_minutes!$A$2:$A$43)),"-")</f>
        <v>0</v>
      </c>
      <c r="T40" s="128">
        <f>IFERROR(INDEX(lifespans_all!T$2:T$56,MATCH($A40,lifespans_all!$A$2:$A$56,0))*INDEX(SR_mission_minutes!T$2:T$43,MATCH($A40,SR_mission_minutes!$A$2:$A$43)),"-")</f>
        <v>0</v>
      </c>
      <c r="U40" s="128">
        <f>IFERROR(INDEX(lifespans_all!U$2:U$56,MATCH($A40,lifespans_all!$A$2:$A$56,0))*INDEX(SR_mission_minutes!U$2:U$43,MATCH($A40,SR_mission_minutes!$A$2:$A$43)),"-")</f>
        <v>0</v>
      </c>
      <c r="V40" s="128">
        <f>IFERROR(INDEX(lifespans_all!V$2:V$56,MATCH($A40,lifespans_all!$A$2:$A$56,0))*INDEX(SR_mission_minutes!V$2:V$43,MATCH($A40,SR_mission_minutes!$A$2:$A$43)),"-")</f>
        <v>0</v>
      </c>
      <c r="W40" s="128">
        <f>IFERROR(INDEX(lifespans_all!W$2:W$56,MATCH($A40,lifespans_all!$A$2:$A$56,0))*INDEX(SR_mission_minutes!W$2:W$43,MATCH($A40,SR_mission_minutes!$A$2:$A$43)),"-")</f>
        <v>0</v>
      </c>
    </row>
    <row r="41" spans="1:23" x14ac:dyDescent="0.25">
      <c r="A41" s="46" t="s">
        <v>53</v>
      </c>
      <c r="B41" s="46" t="s">
        <v>56</v>
      </c>
      <c r="C41" s="135"/>
      <c r="D41" s="128">
        <f>IFERROR(INDEX(lifespans_all!D$2:D$56,MATCH($A41,lifespans_all!$A$2:$A$56,0))*INDEX(SR_mission_minutes!D$2:D$43,MATCH($A41,SR_mission_minutes!$A$2:$A$43)),"-")</f>
        <v>2364.2857142857142</v>
      </c>
      <c r="E41" s="128">
        <f>IFERROR(INDEX(lifespans_all!E$2:E$56,MATCH($A41,lifespans_all!$A$2:$A$56,0))*INDEX(SR_mission_minutes!E$2:E$43,MATCH($A41,SR_mission_minutes!$A$2:$A$43)),"-")</f>
        <v>2364.2857142857142</v>
      </c>
      <c r="F41" s="128">
        <f>IFERROR(INDEX(lifespans_all!F$2:F$56,MATCH($A41,lifespans_all!$A$2:$A$56,0))*INDEX(SR_mission_minutes!F$2:F$43,MATCH($A41,SR_mission_minutes!$A$2:$A$43)),"-")</f>
        <v>0</v>
      </c>
      <c r="G41" s="128">
        <f>IFERROR(INDEX(lifespans_all!G$2:G$56,MATCH($A41,lifespans_all!$A$2:$A$56,0))*INDEX(SR_mission_minutes!G$2:G$43,MATCH($A41,SR_mission_minutes!$A$2:$A$43)),"-")</f>
        <v>0</v>
      </c>
      <c r="H41" s="128">
        <f>IFERROR(INDEX(lifespans_all!H$2:H$56,MATCH($A41,lifespans_all!$A$2:$A$56,0))*INDEX(SR_mission_minutes!H$2:H$43,MATCH($A41,SR_mission_minutes!$A$2:$A$43)),"-")</f>
        <v>0</v>
      </c>
      <c r="I41" s="128">
        <f>IFERROR(INDEX(lifespans_all!I$2:I$56,MATCH($A41,lifespans_all!$A$2:$A$56,0))*INDEX(SR_mission_minutes!I$2:I$43,MATCH($A41,SR_mission_minutes!$A$2:$A$43)),"-")</f>
        <v>0</v>
      </c>
      <c r="J41" s="128">
        <f>IFERROR(INDEX(lifespans_all!J$2:J$56,MATCH($A41,lifespans_all!$A$2:$A$56,0))*INDEX(SR_mission_minutes!J$2:J$43,MATCH($A41,SR_mission_minutes!$A$2:$A$43)),"-")</f>
        <v>0</v>
      </c>
      <c r="K41" s="128">
        <f>IFERROR(INDEX(lifespans_all!K$2:K$56,MATCH($A41,lifespans_all!$A$2:$A$56,0))*INDEX(SR_mission_minutes!K$2:K$43,MATCH($A41,SR_mission_minutes!$A$2:$A$43)),"-")</f>
        <v>0</v>
      </c>
      <c r="L41" s="128">
        <f>IFERROR(INDEX(lifespans_all!L$2:L$56,MATCH($A41,lifespans_all!$A$2:$A$56,0))*INDEX(SR_mission_minutes!L$2:L$43,MATCH($A41,SR_mission_minutes!$A$2:$A$43)),"-")</f>
        <v>0</v>
      </c>
      <c r="M41" s="128">
        <f>IFERROR(INDEX(lifespans_all!M$2:M$56,MATCH($A41,lifespans_all!$A$2:$A$56,0))*INDEX(SR_mission_minutes!M$2:M$43,MATCH($A41,SR_mission_minutes!$A$2:$A$43)),"-")</f>
        <v>0</v>
      </c>
      <c r="N41" s="128">
        <f>IFERROR(INDEX(lifespans_all!N$2:N$56,MATCH($A41,lifespans_all!$A$2:$A$56,0))*INDEX(SR_mission_minutes!N$2:N$43,MATCH($A41,SR_mission_minutes!$A$2:$A$43)),"-")</f>
        <v>0</v>
      </c>
      <c r="O41" s="128">
        <f>IFERROR(INDEX(lifespans_all!O$2:O$56,MATCH($A41,lifespans_all!$A$2:$A$56,0))*INDEX(SR_mission_minutes!O$2:O$43,MATCH($A41,SR_mission_minutes!$A$2:$A$43)),"-")</f>
        <v>0</v>
      </c>
      <c r="P41" s="128">
        <f>IFERROR(INDEX(lifespans_all!P$2:P$56,MATCH($A41,lifespans_all!$A$2:$A$56,0))*INDEX(SR_mission_minutes!P$2:P$43,MATCH($A41,SR_mission_minutes!$A$2:$A$43)),"-")</f>
        <v>0</v>
      </c>
      <c r="Q41" s="128">
        <f>IFERROR(INDEX(lifespans_all!Q$2:Q$56,MATCH($A41,lifespans_all!$A$2:$A$56,0))*INDEX(SR_mission_minutes!Q$2:Q$43,MATCH($A41,SR_mission_minutes!$A$2:$A$43)),"-")</f>
        <v>0</v>
      </c>
      <c r="R41" s="128">
        <f>IFERROR(INDEX(lifespans_all!R$2:R$56,MATCH($A41,lifespans_all!$A$2:$A$56,0))*INDEX(SR_mission_minutes!R$2:R$43,MATCH($A41,SR_mission_minutes!$A$2:$A$43)),"-")</f>
        <v>0</v>
      </c>
      <c r="S41" s="128">
        <f>IFERROR(INDEX(lifespans_all!S$2:S$56,MATCH($A41,lifespans_all!$A$2:$A$56,0))*INDEX(SR_mission_minutes!S$2:S$43,MATCH($A41,SR_mission_minutes!$A$2:$A$43)),"-")</f>
        <v>0</v>
      </c>
      <c r="T41" s="128">
        <f>IFERROR(INDEX(lifespans_all!T$2:T$56,MATCH($A41,lifespans_all!$A$2:$A$56,0))*INDEX(SR_mission_minutes!T$2:T$43,MATCH($A41,SR_mission_minutes!$A$2:$A$43)),"-")</f>
        <v>0</v>
      </c>
      <c r="U41" s="128">
        <f>IFERROR(INDEX(lifespans_all!U$2:U$56,MATCH($A41,lifespans_all!$A$2:$A$56,0))*INDEX(SR_mission_minutes!U$2:U$43,MATCH($A41,SR_mission_minutes!$A$2:$A$43)),"-")</f>
        <v>0</v>
      </c>
      <c r="V41" s="128">
        <f>IFERROR(INDEX(lifespans_all!V$2:V$56,MATCH($A41,lifespans_all!$A$2:$A$56,0))*INDEX(SR_mission_minutes!V$2:V$43,MATCH($A41,SR_mission_minutes!$A$2:$A$43)),"-")</f>
        <v>0</v>
      </c>
      <c r="W41" s="128">
        <f>IFERROR(INDEX(lifespans_all!W$2:W$56,MATCH($A41,lifespans_all!$A$2:$A$56,0))*INDEX(SR_mission_minutes!W$2:W$43,MATCH($A41,SR_mission_minutes!$A$2:$A$43)),"-")</f>
        <v>0</v>
      </c>
    </row>
    <row r="42" spans="1:23" x14ac:dyDescent="0.25">
      <c r="A42" s="46" t="s">
        <v>54</v>
      </c>
      <c r="B42" s="46" t="s">
        <v>57</v>
      </c>
      <c r="C42" s="135"/>
      <c r="D42" s="128">
        <f>IFERROR(INDEX(lifespans_all!D$2:D$56,MATCH($A42,lifespans_all!$A$2:$A$56,0))*INDEX(SR_mission_minutes!D$2:D$43,MATCH($A42,SR_mission_minutes!$A$2:$A$43)),"-")</f>
        <v>66700.388888888891</v>
      </c>
      <c r="E42" s="128">
        <f>IFERROR(INDEX(lifespans_all!E$2:E$56,MATCH($A42,lifespans_all!$A$2:$A$56,0))*INDEX(SR_mission_minutes!E$2:E$43,MATCH($A42,SR_mission_minutes!$A$2:$A$43)),"-")</f>
        <v>0</v>
      </c>
      <c r="F42" s="128">
        <f>IFERROR(INDEX(lifespans_all!F$2:F$56,MATCH($A42,lifespans_all!$A$2:$A$56,0))*INDEX(SR_mission_minutes!F$2:F$43,MATCH($A42,SR_mission_minutes!$A$2:$A$43)),"-")</f>
        <v>0</v>
      </c>
      <c r="G42" s="128">
        <f>IFERROR(INDEX(lifespans_all!G$2:G$56,MATCH($A42,lifespans_all!$A$2:$A$56,0))*INDEX(SR_mission_minutes!G$2:G$43,MATCH($A42,SR_mission_minutes!$A$2:$A$43)),"-")</f>
        <v>0</v>
      </c>
      <c r="H42" s="128">
        <f>IFERROR(INDEX(lifespans_all!H$2:H$56,MATCH($A42,lifespans_all!$A$2:$A$56,0))*INDEX(SR_mission_minutes!H$2:H$43,MATCH($A42,SR_mission_minutes!$A$2:$A$43)),"-")</f>
        <v>0</v>
      </c>
      <c r="I42" s="128">
        <f>IFERROR(INDEX(lifespans_all!I$2:I$56,MATCH($A42,lifespans_all!$A$2:$A$56,0))*INDEX(SR_mission_minutes!I$2:I$43,MATCH($A42,SR_mission_minutes!$A$2:$A$43)),"-")</f>
        <v>0</v>
      </c>
      <c r="J42" s="128">
        <f>IFERROR(INDEX(lifespans_all!J$2:J$56,MATCH($A42,lifespans_all!$A$2:$A$56,0))*INDEX(SR_mission_minutes!J$2:J$43,MATCH($A42,SR_mission_minutes!$A$2:$A$43)),"-")</f>
        <v>0</v>
      </c>
      <c r="K42" s="128">
        <f>IFERROR(INDEX(lifespans_all!K$2:K$56,MATCH($A42,lifespans_all!$A$2:$A$56,0))*INDEX(SR_mission_minutes!K$2:K$43,MATCH($A42,SR_mission_minutes!$A$2:$A$43)),"-")</f>
        <v>0</v>
      </c>
      <c r="L42" s="128">
        <f>IFERROR(INDEX(lifespans_all!L$2:L$56,MATCH($A42,lifespans_all!$A$2:$A$56,0))*INDEX(SR_mission_minutes!L$2:L$43,MATCH($A42,SR_mission_minutes!$A$2:$A$43)),"-")</f>
        <v>0</v>
      </c>
      <c r="M42" s="128">
        <f>IFERROR(INDEX(lifespans_all!M$2:M$56,MATCH($A42,lifespans_all!$A$2:$A$56,0))*INDEX(SR_mission_minutes!M$2:M$43,MATCH($A42,SR_mission_minutes!$A$2:$A$43)),"-")</f>
        <v>0</v>
      </c>
      <c r="N42" s="128">
        <f>IFERROR(INDEX(lifespans_all!N$2:N$56,MATCH($A42,lifespans_all!$A$2:$A$56,0))*INDEX(SR_mission_minutes!N$2:N$43,MATCH($A42,SR_mission_minutes!$A$2:$A$43)),"-")</f>
        <v>0</v>
      </c>
      <c r="O42" s="128">
        <f>IFERROR(INDEX(lifespans_all!O$2:O$56,MATCH($A42,lifespans_all!$A$2:$A$56,0))*INDEX(SR_mission_minutes!O$2:O$43,MATCH($A42,SR_mission_minutes!$A$2:$A$43)),"-")</f>
        <v>0</v>
      </c>
      <c r="P42" s="128">
        <f>IFERROR(INDEX(lifespans_all!P$2:P$56,MATCH($A42,lifespans_all!$A$2:$A$56,0))*INDEX(SR_mission_minutes!P$2:P$43,MATCH($A42,SR_mission_minutes!$A$2:$A$43)),"-")</f>
        <v>0</v>
      </c>
      <c r="Q42" s="128">
        <f>IFERROR(INDEX(lifespans_all!Q$2:Q$56,MATCH($A42,lifespans_all!$A$2:$A$56,0))*INDEX(SR_mission_minutes!Q$2:Q$43,MATCH($A42,SR_mission_minutes!$A$2:$A$43)),"-")</f>
        <v>0</v>
      </c>
      <c r="R42" s="128">
        <f>IFERROR(INDEX(lifespans_all!R$2:R$56,MATCH($A42,lifespans_all!$A$2:$A$56,0))*INDEX(SR_mission_minutes!R$2:R$43,MATCH($A42,SR_mission_minutes!$A$2:$A$43)),"-")</f>
        <v>0</v>
      </c>
      <c r="S42" s="128">
        <f>IFERROR(INDEX(lifespans_all!S$2:S$56,MATCH($A42,lifespans_all!$A$2:$A$56,0))*INDEX(SR_mission_minutes!S$2:S$43,MATCH($A42,SR_mission_minutes!$A$2:$A$43)),"-")</f>
        <v>0</v>
      </c>
      <c r="T42" s="128">
        <f>IFERROR(INDEX(lifespans_all!T$2:T$56,MATCH($A42,lifespans_all!$A$2:$A$56,0))*INDEX(SR_mission_minutes!T$2:T$43,MATCH($A42,SR_mission_minutes!$A$2:$A$43)),"-")</f>
        <v>0</v>
      </c>
      <c r="U42" s="128">
        <f>IFERROR(INDEX(lifespans_all!U$2:U$56,MATCH($A42,lifespans_all!$A$2:$A$56,0))*INDEX(SR_mission_minutes!U$2:U$43,MATCH($A42,SR_mission_minutes!$A$2:$A$43)),"-")</f>
        <v>0</v>
      </c>
      <c r="V42" s="128">
        <f>IFERROR(INDEX(lifespans_all!V$2:V$56,MATCH($A42,lifespans_all!$A$2:$A$56,0))*INDEX(SR_mission_minutes!V$2:V$43,MATCH($A42,SR_mission_minutes!$A$2:$A$43)),"-")</f>
        <v>0</v>
      </c>
      <c r="W42" s="128">
        <f>IFERROR(INDEX(lifespans_all!W$2:W$56,MATCH($A42,lifespans_all!$A$2:$A$56,0))*INDEX(SR_mission_minutes!W$2:W$43,MATCH($A42,SR_mission_minutes!$A$2:$A$43)),"-")</f>
        <v>0</v>
      </c>
    </row>
    <row r="43" spans="1:23" x14ac:dyDescent="0.25">
      <c r="A43" s="46" t="s">
        <v>55</v>
      </c>
      <c r="B43" s="46" t="s">
        <v>57</v>
      </c>
      <c r="C43" s="135"/>
      <c r="D43" s="128">
        <f>IFERROR(INDEX(lifespans_all!D$2:D$56,MATCH($A43,lifespans_all!$A$2:$A$56,0))*INDEX(SR_mission_minutes!D$2:D$43,MATCH($A43,SR_mission_minutes!$A$2:$A$43)),"-")</f>
        <v>33739.333333333336</v>
      </c>
      <c r="E43" s="128">
        <f>IFERROR(INDEX(lifespans_all!E$2:E$56,MATCH($A43,lifespans_all!$A$2:$A$56,0))*INDEX(SR_mission_minutes!E$2:E$43,MATCH($A43,SR_mission_minutes!$A$2:$A$43)),"-")</f>
        <v>33739.333333333336</v>
      </c>
      <c r="F43" s="128">
        <f>IFERROR(INDEX(lifespans_all!F$2:F$56,MATCH($A43,lifespans_all!$A$2:$A$56,0))*INDEX(SR_mission_minutes!F$2:F$43,MATCH($A43,SR_mission_minutes!$A$2:$A$43)),"-")</f>
        <v>33739.333333333336</v>
      </c>
      <c r="G43" s="128">
        <f>IFERROR(INDEX(lifespans_all!G$2:G$56,MATCH($A43,lifespans_all!$A$2:$A$56,0))*INDEX(SR_mission_minutes!G$2:G$43,MATCH($A43,SR_mission_minutes!$A$2:$A$43)),"-")</f>
        <v>33739.333333333336</v>
      </c>
      <c r="H43" s="128">
        <f>IFERROR(INDEX(lifespans_all!H$2:H$56,MATCH($A43,lifespans_all!$A$2:$A$56,0))*INDEX(SR_mission_minutes!H$2:H$43,MATCH($A43,SR_mission_minutes!$A$2:$A$43)),"-")</f>
        <v>0</v>
      </c>
      <c r="I43" s="128">
        <f>IFERROR(INDEX(lifespans_all!I$2:I$56,MATCH($A43,lifespans_all!$A$2:$A$56,0))*INDEX(SR_mission_minutes!I$2:I$43,MATCH($A43,SR_mission_minutes!$A$2:$A$43)),"-")</f>
        <v>0</v>
      </c>
      <c r="J43" s="128">
        <f>IFERROR(INDEX(lifespans_all!J$2:J$56,MATCH($A43,lifespans_all!$A$2:$A$56,0))*INDEX(SR_mission_minutes!J$2:J$43,MATCH($A43,SR_mission_minutes!$A$2:$A$43)),"-")</f>
        <v>0</v>
      </c>
      <c r="K43" s="128">
        <f>IFERROR(INDEX(lifespans_all!K$2:K$56,MATCH($A43,lifespans_all!$A$2:$A$56,0))*INDEX(SR_mission_minutes!K$2:K$43,MATCH($A43,SR_mission_minutes!$A$2:$A$43)),"-")</f>
        <v>0</v>
      </c>
      <c r="L43" s="128">
        <f>IFERROR(INDEX(lifespans_all!L$2:L$56,MATCH($A43,lifespans_all!$A$2:$A$56,0))*INDEX(SR_mission_minutes!L$2:L$43,MATCH($A43,SR_mission_minutes!$A$2:$A$43)),"-")</f>
        <v>0</v>
      </c>
      <c r="M43" s="128">
        <f>IFERROR(INDEX(lifespans_all!M$2:M$56,MATCH($A43,lifespans_all!$A$2:$A$56,0))*INDEX(SR_mission_minutes!M$2:M$43,MATCH($A43,SR_mission_minutes!$A$2:$A$43)),"-")</f>
        <v>0</v>
      </c>
      <c r="N43" s="128">
        <f>IFERROR(INDEX(lifespans_all!N$2:N$56,MATCH($A43,lifespans_all!$A$2:$A$56,0))*INDEX(SR_mission_minutes!N$2:N$43,MATCH($A43,SR_mission_minutes!$A$2:$A$43)),"-")</f>
        <v>0</v>
      </c>
      <c r="O43" s="128">
        <f>IFERROR(INDEX(lifespans_all!O$2:O$56,MATCH($A43,lifespans_all!$A$2:$A$56,0))*INDEX(SR_mission_minutes!O$2:O$43,MATCH($A43,SR_mission_minutes!$A$2:$A$43)),"-")</f>
        <v>0</v>
      </c>
      <c r="P43" s="128">
        <f>IFERROR(INDEX(lifespans_all!P$2:P$56,MATCH($A43,lifespans_all!$A$2:$A$56,0))*INDEX(SR_mission_minutes!P$2:P$43,MATCH($A43,SR_mission_minutes!$A$2:$A$43)),"-")</f>
        <v>0</v>
      </c>
      <c r="Q43" s="128">
        <f>IFERROR(INDEX(lifespans_all!Q$2:Q$56,MATCH($A43,lifespans_all!$A$2:$A$56,0))*INDEX(SR_mission_minutes!Q$2:Q$43,MATCH($A43,SR_mission_minutes!$A$2:$A$43)),"-")</f>
        <v>0</v>
      </c>
      <c r="R43" s="128">
        <f>IFERROR(INDEX(lifespans_all!R$2:R$56,MATCH($A43,lifespans_all!$A$2:$A$56,0))*INDEX(SR_mission_minutes!R$2:R$43,MATCH($A43,SR_mission_minutes!$A$2:$A$43)),"-")</f>
        <v>0</v>
      </c>
      <c r="S43" s="128">
        <f>IFERROR(INDEX(lifespans_all!S$2:S$56,MATCH($A43,lifespans_all!$A$2:$A$56,0))*INDEX(SR_mission_minutes!S$2:S$43,MATCH($A43,SR_mission_minutes!$A$2:$A$43)),"-")</f>
        <v>0</v>
      </c>
      <c r="T43" s="128">
        <f>IFERROR(INDEX(lifespans_all!T$2:T$56,MATCH($A43,lifespans_all!$A$2:$A$56,0))*INDEX(SR_mission_minutes!T$2:T$43,MATCH($A43,SR_mission_minutes!$A$2:$A$43)),"-")</f>
        <v>0</v>
      </c>
      <c r="U43" s="128">
        <f>IFERROR(INDEX(lifespans_all!U$2:U$56,MATCH($A43,lifespans_all!$A$2:$A$56,0))*INDEX(SR_mission_minutes!U$2:U$43,MATCH($A43,SR_mission_minutes!$A$2:$A$43)),"-")</f>
        <v>0</v>
      </c>
      <c r="V43" s="128">
        <f>IFERROR(INDEX(lifespans_all!V$2:V$56,MATCH($A43,lifespans_all!$A$2:$A$56,0))*INDEX(SR_mission_minutes!V$2:V$43,MATCH($A43,SR_mission_minutes!$A$2:$A$43)),"-")</f>
        <v>0</v>
      </c>
      <c r="W43" s="128">
        <f>IFERROR(INDEX(lifespans_all!W$2:W$56,MATCH($A43,lifespans_all!$A$2:$A$56,0))*INDEX(SR_mission_minutes!W$2:W$43,MATCH($A43,SR_mission_minutes!$A$2:$A$43)),"-")</f>
        <v>0</v>
      </c>
    </row>
    <row r="44" spans="1:23" x14ac:dyDescent="0.25">
      <c r="A44" s="38" t="s">
        <v>108</v>
      </c>
      <c r="B44" s="37" t="s">
        <v>59</v>
      </c>
      <c r="C44" s="38" t="s">
        <v>11</v>
      </c>
      <c r="D44" s="128">
        <f>IFERROR((INDEX(lifespans_all!D$49:D$56,MATCH($B44,lifespans_all!$B$49:$B$56,0))*SR_mission_minutes!D44)*POWER(1+(Settings!$C$31/100),D$1-2021),"-")</f>
        <v>11487.900000000001</v>
      </c>
      <c r="E44" s="128">
        <f>IFERROR((INDEX(lifespans_all!E$49:E$56,MATCH($B44,lifespans_all!$B$49:$B$56,0))*SR_mission_minutes!E44)*POWER(1+(Settings!$C$31/100),E$1-2021),"-")</f>
        <v>23435.316000000003</v>
      </c>
      <c r="F44" s="128">
        <f>IFERROR((INDEX(lifespans_all!F$49:F$56,MATCH($B44,lifespans_all!$B$49:$B$56,0))*SR_mission_minutes!F44)*POWER(1+(Settings!$C$31/100),F$1-2021),"-")</f>
        <v>35856.033480000006</v>
      </c>
      <c r="G44" s="128">
        <f>IFERROR((INDEX(lifespans_all!G$49:G$56,MATCH($B44,lifespans_all!$B$49:$B$56,0))*SR_mission_minutes!G44)*POWER(1+(Settings!$C$31/100),G$1-2021),"-")</f>
        <v>48764.205532800006</v>
      </c>
      <c r="H44" s="128">
        <f>IFERROR((INDEX(lifespans_all!H$49:H$56,MATCH($B44,lifespans_all!$B$49:$B$56,0))*SR_mission_minutes!H44)*POWER(1+(Settings!$C$31/100),H$1-2021),"-")</f>
        <v>62174.362054320001</v>
      </c>
      <c r="I44" s="128">
        <f>IFERROR((INDEX(lifespans_all!I$49:I$56,MATCH($B44,lifespans_all!$B$49:$B$56,0))*SR_mission_minutes!I44)*POWER(1+(Settings!$C$31/100),I$1-2021),"-")</f>
        <v>76101.419154487681</v>
      </c>
      <c r="J44" s="128">
        <f>IFERROR((INDEX(lifespans_all!J$49:J$56,MATCH($B44,lifespans_all!$B$49:$B$56,0))*SR_mission_minutes!J44)*POWER(1+(Settings!$C$31/100),J$1-2021),"-")</f>
        <v>90560.688793840338</v>
      </c>
      <c r="K44" s="128">
        <f>IFERROR((INDEX(lifespans_all!K$49:K$56,MATCH($B44,lifespans_all!$B$49:$B$56,0))*SR_mission_minutes!K44)*POWER(1+(Settings!$C$31/100),K$1-2021),"-")</f>
        <v>105567.88865110528</v>
      </c>
      <c r="L44" s="128">
        <f>IFERROR((INDEX(lifespans_all!L$49:L$56,MATCH($B44,lifespans_all!$B$49:$B$56,0))*SR_mission_minutes!L44)*POWER(1+(Settings!$C$31/100),L$1-2021),"-")</f>
        <v>121139.15222714332</v>
      </c>
      <c r="M44" s="128">
        <f>IFERROR((INDEX(lifespans_all!M$49:M$56,MATCH($B44,lifespans_all!$B$49:$B$56,0))*SR_mission_minutes!M44)*POWER(1+(Settings!$C$31/100),M$1-2021),"-")</f>
        <v>137291.03919076244</v>
      </c>
      <c r="N44" s="128">
        <f>IFERROR((INDEX(lifespans_all!N$49:N$56,MATCH($B44,lifespans_all!$B$49:$B$56,0))*SR_mission_minutes!N44)*POWER(1+(Settings!$C$31/100),N$1-2021),"-")</f>
        <v>420110.57992373308</v>
      </c>
      <c r="O44" s="128">
        <f>IFERROR((INDEX(lifespans_all!O$49:O$56,MATCH($B44,lifespans_all!$B$49:$B$56,0))*SR_mission_minutes!O44)*POWER(1+(Settings!$C$31/100),O$1-2021),"-")</f>
        <v>428512.79152220767</v>
      </c>
      <c r="P44" s="128">
        <f>IFERROR((INDEX(lifespans_all!P$49:P$56,MATCH($B44,lifespans_all!$B$49:$B$56,0))*SR_mission_minutes!P44)*POWER(1+(Settings!$C$31/100),P$1-2021),"-")</f>
        <v>437083.04735265189</v>
      </c>
      <c r="Q44" s="128">
        <f>IFERROR((INDEX(lifespans_all!Q$49:Q$56,MATCH($B44,lifespans_all!$B$49:$B$56,0))*SR_mission_minutes!Q44)*POWER(1+(Settings!$C$31/100),Q$1-2021),"-")</f>
        <v>445824.70829970494</v>
      </c>
      <c r="R44" s="128">
        <f>IFERROR((INDEX(lifespans_all!R$49:R$56,MATCH($B44,lifespans_all!$B$49:$B$56,0))*SR_mission_minutes!R44)*POWER(1+(Settings!$C$31/100),R$1-2021),"-")</f>
        <v>454741.20246569905</v>
      </c>
      <c r="S44" s="128">
        <f>IFERROR((INDEX(lifespans_all!S$49:S$56,MATCH($B44,lifespans_all!$B$49:$B$56,0))*SR_mission_minutes!S44)*POWER(1+(Settings!$C$31/100),S$1-2021),"-")</f>
        <v>463836.0265150129</v>
      </c>
      <c r="T44" s="128">
        <f>IFERROR((INDEX(lifespans_all!T$49:T$56,MATCH($B44,lifespans_all!$B$49:$B$56,0))*SR_mission_minutes!T44)*POWER(1+(Settings!$C$31/100),T$1-2021),"-")</f>
        <v>473112.74704531324</v>
      </c>
      <c r="U44" s="128">
        <f>IFERROR((INDEX(lifespans_all!U$49:U$56,MATCH($B44,lifespans_all!$B$49:$B$56,0))*SR_mission_minutes!U44)*POWER(1+(Settings!$C$31/100),U$1-2021),"-")</f>
        <v>482575.00198621955</v>
      </c>
      <c r="V44" s="128">
        <f>IFERROR((INDEX(lifespans_all!V$49:V$56,MATCH($B44,lifespans_all!$B$49:$B$56,0))*SR_mission_minutes!V44)*POWER(1+(Settings!$C$31/100),V$1-2021),"-")</f>
        <v>492226.50202594389</v>
      </c>
      <c r="W44" s="128">
        <f>IFERROR((INDEX(lifespans_all!W$49:W$56,MATCH($B44,lifespans_all!$B$49:$B$56,0))*SR_mission_minutes!W44)*POWER(1+(Settings!$C$31/100),W$1-2021),"-")</f>
        <v>502071.03206646274</v>
      </c>
    </row>
    <row r="45" spans="1:23" x14ac:dyDescent="0.25">
      <c r="A45" s="38" t="s">
        <v>108</v>
      </c>
      <c r="B45" s="37" t="s">
        <v>57</v>
      </c>
      <c r="C45" s="38" t="s">
        <v>11</v>
      </c>
      <c r="D45" s="128">
        <f>IFERROR((INDEX(lifespans_all!D$49:D$56,MATCH($B45,lifespans_all!$B$49:$B$56,0))*SR_mission_minutes!D45)*POWER(1+(Settings!$C$31/100),D$1-2021),"-")</f>
        <v>40020.23333333333</v>
      </c>
      <c r="E45" s="128">
        <f>IFERROR((INDEX(lifespans_all!E$49:E$56,MATCH($B45,lifespans_all!$B$49:$B$56,0))*SR_mission_minutes!E45)*POWER(1+(Settings!$C$31/100),E$1-2021),"-")</f>
        <v>217710.06933333335</v>
      </c>
      <c r="F45" s="128">
        <f>IFERROR((INDEX(lifespans_all!F$49:F$56,MATCH($B45,lifespans_all!$B$49:$B$56,0))*SR_mission_minutes!F45)*POWER(1+(Settings!$C$31/100),F$1-2021),"-")</f>
        <v>333096.40607999999</v>
      </c>
      <c r="G45" s="128">
        <f>IFERROR((INDEX(lifespans_all!G$49:G$56,MATCH($B45,lifespans_all!$B$49:$B$56,0))*SR_mission_minutes!G45)*POWER(1+(Settings!$C$31/100),G$1-2021),"-")</f>
        <v>523794.09856079996</v>
      </c>
      <c r="H45" s="128">
        <f>IFERROR((INDEX(lifespans_all!H$49:H$56,MATCH($B45,lifespans_all!$B$49:$B$56,0))*SR_mission_minutes!H45)*POWER(1+(Settings!$C$31/100),H$1-2021),"-")</f>
        <v>794185.10619623994</v>
      </c>
      <c r="I45" s="128">
        <f>IFERROR((INDEX(lifespans_all!I$49:I$56,MATCH($B45,lifespans_all!$B$49:$B$56,0))*SR_mission_minutes!I45)*POWER(1+(Settings!$C$31/100),I$1-2021),"-")</f>
        <v>1075182.2364976732</v>
      </c>
      <c r="J45" s="128">
        <f>IFERROR((INDEX(lifespans_all!J$49:J$56,MATCH($B45,lifespans_all!$B$49:$B$56,0))*SR_mission_minutes!J45)*POWER(1+(Settings!$C$31/100),J$1-2021),"-")</f>
        <v>1367101.5779686854</v>
      </c>
      <c r="K45" s="128">
        <f>IFERROR((INDEX(lifespans_all!K$49:K$56,MATCH($B45,lifespans_all!$B$49:$B$56,0))*SR_mission_minutes!K45)*POWER(1+(Settings!$C$31/100),K$1-2021),"-")</f>
        <v>1593649.8394606388</v>
      </c>
      <c r="L45" s="128">
        <f>IFERROR((INDEX(lifespans_all!L$49:L$56,MATCH($B45,lifespans_all!$B$49:$B$56,0))*SR_mission_minutes!L45)*POWER(1+(Settings!$C$31/100),L$1-2021),"-")</f>
        <v>1672412.918064751</v>
      </c>
      <c r="M45" s="128">
        <f>IFERROR((INDEX(lifespans_all!M$49:M$56,MATCH($B45,lifespans_all!$B$49:$B$56,0))*SR_mission_minutes!M45)*POWER(1+(Settings!$C$31/100),M$1-2021),"-")</f>
        <v>1753689.0598772438</v>
      </c>
      <c r="N45" s="128">
        <f>IFERROR((INDEX(lifespans_all!N$49:N$56,MATCH($B45,lifespans_all!$B$49:$B$56,0))*SR_mission_minutes!N45)*POWER(1+(Settings!$C$31/100),N$1-2021),"-")</f>
        <v>1788762.8410747887</v>
      </c>
      <c r="O45" s="128">
        <f>IFERROR((INDEX(lifespans_all!O$49:O$56,MATCH($B45,lifespans_all!$B$49:$B$56,0))*SR_mission_minutes!O45)*POWER(1+(Settings!$C$31/100),O$1-2021),"-")</f>
        <v>1824538.0978962842</v>
      </c>
      <c r="P45" s="128">
        <f>IFERROR((INDEX(lifespans_all!P$49:P$56,MATCH($B45,lifespans_all!$B$49:$B$56,0))*SR_mission_minutes!P45)*POWER(1+(Settings!$C$31/100),P$1-2021),"-")</f>
        <v>1861028.8598542102</v>
      </c>
      <c r="Q45" s="128">
        <f>IFERROR((INDEX(lifespans_all!Q$49:Q$56,MATCH($B45,lifespans_all!$B$49:$B$56,0))*SR_mission_minutes!Q45)*POWER(1+(Settings!$C$31/100),Q$1-2021),"-")</f>
        <v>1898249.4370512941</v>
      </c>
      <c r="R45" s="128">
        <f>IFERROR((INDEX(lifespans_all!R$49:R$56,MATCH($B45,lifespans_all!$B$49:$B$56,0))*SR_mission_minutes!R45)*POWER(1+(Settings!$C$31/100),R$1-2021),"-")</f>
        <v>1936214.4257923204</v>
      </c>
      <c r="S45" s="128">
        <f>IFERROR((INDEX(lifespans_all!S$49:S$56,MATCH($B45,lifespans_all!$B$49:$B$56,0))*SR_mission_minutes!S45)*POWER(1+(Settings!$C$31/100),S$1-2021),"-")</f>
        <v>1974938.7143081662</v>
      </c>
      <c r="T45" s="128">
        <f>IFERROR((INDEX(lifespans_all!T$49:T$56,MATCH($B45,lifespans_all!$B$49:$B$56,0))*SR_mission_minutes!T45)*POWER(1+(Settings!$C$31/100),T$1-2021),"-")</f>
        <v>2014437.4885943299</v>
      </c>
      <c r="U45" s="128">
        <f>IFERROR((INDEX(lifespans_all!U$49:U$56,MATCH($B45,lifespans_all!$B$49:$B$56,0))*SR_mission_minutes!U45)*POWER(1+(Settings!$C$31/100),U$1-2021),"-")</f>
        <v>2054726.2383662167</v>
      </c>
      <c r="V45" s="128">
        <f>IFERROR((INDEX(lifespans_all!V$49:V$56,MATCH($B45,lifespans_all!$B$49:$B$56,0))*SR_mission_minutes!V45)*POWER(1+(Settings!$C$31/100),V$1-2021),"-")</f>
        <v>2095820.7631335407</v>
      </c>
      <c r="W45" s="128">
        <f>IFERROR((INDEX(lifespans_all!W$49:W$56,MATCH($B45,lifespans_all!$B$49:$B$56,0))*SR_mission_minutes!W45)*POWER(1+(Settings!$C$31/100),W$1-2021),"-")</f>
        <v>2137737.1783962115</v>
      </c>
    </row>
    <row r="46" spans="1:23" x14ac:dyDescent="0.25">
      <c r="A46" s="38" t="s">
        <v>108</v>
      </c>
      <c r="B46" s="37" t="s">
        <v>56</v>
      </c>
      <c r="C46" s="38" t="s">
        <v>11</v>
      </c>
      <c r="D46" s="128">
        <f>IFERROR((INDEX(lifespans_all!D$49:D$56,MATCH($B46,lifespans_all!$B$49:$B$56,0))*SR_mission_minutes!D46)*POWER(1+(Settings!$C$31/100),D$1-2021),"-")</f>
        <v>472.85714285714289</v>
      </c>
      <c r="E46" s="128">
        <f>IFERROR((INDEX(lifespans_all!E$49:E$56,MATCH($B46,lifespans_all!$B$49:$B$56,0))*SR_mission_minutes!E46)*POWER(1+(Settings!$C$31/100),E$1-2021),"-")</f>
        <v>964.62857142857149</v>
      </c>
      <c r="F46" s="128">
        <f>IFERROR((INDEX(lifespans_all!F$49:F$56,MATCH($B46,lifespans_all!$B$49:$B$56,0))*SR_mission_minutes!F46)*POWER(1+(Settings!$C$31/100),F$1-2021),"-")</f>
        <v>11315.093142857142</v>
      </c>
      <c r="G46" s="128">
        <f>IFERROR((INDEX(lifespans_all!G$49:G$56,MATCH($B46,lifespans_all!$B$49:$B$56,0))*SR_mission_minutes!G46)*POWER(1+(Settings!$C$31/100),G$1-2021),"-")</f>
        <v>12043.194788571427</v>
      </c>
      <c r="H46" s="128">
        <f>IFERROR((INDEX(lifespans_all!H$49:H$56,MATCH($B46,lifespans_all!$B$49:$B$56,0))*SR_mission_minutes!H46)*POWER(1+(Settings!$C$31/100),H$1-2021),"-")</f>
        <v>12795.894462857143</v>
      </c>
      <c r="I46" s="128">
        <f>IFERROR((INDEX(lifespans_all!I$49:I$56,MATCH($B46,lifespans_all!$B$49:$B$56,0))*SR_mission_minutes!I46)*POWER(1+(Settings!$C$31/100),I$1-2021),"-")</f>
        <v>13573.884846198856</v>
      </c>
      <c r="J46" s="128">
        <f>IFERROR((INDEX(lifespans_all!J$49:J$56,MATCH($B46,lifespans_all!$B$49:$B$56,0))*SR_mission_minutes!J46)*POWER(1+(Settings!$C$31/100),J$1-2021),"-")</f>
        <v>14377.876487089097</v>
      </c>
      <c r="K46" s="128">
        <f>IFERROR((INDEX(lifespans_all!K$49:K$56,MATCH($B46,lifespans_all!$B$49:$B$56,0))*SR_mission_minutes!K46)*POWER(1+(Settings!$C$31/100),K$1-2021),"-")</f>
        <v>15208.598239676463</v>
      </c>
      <c r="L46" s="128">
        <f>IFERROR((INDEX(lifespans_all!L$49:L$56,MATCH($B46,lifespans_all!$B$49:$B$56,0))*SR_mission_minutes!L46)*POWER(1+(Settings!$C$31/100),L$1-2021),"-")</f>
        <v>16066.797711772493</v>
      </c>
      <c r="M46" s="128">
        <f>IFERROR((INDEX(lifespans_all!M$49:M$56,MATCH($B46,lifespans_all!$B$49:$B$56,0))*SR_mission_minutes!M46)*POWER(1+(Settings!$C$31/100),M$1-2021),"-")</f>
        <v>16953.241723456496</v>
      </c>
      <c r="N46" s="128">
        <f>IFERROR((INDEX(lifespans_all!N$49:N$56,MATCH($B46,lifespans_all!$B$49:$B$56,0))*SR_mission_minutes!N46)*POWER(1+(Settings!$C$31/100),N$1-2021),"-")</f>
        <v>17292.306557925625</v>
      </c>
      <c r="O46" s="128">
        <f>IFERROR((INDEX(lifespans_all!O$49:O$56,MATCH($B46,lifespans_all!$B$49:$B$56,0))*SR_mission_minutes!O46)*POWER(1+(Settings!$C$31/100),O$1-2021),"-")</f>
        <v>17638.152689084134</v>
      </c>
      <c r="P46" s="128">
        <f>IFERROR((INDEX(lifespans_all!P$49:P$56,MATCH($B46,lifespans_all!$B$49:$B$56,0))*SR_mission_minutes!P46)*POWER(1+(Settings!$C$31/100),P$1-2021),"-")</f>
        <v>17990.915742865822</v>
      </c>
      <c r="Q46" s="128">
        <f>IFERROR((INDEX(lifespans_all!Q$49:Q$56,MATCH($B46,lifespans_all!$B$49:$B$56,0))*SR_mission_minutes!Q46)*POWER(1+(Settings!$C$31/100),Q$1-2021),"-")</f>
        <v>18350.734057723137</v>
      </c>
      <c r="R46" s="128">
        <f>IFERROR((INDEX(lifespans_all!R$49:R$56,MATCH($B46,lifespans_all!$B$49:$B$56,0))*SR_mission_minutes!R46)*POWER(1+(Settings!$C$31/100),R$1-2021),"-")</f>
        <v>18717.748738877603</v>
      </c>
      <c r="S46" s="128">
        <f>IFERROR((INDEX(lifespans_all!S$49:S$56,MATCH($B46,lifespans_all!$B$49:$B$56,0))*SR_mission_minutes!S46)*POWER(1+(Settings!$C$31/100),S$1-2021),"-")</f>
        <v>19092.103713655149</v>
      </c>
      <c r="T46" s="128">
        <f>IFERROR((INDEX(lifespans_all!T$49:T$56,MATCH($B46,lifespans_all!$B$49:$B$56,0))*SR_mission_minutes!T46)*POWER(1+(Settings!$C$31/100),T$1-2021),"-")</f>
        <v>19473.945787928253</v>
      </c>
      <c r="U46" s="128">
        <f>IFERROR((INDEX(lifespans_all!U$49:U$56,MATCH($B46,lifespans_all!$B$49:$B$56,0))*SR_mission_minutes!U46)*POWER(1+(Settings!$C$31/100),U$1-2021),"-")</f>
        <v>19863.424703686822</v>
      </c>
      <c r="V46" s="128">
        <f>IFERROR((INDEX(lifespans_all!V$49:V$56,MATCH($B46,lifespans_all!$B$49:$B$56,0))*SR_mission_minutes!V46)*POWER(1+(Settings!$C$31/100),V$1-2021),"-")</f>
        <v>20260.693197760556</v>
      </c>
      <c r="W46" s="128">
        <f>IFERROR((INDEX(lifespans_all!W$49:W$56,MATCH($B46,lifespans_all!$B$49:$B$56,0))*SR_mission_minutes!W46)*POWER(1+(Settings!$C$31/100),W$1-2021),"-")</f>
        <v>20665.907061715767</v>
      </c>
    </row>
    <row r="47" spans="1:23" x14ac:dyDescent="0.25">
      <c r="A47" s="38" t="s">
        <v>108</v>
      </c>
      <c r="B47" s="37" t="s">
        <v>100</v>
      </c>
      <c r="C47" s="38" t="s">
        <v>11</v>
      </c>
      <c r="D47" s="128" t="str">
        <f>IFERROR((INDEX(lifespans_all!D$49:D$56,MATCH($B47,lifespans_all!$B$49:$B$56,0))*SR_mission_minutes!D47)*POWER(1+(Settings!$C$31/100),D$1-2021),"-")</f>
        <v>-</v>
      </c>
      <c r="E47" s="128" t="str">
        <f>IFERROR((INDEX(lifespans_all!E$49:E$56,MATCH($B47,lifespans_all!$B$49:$B$56,0))*SR_mission_minutes!E47)*POWER(1+(Settings!$C$31/100),E$1-2021),"-")</f>
        <v>-</v>
      </c>
      <c r="F47" s="128" t="str">
        <f>IFERROR((INDEX(lifespans_all!F$49:F$56,MATCH($B47,lifespans_all!$B$49:$B$56,0))*SR_mission_minutes!F47)*POWER(1+(Settings!$C$31/100),F$1-2021),"-")</f>
        <v>-</v>
      </c>
      <c r="G47" s="128" t="str">
        <f>IFERROR((INDEX(lifespans_all!G$49:G$56,MATCH($B47,lifespans_all!$B$49:$B$56,0))*SR_mission_minutes!G47)*POWER(1+(Settings!$C$31/100),G$1-2021),"-")</f>
        <v>-</v>
      </c>
      <c r="H47" s="128" t="str">
        <f>IFERROR((INDEX(lifespans_all!H$49:H$56,MATCH($B47,lifespans_all!$B$49:$B$56,0))*SR_mission_minutes!H47)*POWER(1+(Settings!$C$31/100),H$1-2021),"-")</f>
        <v>-</v>
      </c>
      <c r="I47" s="128" t="str">
        <f>IFERROR((INDEX(lifespans_all!I$49:I$56,MATCH($B47,lifespans_all!$B$49:$B$56,0))*SR_mission_minutes!I47)*POWER(1+(Settings!$C$31/100),I$1-2021),"-")</f>
        <v>-</v>
      </c>
      <c r="J47" s="128" t="str">
        <f>IFERROR((INDEX(lifespans_all!J$49:J$56,MATCH($B47,lifespans_all!$B$49:$B$56,0))*SR_mission_minutes!J47)*POWER(1+(Settings!$C$31/100),J$1-2021),"-")</f>
        <v>-</v>
      </c>
      <c r="K47" s="128" t="str">
        <f>IFERROR((INDEX(lifespans_all!K$49:K$56,MATCH($B47,lifespans_all!$B$49:$B$56,0))*SR_mission_minutes!K47)*POWER(1+(Settings!$C$31/100),K$1-2021),"-")</f>
        <v>-</v>
      </c>
      <c r="L47" s="128" t="str">
        <f>IFERROR((INDEX(lifespans_all!L$49:L$56,MATCH($B47,lifespans_all!$B$49:$B$56,0))*SR_mission_minutes!L47)*POWER(1+(Settings!$C$31/100),L$1-2021),"-")</f>
        <v>-</v>
      </c>
      <c r="M47" s="128" t="str">
        <f>IFERROR((INDEX(lifespans_all!M$49:M$56,MATCH($B47,lifespans_all!$B$49:$B$56,0))*SR_mission_minutes!M47)*POWER(1+(Settings!$C$31/100),M$1-2021),"-")</f>
        <v>-</v>
      </c>
      <c r="N47" s="128" t="str">
        <f>IFERROR((INDEX(lifespans_all!N$49:N$56,MATCH($B47,lifespans_all!$B$49:$B$56,0))*SR_mission_minutes!N47)*POWER(1+(Settings!$C$31/100),N$1-2021),"-")</f>
        <v>-</v>
      </c>
      <c r="O47" s="128" t="str">
        <f>IFERROR((INDEX(lifespans_all!O$49:O$56,MATCH($B47,lifespans_all!$B$49:$B$56,0))*SR_mission_minutes!O47)*POWER(1+(Settings!$C$31/100),O$1-2021),"-")</f>
        <v>-</v>
      </c>
      <c r="P47" s="128" t="str">
        <f>IFERROR((INDEX(lifespans_all!P$49:P$56,MATCH($B47,lifespans_all!$B$49:$B$56,0))*SR_mission_minutes!P47)*POWER(1+(Settings!$C$31/100),P$1-2021),"-")</f>
        <v>-</v>
      </c>
      <c r="Q47" s="128" t="str">
        <f>IFERROR((INDEX(lifespans_all!Q$49:Q$56,MATCH($B47,lifespans_all!$B$49:$B$56,0))*SR_mission_minutes!Q47)*POWER(1+(Settings!$C$31/100),Q$1-2021),"-")</f>
        <v>-</v>
      </c>
      <c r="R47" s="128" t="str">
        <f>IFERROR((INDEX(lifespans_all!R$49:R$56,MATCH($B47,lifespans_all!$B$49:$B$56,0))*SR_mission_minutes!R47)*POWER(1+(Settings!$C$31/100),R$1-2021),"-")</f>
        <v>-</v>
      </c>
      <c r="S47" s="128" t="str">
        <f>IFERROR((INDEX(lifespans_all!S$49:S$56,MATCH($B47,lifespans_all!$B$49:$B$56,0))*SR_mission_minutes!S47)*POWER(1+(Settings!$C$31/100),S$1-2021),"-")</f>
        <v>-</v>
      </c>
      <c r="T47" s="128" t="str">
        <f>IFERROR((INDEX(lifespans_all!T$49:T$56,MATCH($B47,lifespans_all!$B$49:$B$56,0))*SR_mission_minutes!T47)*POWER(1+(Settings!$C$31/100),T$1-2021),"-")</f>
        <v>-</v>
      </c>
      <c r="U47" s="128" t="str">
        <f>IFERROR((INDEX(lifespans_all!U$49:U$56,MATCH($B47,lifespans_all!$B$49:$B$56,0))*SR_mission_minutes!U47)*POWER(1+(Settings!$C$31/100),U$1-2021),"-")</f>
        <v>-</v>
      </c>
      <c r="V47" s="128" t="str">
        <f>IFERROR((INDEX(lifespans_all!V$49:V$56,MATCH($B47,lifespans_all!$B$49:$B$56,0))*SR_mission_minutes!V47)*POWER(1+(Settings!$C$31/100),V$1-2021),"-")</f>
        <v>-</v>
      </c>
      <c r="W47" s="128" t="str">
        <f>IFERROR((INDEX(lifespans_all!W$49:W$56,MATCH($B47,lifespans_all!$B$49:$B$56,0))*SR_mission_minutes!W47)*POWER(1+(Settings!$C$31/100),W$1-2021),"-")</f>
        <v>-</v>
      </c>
    </row>
    <row r="48" spans="1:23" x14ac:dyDescent="0.25">
      <c r="A48" s="38" t="s">
        <v>108</v>
      </c>
      <c r="B48" s="37" t="s">
        <v>60</v>
      </c>
      <c r="C48" s="38" t="s">
        <v>11</v>
      </c>
      <c r="D48" s="128">
        <f>IFERROR((INDEX(lifespans_all!D$49:D$56,MATCH($B48,lifespans_all!$B$49:$B$56,0))*SR_mission_minutes!D48)*POWER(1+(Settings!$C$31/100),D$1-2021),"-")</f>
        <v>0</v>
      </c>
      <c r="E48" s="128">
        <f>IFERROR((INDEX(lifespans_all!E$49:E$56,MATCH($B48,lifespans_all!$B$49:$B$56,0))*SR_mission_minutes!E48)*POWER(1+(Settings!$C$31/100),E$1-2021),"-")</f>
        <v>0</v>
      </c>
      <c r="F48" s="128">
        <f>IFERROR((INDEX(lifespans_all!F$49:F$56,MATCH($B48,lifespans_all!$B$49:$B$56,0))*SR_mission_minutes!F48)*POWER(1+(Settings!$C$31/100),F$1-2021),"-")</f>
        <v>0</v>
      </c>
      <c r="G48" s="128">
        <f>IFERROR((INDEX(lifespans_all!G$49:G$56,MATCH($B48,lifespans_all!$B$49:$B$56,0))*SR_mission_minutes!G48)*POWER(1+(Settings!$C$31/100),G$1-2021),"-")</f>
        <v>0</v>
      </c>
      <c r="H48" s="128">
        <f>IFERROR((INDEX(lifespans_all!H$49:H$56,MATCH($B48,lifespans_all!$B$49:$B$56,0))*SR_mission_minutes!H48)*POWER(1+(Settings!$C$31/100),H$1-2021),"-")</f>
        <v>498.46000967999998</v>
      </c>
      <c r="I48" s="128">
        <f>IFERROR((INDEX(lifespans_all!I$49:I$56,MATCH($B48,lifespans_all!$B$49:$B$56,0))*SR_mission_minutes!I48)*POWER(1+(Settings!$C$31/100),I$1-2021),"-")</f>
        <v>508.42920987360003</v>
      </c>
      <c r="J48" s="128">
        <f>IFERROR((INDEX(lifespans_all!J$49:J$56,MATCH($B48,lifespans_all!$B$49:$B$56,0))*SR_mission_minutes!J48)*POWER(1+(Settings!$C$31/100),J$1-2021),"-")</f>
        <v>518.59779407107203</v>
      </c>
      <c r="K48" s="128">
        <f>IFERROR((INDEX(lifespans_all!K$49:K$56,MATCH($B48,lifespans_all!$B$49:$B$56,0))*SR_mission_minutes!K48)*POWER(1+(Settings!$C$31/100),K$1-2021),"-")</f>
        <v>528.96974995249332</v>
      </c>
      <c r="L48" s="128">
        <f>IFERROR((INDEX(lifespans_all!L$49:L$56,MATCH($B48,lifespans_all!$B$49:$B$56,0))*SR_mission_minutes!L48)*POWER(1+(Settings!$C$31/100),L$1-2021),"-")</f>
        <v>539.54914495154333</v>
      </c>
      <c r="M48" s="128">
        <f>IFERROR((INDEX(lifespans_all!M$49:M$56,MATCH($B48,lifespans_all!$B$49:$B$56,0))*SR_mission_minutes!M48)*POWER(1+(Settings!$C$31/100),M$1-2021),"-")</f>
        <v>550.34012785057416</v>
      </c>
      <c r="N48" s="128">
        <f>IFERROR((INDEX(lifespans_all!N$49:N$56,MATCH($B48,lifespans_all!$B$49:$B$56,0))*SR_mission_minutes!N48)*POWER(1+(Settings!$C$31/100),N$1-2021),"-")</f>
        <v>561.34693040758566</v>
      </c>
      <c r="O48" s="128">
        <f>IFERROR((INDEX(lifespans_all!O$49:O$56,MATCH($B48,lifespans_all!$B$49:$B$56,0))*SR_mission_minutes!O48)*POWER(1+(Settings!$C$31/100),O$1-2021),"-")</f>
        <v>572.57386901573727</v>
      </c>
      <c r="P48" s="128">
        <f>IFERROR((INDEX(lifespans_all!P$49:P$56,MATCH($B48,lifespans_all!$B$49:$B$56,0))*SR_mission_minutes!P48)*POWER(1+(Settings!$C$31/100),P$1-2021),"-")</f>
        <v>584.0253463960521</v>
      </c>
      <c r="Q48" s="128">
        <f>IFERROR((INDEX(lifespans_all!Q$49:Q$56,MATCH($B48,lifespans_all!$B$49:$B$56,0))*SR_mission_minutes!Q48)*POWER(1+(Settings!$C$31/100),Q$1-2021),"-")</f>
        <v>595.70585332397309</v>
      </c>
      <c r="R48" s="128">
        <f>IFERROR((INDEX(lifespans_all!R$49:R$56,MATCH($B48,lifespans_all!$B$49:$B$56,0))*SR_mission_minutes!R48)*POWER(1+(Settings!$C$31/100),R$1-2021),"-")</f>
        <v>607.61997039045264</v>
      </c>
      <c r="S48" s="128">
        <f>IFERROR((INDEX(lifespans_all!S$49:S$56,MATCH($B48,lifespans_all!$B$49:$B$56,0))*SR_mission_minutes!S48)*POWER(1+(Settings!$C$31/100),S$1-2021),"-")</f>
        <v>619.77236979826148</v>
      </c>
      <c r="T48" s="128">
        <f>IFERROR((INDEX(lifespans_all!T$49:T$56,MATCH($B48,lifespans_all!$B$49:$B$56,0))*SR_mission_minutes!T48)*POWER(1+(Settings!$C$31/100),T$1-2021),"-")</f>
        <v>632.16781719422681</v>
      </c>
      <c r="U48" s="128">
        <f>IFERROR((INDEX(lifespans_all!U$49:U$56,MATCH($B48,lifespans_all!$B$49:$B$56,0))*SR_mission_minutes!U48)*POWER(1+(Settings!$C$31/100),U$1-2021),"-")</f>
        <v>644.81117353811146</v>
      </c>
      <c r="V48" s="128">
        <f>IFERROR((INDEX(lifespans_all!V$49:V$56,MATCH($B48,lifespans_all!$B$49:$B$56,0))*SR_mission_minutes!V48)*POWER(1+(Settings!$C$31/100),V$1-2021),"-")</f>
        <v>657.70739700887361</v>
      </c>
      <c r="W48" s="128">
        <f>IFERROR((INDEX(lifespans_all!W$49:W$56,MATCH($B48,lifespans_all!$B$49:$B$56,0))*SR_mission_minutes!W48)*POWER(1+(Settings!$C$31/100),W$1-2021),"-")</f>
        <v>670.86154494905099</v>
      </c>
    </row>
    <row r="49" spans="1:23" x14ac:dyDescent="0.25">
      <c r="A49" s="38" t="s">
        <v>108</v>
      </c>
      <c r="B49" s="37" t="s">
        <v>101</v>
      </c>
      <c r="C49" s="38" t="s">
        <v>11</v>
      </c>
      <c r="D49" s="128" t="str">
        <f>IFERROR((INDEX(lifespans_all!D$49:D$56,MATCH($B49,lifespans_all!$B$49:$B$56,0))*SR_mission_minutes!D49)*POWER(1+(Settings!$C$31/100),D$1-2021),"-")</f>
        <v>-</v>
      </c>
      <c r="E49" s="128" t="str">
        <f>IFERROR((INDEX(lifespans_all!E$49:E$56,MATCH($B49,lifespans_all!$B$49:$B$56,0))*SR_mission_minutes!E49)*POWER(1+(Settings!$C$31/100),E$1-2021),"-")</f>
        <v>-</v>
      </c>
      <c r="F49" s="128" t="str">
        <f>IFERROR((INDEX(lifespans_all!F$49:F$56,MATCH($B49,lifespans_all!$B$49:$B$56,0))*SR_mission_minutes!F49)*POWER(1+(Settings!$C$31/100),F$1-2021),"-")</f>
        <v>-</v>
      </c>
      <c r="G49" s="128" t="str">
        <f>IFERROR((INDEX(lifespans_all!G$49:G$56,MATCH($B49,lifespans_all!$B$49:$B$56,0))*SR_mission_minutes!G49)*POWER(1+(Settings!$C$31/100),G$1-2021),"-")</f>
        <v>-</v>
      </c>
      <c r="H49" s="128" t="str">
        <f>IFERROR((INDEX(lifespans_all!H$49:H$56,MATCH($B49,lifespans_all!$B$49:$B$56,0))*SR_mission_minutes!H49)*POWER(1+(Settings!$C$31/100),H$1-2021),"-")</f>
        <v>-</v>
      </c>
      <c r="I49" s="128" t="str">
        <f>IFERROR((INDEX(lifespans_all!I$49:I$56,MATCH($B49,lifespans_all!$B$49:$B$56,0))*SR_mission_minutes!I49)*POWER(1+(Settings!$C$31/100),I$1-2021),"-")</f>
        <v>-</v>
      </c>
      <c r="J49" s="128" t="str">
        <f>IFERROR((INDEX(lifespans_all!J$49:J$56,MATCH($B49,lifespans_all!$B$49:$B$56,0))*SR_mission_minutes!J49)*POWER(1+(Settings!$C$31/100),J$1-2021),"-")</f>
        <v>-</v>
      </c>
      <c r="K49" s="128" t="str">
        <f>IFERROR((INDEX(lifespans_all!K$49:K$56,MATCH($B49,lifespans_all!$B$49:$B$56,0))*SR_mission_minutes!K49)*POWER(1+(Settings!$C$31/100),K$1-2021),"-")</f>
        <v>-</v>
      </c>
      <c r="L49" s="128" t="str">
        <f>IFERROR((INDEX(lifespans_all!L$49:L$56,MATCH($B49,lifespans_all!$B$49:$B$56,0))*SR_mission_minutes!L49)*POWER(1+(Settings!$C$31/100),L$1-2021),"-")</f>
        <v>-</v>
      </c>
      <c r="M49" s="128" t="str">
        <f>IFERROR((INDEX(lifespans_all!M$49:M$56,MATCH($B49,lifespans_all!$B$49:$B$56,0))*SR_mission_minutes!M49)*POWER(1+(Settings!$C$31/100),M$1-2021),"-")</f>
        <v>-</v>
      </c>
      <c r="N49" s="128" t="str">
        <f>IFERROR((INDEX(lifespans_all!N$49:N$56,MATCH($B49,lifespans_all!$B$49:$B$56,0))*SR_mission_minutes!N49)*POWER(1+(Settings!$C$31/100),N$1-2021),"-")</f>
        <v>-</v>
      </c>
      <c r="O49" s="128" t="str">
        <f>IFERROR((INDEX(lifespans_all!O$49:O$56,MATCH($B49,lifespans_all!$B$49:$B$56,0))*SR_mission_minutes!O49)*POWER(1+(Settings!$C$31/100),O$1-2021),"-")</f>
        <v>-</v>
      </c>
      <c r="P49" s="128" t="str">
        <f>IFERROR((INDEX(lifespans_all!P$49:P$56,MATCH($B49,lifespans_all!$B$49:$B$56,0))*SR_mission_minutes!P49)*POWER(1+(Settings!$C$31/100),P$1-2021),"-")</f>
        <v>-</v>
      </c>
      <c r="Q49" s="128" t="str">
        <f>IFERROR((INDEX(lifespans_all!Q$49:Q$56,MATCH($B49,lifespans_all!$B$49:$B$56,0))*SR_mission_minutes!Q49)*POWER(1+(Settings!$C$31/100),Q$1-2021),"-")</f>
        <v>-</v>
      </c>
      <c r="R49" s="128" t="str">
        <f>IFERROR((INDEX(lifespans_all!R$49:R$56,MATCH($B49,lifespans_all!$B$49:$B$56,0))*SR_mission_minutes!R49)*POWER(1+(Settings!$C$31/100),R$1-2021),"-")</f>
        <v>-</v>
      </c>
      <c r="S49" s="128" t="str">
        <f>IFERROR((INDEX(lifespans_all!S$49:S$56,MATCH($B49,lifespans_all!$B$49:$B$56,0))*SR_mission_minutes!S49)*POWER(1+(Settings!$C$31/100),S$1-2021),"-")</f>
        <v>-</v>
      </c>
      <c r="T49" s="128" t="str">
        <f>IFERROR((INDEX(lifespans_all!T$49:T$56,MATCH($B49,lifespans_all!$B$49:$B$56,0))*SR_mission_minutes!T49)*POWER(1+(Settings!$C$31/100),T$1-2021),"-")</f>
        <v>-</v>
      </c>
      <c r="U49" s="128" t="str">
        <f>IFERROR((INDEX(lifespans_all!U$49:U$56,MATCH($B49,lifespans_all!$B$49:$B$56,0))*SR_mission_minutes!U49)*POWER(1+(Settings!$C$31/100),U$1-2021),"-")</f>
        <v>-</v>
      </c>
      <c r="V49" s="128" t="str">
        <f>IFERROR((INDEX(lifespans_all!V$49:V$56,MATCH($B49,lifespans_all!$B$49:$B$56,0))*SR_mission_minutes!V49)*POWER(1+(Settings!$C$31/100),V$1-2021),"-")</f>
        <v>-</v>
      </c>
      <c r="W49" s="128" t="str">
        <f>IFERROR((INDEX(lifespans_all!W$49:W$56,MATCH($B49,lifespans_all!$B$49:$B$56,0))*SR_mission_minutes!W49)*POWER(1+(Settings!$C$31/100),W$1-2021),"-")</f>
        <v>-</v>
      </c>
    </row>
    <row r="50" spans="1:23" x14ac:dyDescent="0.25">
      <c r="A50" s="38" t="s">
        <v>108</v>
      </c>
      <c r="B50" s="37" t="s">
        <v>58</v>
      </c>
      <c r="C50" s="38" t="s">
        <v>11</v>
      </c>
      <c r="D50" s="128">
        <f>IFERROR((INDEX(lifespans_all!D$49:D$56,MATCH($B50,lifespans_all!$B$49:$B$56,0))*SR_mission_minutes!D50)*POWER(1+(Settings!$C$31/100),D$1-2021),"-")</f>
        <v>458.8</v>
      </c>
      <c r="E50" s="128">
        <f>IFERROR((INDEX(lifespans_all!E$49:E$56,MATCH($B50,lifespans_all!$B$49:$B$56,0))*SR_mission_minutes!E50)*POWER(1+(Settings!$C$31/100),E$1-2021),"-")</f>
        <v>935.952</v>
      </c>
      <c r="F50" s="128">
        <f>IFERROR((INDEX(lifespans_all!F$49:F$56,MATCH($B50,lifespans_all!$B$49:$B$56,0))*SR_mission_minutes!F50)*POWER(1+(Settings!$C$31/100),F$1-2021),"-")</f>
        <v>1432.00656</v>
      </c>
      <c r="G50" s="128">
        <f>IFERROR((INDEX(lifespans_all!G$49:G$56,MATCH($B50,lifespans_all!$B$49:$B$56,0))*SR_mission_minutes!G50)*POWER(1+(Settings!$C$31/100),G$1-2021),"-")</f>
        <v>1947.5289215999999</v>
      </c>
      <c r="H50" s="128">
        <f>IFERROR((INDEX(lifespans_all!H$49:H$56,MATCH($B50,lifespans_all!$B$49:$B$56,0))*SR_mission_minutes!H50)*POWER(1+(Settings!$C$31/100),H$1-2021),"-")</f>
        <v>4966.1987500799996</v>
      </c>
      <c r="I50" s="128">
        <f>IFERROR((INDEX(lifespans_all!I$49:I$56,MATCH($B50,lifespans_all!$B$49:$B$56,0))*SR_mission_minutes!I50)*POWER(1+(Settings!$C$31/100),I$1-2021),"-")</f>
        <v>5572.0749975897606</v>
      </c>
      <c r="J50" s="128">
        <f>IFERROR((INDEX(lifespans_all!J$49:J$56,MATCH($B50,lifespans_all!$B$49:$B$56,0))*SR_mission_minutes!J50)*POWER(1+(Settings!$C$31/100),J$1-2021),"-")</f>
        <v>6200.1998154998782</v>
      </c>
      <c r="K50" s="128">
        <f>IFERROR((INDEX(lifespans_all!K$49:K$56,MATCH($B50,lifespans_all!$B$49:$B$56,0))*SR_mission_minutes!K50)*POWER(1+(Settings!$C$31/100),K$1-2021),"-")</f>
        <v>6851.2207961273643</v>
      </c>
      <c r="L50" s="128">
        <f>IFERROR((INDEX(lifespans_all!L$49:L$56,MATCH($B50,lifespans_all!$B$49:$B$56,0))*SR_mission_minutes!L50)*POWER(1+(Settings!$C$31/100),L$1-2021),"-")</f>
        <v>7525.8025360537513</v>
      </c>
      <c r="M50" s="128">
        <f>IFERROR((INDEX(lifespans_all!M$49:M$56,MATCH($B50,lifespans_all!$B$49:$B$56,0))*SR_mission_minutes!M50)*POWER(1+(Settings!$C$31/100),M$1-2021),"-")</f>
        <v>8224.6270572587437</v>
      </c>
      <c r="N50" s="128">
        <f>IFERROR((INDEX(lifespans_all!N$49:N$56,MATCH($B50,lifespans_all!$B$49:$B$56,0))*SR_mission_minutes!N50)*POWER(1+(Settings!$C$31/100),N$1-2021),"-")</f>
        <v>8389.1195984039186</v>
      </c>
      <c r="O50" s="128">
        <f>IFERROR((INDEX(lifespans_all!O$49:O$56,MATCH($B50,lifespans_all!$B$49:$B$56,0))*SR_mission_minutes!O50)*POWER(1+(Settings!$C$31/100),O$1-2021),"-")</f>
        <v>8556.9019903719945</v>
      </c>
      <c r="P50" s="128">
        <f>IFERROR((INDEX(lifespans_all!P$49:P$56,MATCH($B50,lifespans_all!$B$49:$B$56,0))*SR_mission_minutes!P50)*POWER(1+(Settings!$C$31/100),P$1-2021),"-")</f>
        <v>8728.0400301794361</v>
      </c>
      <c r="Q50" s="128">
        <f>IFERROR((INDEX(lifespans_all!Q$49:Q$56,MATCH($B50,lifespans_all!$B$49:$B$56,0))*SR_mission_minutes!Q50)*POWER(1+(Settings!$C$31/100),Q$1-2021),"-")</f>
        <v>8902.6008307830252</v>
      </c>
      <c r="R50" s="128">
        <f>IFERROR((INDEX(lifespans_all!R$49:R$56,MATCH($B50,lifespans_all!$B$49:$B$56,0))*SR_mission_minutes!R50)*POWER(1+(Settings!$C$31/100),R$1-2021),"-")</f>
        <v>9080.6528473986855</v>
      </c>
      <c r="S50" s="128">
        <f>IFERROR((INDEX(lifespans_all!S$49:S$56,MATCH($B50,lifespans_all!$B$49:$B$56,0))*SR_mission_minutes!S50)*POWER(1+(Settings!$C$31/100),S$1-2021),"-")</f>
        <v>9262.2659043466574</v>
      </c>
      <c r="T50" s="128">
        <f>IFERROR((INDEX(lifespans_all!T$49:T$56,MATCH($B50,lifespans_all!$B$49:$B$56,0))*SR_mission_minutes!T50)*POWER(1+(Settings!$C$31/100),T$1-2021),"-")</f>
        <v>9447.5112224335917</v>
      </c>
      <c r="U50" s="128">
        <f>IFERROR((INDEX(lifespans_all!U$49:U$56,MATCH($B50,lifespans_all!$B$49:$B$56,0))*SR_mission_minutes!U50)*POWER(1+(Settings!$C$31/100),U$1-2021),"-")</f>
        <v>9636.4614468822656</v>
      </c>
      <c r="V50" s="128">
        <f>IFERROR((INDEX(lifespans_all!V$49:V$56,MATCH($B50,lifespans_all!$B$49:$B$56,0))*SR_mission_minutes!V50)*POWER(1+(Settings!$C$31/100),V$1-2021),"-")</f>
        <v>9829.1906758199093</v>
      </c>
      <c r="W50" s="128">
        <f>IFERROR((INDEX(lifespans_all!W$49:W$56,MATCH($B50,lifespans_all!$B$49:$B$56,0))*SR_mission_minutes!W50)*POWER(1+(Settings!$C$31/100),W$1-2021),"-")</f>
        <v>10025.774489336307</v>
      </c>
    </row>
    <row r="51" spans="1:23" x14ac:dyDescent="0.25">
      <c r="A51" s="38" t="s">
        <v>108</v>
      </c>
      <c r="B51" s="37" t="s">
        <v>61</v>
      </c>
      <c r="C51" s="38" t="s">
        <v>11</v>
      </c>
      <c r="D51" s="128">
        <f>IFERROR((INDEX(lifespans_all!D$49:D$56,MATCH($B51,lifespans_all!$B$49:$B$56,0))*SR_mission_minutes!D51)*POWER(1+(Settings!$C$31/100),D$1-2021),"-")</f>
        <v>3373.9333333333338</v>
      </c>
      <c r="E51" s="128">
        <f>IFERROR((INDEX(lifespans_all!E$49:E$56,MATCH($B51,lifespans_all!$B$49:$B$56,0))*SR_mission_minutes!E51)*POWER(1+(Settings!$C$31/100),E$1-2021),"-")</f>
        <v>41296.944000000003</v>
      </c>
      <c r="F51" s="128">
        <f>IFERROR((INDEX(lifespans_all!F$49:F$56,MATCH($B51,lifespans_all!$B$49:$B$56,0))*SR_mission_minutes!F51)*POWER(1+(Settings!$C$31/100),F$1-2021),"-")</f>
        <v>45633.123120000004</v>
      </c>
      <c r="G51" s="128">
        <f>IFERROR((INDEX(lifespans_all!G$49:G$56,MATCH($B51,lifespans_all!$B$49:$B$56,0))*SR_mission_minutes!G51)*POWER(1+(Settings!$C$31/100),G$1-2021),"-")</f>
        <v>50126.230627199999</v>
      </c>
      <c r="H51" s="128">
        <f>IFERROR((INDEX(lifespans_all!H$49:H$56,MATCH($B51,lifespans_all!$B$49:$B$56,0))*SR_mission_minutes!H51)*POWER(1+(Settings!$C$31/100),H$1-2021),"-")</f>
        <v>54780.809185439997</v>
      </c>
      <c r="I51" s="128">
        <f>IFERROR((INDEX(lifespans_all!I$49:I$56,MATCH($B51,lifespans_all!$B$49:$B$56,0))*SR_mission_minutes!I51)*POWER(1+(Settings!$C$31/100),I$1-2021),"-")</f>
        <v>96852.470639857929</v>
      </c>
      <c r="J51" s="128">
        <f>IFERROR((INDEX(lifespans_all!J$49:J$56,MATCH($B51,lifespans_all!$B$49:$B$56,0))*SR_mission_minutes!J51)*POWER(1+(Settings!$C$31/100),J$1-2021),"-")</f>
        <v>102589.11697775722</v>
      </c>
      <c r="K51" s="128">
        <f>IFERROR((INDEX(lifespans_all!K$49:K$56,MATCH($B51,lifespans_all!$B$49:$B$56,0))*SR_mission_minutes!K51)*POWER(1+(Settings!$C$31/100),K$1-2021),"-")</f>
        <v>108516.48818091648</v>
      </c>
      <c r="L51" s="128">
        <f>IFERROR((INDEX(lifespans_all!L$49:L$56,MATCH($B51,lifespans_all!$B$49:$B$56,0))*SR_mission_minutes!L51)*POWER(1+(Settings!$C$31/100),L$1-2021),"-")</f>
        <v>114639.91858541107</v>
      </c>
      <c r="M51" s="128">
        <f>IFERROR((INDEX(lifespans_all!M$49:M$56,MATCH($B51,lifespans_all!$B$49:$B$56,0))*SR_mission_minutes!M51)*POWER(1+(Settings!$C$31/100),M$1-2021),"-")</f>
        <v>120964.87961081306</v>
      </c>
      <c r="N51" s="128">
        <f>IFERROR((INDEX(lifespans_all!N$49:N$56,MATCH($B51,lifespans_all!$B$49:$B$56,0))*SR_mission_minutes!N51)*POWER(1+(Settings!$C$31/100),N$1-2021),"-")</f>
        <v>123384.17720302932</v>
      </c>
      <c r="O51" s="128">
        <f>IFERROR((INDEX(lifespans_all!O$49:O$56,MATCH($B51,lifespans_all!$B$49:$B$56,0))*SR_mission_minutes!O51)*POWER(1+(Settings!$C$31/100),O$1-2021),"-")</f>
        <v>125851.86074708989</v>
      </c>
      <c r="P51" s="128">
        <f>IFERROR((INDEX(lifespans_all!P$49:P$56,MATCH($B51,lifespans_all!$B$49:$B$56,0))*SR_mission_minutes!P51)*POWER(1+(Settings!$C$31/100),P$1-2021),"-")</f>
        <v>128368.89796203171</v>
      </c>
      <c r="Q51" s="128">
        <f>IFERROR((INDEX(lifespans_all!Q$49:Q$56,MATCH($B51,lifespans_all!$B$49:$B$56,0))*SR_mission_minutes!Q51)*POWER(1+(Settings!$C$31/100),Q$1-2021),"-")</f>
        <v>130936.27592127233</v>
      </c>
      <c r="R51" s="128">
        <f>IFERROR((INDEX(lifespans_all!R$49:R$56,MATCH($B51,lifespans_all!$B$49:$B$56,0))*SR_mission_minutes!R51)*POWER(1+(Settings!$C$31/100),R$1-2021),"-")</f>
        <v>133555.00143969781</v>
      </c>
      <c r="S51" s="128">
        <f>IFERROR((INDEX(lifespans_all!S$49:S$56,MATCH($B51,lifespans_all!$B$49:$B$56,0))*SR_mission_minutes!S51)*POWER(1+(Settings!$C$31/100),S$1-2021),"-")</f>
        <v>136226.10146849172</v>
      </c>
      <c r="T51" s="128">
        <f>IFERROR((INDEX(lifespans_all!T$49:T$56,MATCH($B51,lifespans_all!$B$49:$B$56,0))*SR_mission_minutes!T51)*POWER(1+(Settings!$C$31/100),T$1-2021),"-")</f>
        <v>138950.62349786158</v>
      </c>
      <c r="U51" s="128">
        <f>IFERROR((INDEX(lifespans_all!U$49:U$56,MATCH($B51,lifespans_all!$B$49:$B$56,0))*SR_mission_minutes!U51)*POWER(1+(Settings!$C$31/100),U$1-2021),"-")</f>
        <v>141729.63596781882</v>
      </c>
      <c r="V51" s="128">
        <f>IFERROR((INDEX(lifespans_all!V$49:V$56,MATCH($B51,lifespans_all!$B$49:$B$56,0))*SR_mission_minutes!V51)*POWER(1+(Settings!$C$31/100),V$1-2021),"-")</f>
        <v>144564.22868717517</v>
      </c>
      <c r="W51" s="128">
        <f>IFERROR((INDEX(lifespans_all!W$49:W$56,MATCH($B51,lifespans_all!$B$49:$B$56,0))*SR_mission_minutes!W51)*POWER(1+(Settings!$C$31/100),W$1-2021),"-")</f>
        <v>147455.51326091867</v>
      </c>
    </row>
    <row r="52" spans="1:23" x14ac:dyDescent="0.25">
      <c r="A52" s="66"/>
      <c r="B52" s="66"/>
      <c r="C52" s="66"/>
      <c r="D52" s="143"/>
      <c r="E52" s="3"/>
      <c r="F52" s="3"/>
      <c r="G52" s="3"/>
      <c r="H52" s="3"/>
      <c r="I52" s="3"/>
      <c r="J52" s="3"/>
      <c r="K52" s="3"/>
      <c r="L52" s="3"/>
      <c r="M52" s="3"/>
      <c r="N52" s="3"/>
      <c r="O52" s="3"/>
      <c r="P52" s="3"/>
      <c r="Q52" s="3"/>
      <c r="R52" s="3"/>
      <c r="S52" s="3"/>
      <c r="T52" s="3"/>
      <c r="U52" s="3"/>
      <c r="V52" s="3"/>
      <c r="W52" s="3"/>
    </row>
    <row r="53" spans="1:23" x14ac:dyDescent="0.25">
      <c r="A53" s="66"/>
      <c r="B53" s="66"/>
      <c r="C53" s="66"/>
      <c r="D53" s="39">
        <f t="shared" ref="D53:V53" si="0">SUM(D2:D51)</f>
        <v>1731928.6365079368</v>
      </c>
      <c r="E53" s="39">
        <f t="shared" si="0"/>
        <v>1726617.3226031745</v>
      </c>
      <c r="F53" s="39">
        <f t="shared" si="0"/>
        <v>1862514.2179384124</v>
      </c>
      <c r="G53" s="39">
        <f t="shared" si="0"/>
        <v>1938456.0362087493</v>
      </c>
      <c r="H53" s="39">
        <f t="shared" si="0"/>
        <v>2061286.9973252837</v>
      </c>
      <c r="I53" s="39">
        <f t="shared" si="0"/>
        <v>2165836.1820123475</v>
      </c>
      <c r="J53" s="39">
        <f t="shared" si="0"/>
        <v>2279292.5578369433</v>
      </c>
      <c r="K53" s="39">
        <f t="shared" si="0"/>
        <v>2394866.7273006393</v>
      </c>
      <c r="L53" s="39">
        <f t="shared" si="0"/>
        <v>2496867.8604923054</v>
      </c>
      <c r="M53" s="39">
        <f t="shared" si="0"/>
        <v>2602216.9098096075</v>
      </c>
      <c r="N53" s="39">
        <f t="shared" si="0"/>
        <v>2808165.0935105104</v>
      </c>
      <c r="O53" s="39">
        <f t="shared" si="0"/>
        <v>2855335.1009362759</v>
      </c>
      <c r="P53" s="39">
        <f t="shared" si="0"/>
        <v>2903448.5085105575</v>
      </c>
      <c r="Q53" s="39">
        <f t="shared" si="0"/>
        <v>2952524.1842363235</v>
      </c>
      <c r="R53" s="39">
        <f t="shared" si="0"/>
        <v>3002581.3734766059</v>
      </c>
      <c r="S53" s="39">
        <f t="shared" si="0"/>
        <v>3053639.7065016935</v>
      </c>
      <c r="T53" s="39">
        <f t="shared" si="0"/>
        <v>3105719.2061872827</v>
      </c>
      <c r="U53" s="39">
        <f t="shared" si="0"/>
        <v>3158840.2958665849</v>
      </c>
      <c r="V53" s="39">
        <f t="shared" si="0"/>
        <v>3213023.8073394713</v>
      </c>
      <c r="W53" s="39">
        <f>SUM(W2:W51)</f>
        <v>3268290.989041816</v>
      </c>
    </row>
    <row r="54" spans="1:23" ht="14.4" thickBot="1" x14ac:dyDescent="0.3">
      <c r="B54" s="3" t="s">
        <v>8</v>
      </c>
      <c r="D54" s="40"/>
      <c r="E54" s="40"/>
      <c r="F54" s="40"/>
      <c r="G54" s="40"/>
      <c r="H54" s="40"/>
      <c r="I54" s="40"/>
      <c r="J54" s="40"/>
      <c r="K54" s="40"/>
      <c r="L54" s="40"/>
      <c r="M54" s="3"/>
      <c r="N54" s="3"/>
      <c r="O54" s="40"/>
      <c r="P54" s="40"/>
      <c r="Q54" s="40"/>
      <c r="R54" s="40"/>
      <c r="S54" s="40"/>
      <c r="T54" s="40"/>
      <c r="U54" s="40"/>
      <c r="V54" s="40"/>
      <c r="W54" s="40"/>
    </row>
    <row r="55" spans="1:23" x14ac:dyDescent="0.25">
      <c r="B55" s="75" t="s">
        <v>102</v>
      </c>
      <c r="D55" s="97">
        <v>2021</v>
      </c>
      <c r="E55" s="98">
        <v>2022</v>
      </c>
      <c r="F55" s="97">
        <v>2023</v>
      </c>
      <c r="G55" s="98">
        <v>2024</v>
      </c>
      <c r="H55" s="97">
        <v>2025</v>
      </c>
      <c r="I55" s="98">
        <v>2026</v>
      </c>
      <c r="J55" s="97">
        <v>2027</v>
      </c>
      <c r="K55" s="98">
        <v>2028</v>
      </c>
      <c r="L55" s="97">
        <v>2029</v>
      </c>
      <c r="M55" s="98">
        <v>2030</v>
      </c>
      <c r="N55" s="97">
        <v>2031</v>
      </c>
      <c r="O55" s="98">
        <v>2032</v>
      </c>
      <c r="P55" s="97">
        <v>2033</v>
      </c>
      <c r="Q55" s="98">
        <v>2034</v>
      </c>
      <c r="R55" s="97">
        <v>2035</v>
      </c>
      <c r="S55" s="98">
        <v>2036</v>
      </c>
      <c r="T55" s="97">
        <v>2037</v>
      </c>
      <c r="U55" s="98">
        <v>2038</v>
      </c>
      <c r="V55" s="97">
        <v>2039</v>
      </c>
      <c r="W55" s="98">
        <v>2040</v>
      </c>
    </row>
    <row r="56" spans="1:23" x14ac:dyDescent="0.25">
      <c r="B56" s="50" t="s">
        <v>59</v>
      </c>
      <c r="D56" s="100">
        <f>SUMIF($B2:$B51,$B56,D$2:D$51)</f>
        <v>471003.9</v>
      </c>
      <c r="E56" s="100">
        <f t="shared" ref="E56:H56" si="1">SUMIF($B2:$B51,$B56,E$2:E$51)</f>
        <v>482951.31599999999</v>
      </c>
      <c r="F56" s="100">
        <f t="shared" si="1"/>
        <v>495372.03347999998</v>
      </c>
      <c r="G56" s="100">
        <f t="shared" si="1"/>
        <v>508280.2055328</v>
      </c>
      <c r="H56" s="100">
        <f t="shared" si="1"/>
        <v>521690.36205431999</v>
      </c>
      <c r="I56" s="100">
        <f t="shared" ref="I56:W56" si="2">SUMIF($B2:$B51,$B56,I$2:I$51)</f>
        <v>535617.41915448767</v>
      </c>
      <c r="J56" s="100">
        <f t="shared" si="2"/>
        <v>550076.68879384035</v>
      </c>
      <c r="K56" s="100">
        <f t="shared" si="2"/>
        <v>565083.88865110534</v>
      </c>
      <c r="L56" s="100">
        <f t="shared" si="2"/>
        <v>580655.15222714329</v>
      </c>
      <c r="M56" s="100">
        <f t="shared" si="2"/>
        <v>596807.03919076244</v>
      </c>
      <c r="N56" s="100">
        <f t="shared" si="2"/>
        <v>764747.57992373314</v>
      </c>
      <c r="O56" s="100">
        <f t="shared" si="2"/>
        <v>773149.79152220767</v>
      </c>
      <c r="P56" s="100">
        <f t="shared" si="2"/>
        <v>781720.04735265183</v>
      </c>
      <c r="Q56" s="100">
        <f t="shared" si="2"/>
        <v>790461.70829970494</v>
      </c>
      <c r="R56" s="100">
        <f t="shared" si="2"/>
        <v>799378.20246569905</v>
      </c>
      <c r="S56" s="100">
        <f t="shared" si="2"/>
        <v>808473.02651501284</v>
      </c>
      <c r="T56" s="100">
        <f t="shared" si="2"/>
        <v>817749.74704531324</v>
      </c>
      <c r="U56" s="100">
        <f t="shared" si="2"/>
        <v>827212.00198621955</v>
      </c>
      <c r="V56" s="100">
        <f t="shared" si="2"/>
        <v>836863.50202594395</v>
      </c>
      <c r="W56" s="100">
        <f t="shared" si="2"/>
        <v>846708.03206646279</v>
      </c>
    </row>
    <row r="57" spans="1:23" x14ac:dyDescent="0.25">
      <c r="B57" s="50" t="s">
        <v>57</v>
      </c>
      <c r="D57" s="100">
        <f>SUMIF($B2:$B51,$B57,D$2:D$51)</f>
        <v>1140965.7888888889</v>
      </c>
      <c r="E57" s="100">
        <f t="shared" ref="E57:H57" si="3">SUMIF($B2:$B51,$B57,E$2:E$51)</f>
        <v>1118554.4582222223</v>
      </c>
      <c r="F57" s="100">
        <f t="shared" si="3"/>
        <v>1233940.7949688889</v>
      </c>
      <c r="G57" s="100">
        <f t="shared" si="3"/>
        <v>1291237.7096719111</v>
      </c>
      <c r="H57" s="100">
        <f t="shared" si="3"/>
        <v>1394488.6061962401</v>
      </c>
      <c r="I57" s="100">
        <f t="shared" ref="I57:W57" si="4">SUMIF($B2:$B51,$B57,I$2:I$51)</f>
        <v>1475384.5698310065</v>
      </c>
      <c r="J57" s="100">
        <f t="shared" si="4"/>
        <v>1567202.7446353522</v>
      </c>
      <c r="K57" s="100">
        <f t="shared" si="4"/>
        <v>1660350.2283495278</v>
      </c>
      <c r="L57" s="100">
        <f t="shared" si="4"/>
        <v>1739113.30695364</v>
      </c>
      <c r="M57" s="100">
        <f t="shared" si="4"/>
        <v>1820389.4487661328</v>
      </c>
      <c r="N57" s="100">
        <f t="shared" si="4"/>
        <v>1855463.2299636777</v>
      </c>
      <c r="O57" s="100">
        <f t="shared" si="4"/>
        <v>1891238.4867851732</v>
      </c>
      <c r="P57" s="100">
        <f t="shared" si="4"/>
        <v>1927729.2487430992</v>
      </c>
      <c r="Q57" s="100">
        <f t="shared" si="4"/>
        <v>1964949.8259401831</v>
      </c>
      <c r="R57" s="100">
        <f t="shared" si="4"/>
        <v>2002914.8146812094</v>
      </c>
      <c r="S57" s="100">
        <f t="shared" si="4"/>
        <v>2041639.1031970552</v>
      </c>
      <c r="T57" s="100">
        <f t="shared" si="4"/>
        <v>2081137.8774832189</v>
      </c>
      <c r="U57" s="100">
        <f t="shared" si="4"/>
        <v>2121426.6272551054</v>
      </c>
      <c r="V57" s="100">
        <f t="shared" si="4"/>
        <v>2162521.1520224297</v>
      </c>
      <c r="W57" s="100">
        <f t="shared" si="4"/>
        <v>2204437.5672851005</v>
      </c>
    </row>
    <row r="58" spans="1:23" x14ac:dyDescent="0.25">
      <c r="B58" s="50" t="s">
        <v>56</v>
      </c>
      <c r="D58" s="100">
        <f>SUMIF($B2:$B51,$B58,D$2:D$51)</f>
        <v>7565.7142857142862</v>
      </c>
      <c r="E58" s="100">
        <f t="shared" ref="E58:H58" si="5">SUMIF($B2:$B51,$B58,E$2:E$51)</f>
        <v>8057.4857142857145</v>
      </c>
      <c r="F58" s="100">
        <f t="shared" si="5"/>
        <v>11315.093142857142</v>
      </c>
      <c r="G58" s="100">
        <f t="shared" si="5"/>
        <v>12043.194788571427</v>
      </c>
      <c r="H58" s="100">
        <f t="shared" si="5"/>
        <v>12795.894462857143</v>
      </c>
      <c r="I58" s="100">
        <f t="shared" ref="I58:W58" si="6">SUMIF($B2:$B51,$B58,I$2:I$51)</f>
        <v>13573.884846198856</v>
      </c>
      <c r="J58" s="100">
        <f t="shared" si="6"/>
        <v>14377.876487089097</v>
      </c>
      <c r="K58" s="100">
        <f t="shared" si="6"/>
        <v>15208.598239676463</v>
      </c>
      <c r="L58" s="100">
        <f t="shared" si="6"/>
        <v>16066.797711772493</v>
      </c>
      <c r="M58" s="100">
        <f t="shared" si="6"/>
        <v>16953.241723456496</v>
      </c>
      <c r="N58" s="100">
        <f t="shared" si="6"/>
        <v>17292.306557925625</v>
      </c>
      <c r="O58" s="100">
        <f t="shared" si="6"/>
        <v>17638.152689084134</v>
      </c>
      <c r="P58" s="100">
        <f t="shared" si="6"/>
        <v>17990.915742865822</v>
      </c>
      <c r="Q58" s="100">
        <f t="shared" si="6"/>
        <v>18350.734057723137</v>
      </c>
      <c r="R58" s="100">
        <f t="shared" si="6"/>
        <v>18717.748738877603</v>
      </c>
      <c r="S58" s="100">
        <f t="shared" si="6"/>
        <v>19092.103713655149</v>
      </c>
      <c r="T58" s="100">
        <f t="shared" si="6"/>
        <v>19473.945787928253</v>
      </c>
      <c r="U58" s="100">
        <f t="shared" si="6"/>
        <v>19863.424703686822</v>
      </c>
      <c r="V58" s="100">
        <f t="shared" si="6"/>
        <v>20260.693197760556</v>
      </c>
      <c r="W58" s="100">
        <f t="shared" si="6"/>
        <v>20665.907061715767</v>
      </c>
    </row>
    <row r="59" spans="1:23" x14ac:dyDescent="0.25">
      <c r="B59" s="50" t="s">
        <v>100</v>
      </c>
      <c r="D59" s="100">
        <f>SUMIF($B2:$B51,$B59,D$2:D$51)</f>
        <v>0</v>
      </c>
      <c r="E59" s="100">
        <f t="shared" ref="E59:H59" si="7">SUMIF($B2:$B51,$B59,E$2:E$51)</f>
        <v>0</v>
      </c>
      <c r="F59" s="100">
        <f t="shared" si="7"/>
        <v>0</v>
      </c>
      <c r="G59" s="100">
        <f t="shared" si="7"/>
        <v>0</v>
      </c>
      <c r="H59" s="100">
        <f t="shared" si="7"/>
        <v>0</v>
      </c>
      <c r="I59" s="100">
        <f t="shared" ref="I59:W59" si="8">SUMIF($B2:$B51,$B59,I$2:I$51)</f>
        <v>0</v>
      </c>
      <c r="J59" s="100">
        <f t="shared" si="8"/>
        <v>0</v>
      </c>
      <c r="K59" s="100">
        <f t="shared" si="8"/>
        <v>0</v>
      </c>
      <c r="L59" s="100">
        <f t="shared" si="8"/>
        <v>0</v>
      </c>
      <c r="M59" s="100">
        <f t="shared" si="8"/>
        <v>0</v>
      </c>
      <c r="N59" s="100">
        <f t="shared" si="8"/>
        <v>0</v>
      </c>
      <c r="O59" s="100">
        <f t="shared" si="8"/>
        <v>0</v>
      </c>
      <c r="P59" s="100">
        <f t="shared" si="8"/>
        <v>0</v>
      </c>
      <c r="Q59" s="100">
        <f t="shared" si="8"/>
        <v>0</v>
      </c>
      <c r="R59" s="100">
        <f t="shared" si="8"/>
        <v>0</v>
      </c>
      <c r="S59" s="100">
        <f t="shared" si="8"/>
        <v>0</v>
      </c>
      <c r="T59" s="100">
        <f t="shared" si="8"/>
        <v>0</v>
      </c>
      <c r="U59" s="100">
        <f t="shared" si="8"/>
        <v>0</v>
      </c>
      <c r="V59" s="100">
        <f t="shared" si="8"/>
        <v>0</v>
      </c>
      <c r="W59" s="100">
        <f t="shared" si="8"/>
        <v>0</v>
      </c>
    </row>
    <row r="60" spans="1:23" x14ac:dyDescent="0.25">
      <c r="B60" s="50" t="s">
        <v>60</v>
      </c>
      <c r="D60" s="100">
        <f>SUMIF($B2:$B51,$B60,D$2:D$51)</f>
        <v>460.5</v>
      </c>
      <c r="E60" s="100">
        <f t="shared" ref="E60:H60" si="9">SUMIF($B2:$B51,$B60,E$2:E$51)</f>
        <v>460.5</v>
      </c>
      <c r="F60" s="100">
        <f t="shared" si="9"/>
        <v>460.5</v>
      </c>
      <c r="G60" s="100">
        <f t="shared" si="9"/>
        <v>460.5</v>
      </c>
      <c r="H60" s="100">
        <f t="shared" si="9"/>
        <v>498.46000967999998</v>
      </c>
      <c r="I60" s="100">
        <f t="shared" ref="I60:W60" si="10">SUMIF($B2:$B51,$B60,I$2:I$51)</f>
        <v>508.42920987360003</v>
      </c>
      <c r="J60" s="100">
        <f t="shared" si="10"/>
        <v>518.59779407107203</v>
      </c>
      <c r="K60" s="100">
        <f t="shared" si="10"/>
        <v>528.96974995249332</v>
      </c>
      <c r="L60" s="100">
        <f t="shared" si="10"/>
        <v>539.54914495154333</v>
      </c>
      <c r="M60" s="100">
        <f t="shared" si="10"/>
        <v>550.34012785057416</v>
      </c>
      <c r="N60" s="100">
        <f t="shared" si="10"/>
        <v>561.34693040758566</v>
      </c>
      <c r="O60" s="100">
        <f t="shared" si="10"/>
        <v>572.57386901573727</v>
      </c>
      <c r="P60" s="100">
        <f t="shared" si="10"/>
        <v>584.0253463960521</v>
      </c>
      <c r="Q60" s="100">
        <f t="shared" si="10"/>
        <v>595.70585332397309</v>
      </c>
      <c r="R60" s="100">
        <f t="shared" si="10"/>
        <v>607.61997039045264</v>
      </c>
      <c r="S60" s="100">
        <f t="shared" si="10"/>
        <v>619.77236979826148</v>
      </c>
      <c r="T60" s="100">
        <f t="shared" si="10"/>
        <v>632.16781719422681</v>
      </c>
      <c r="U60" s="100">
        <f t="shared" si="10"/>
        <v>644.81117353811146</v>
      </c>
      <c r="V60" s="100">
        <f t="shared" si="10"/>
        <v>657.70739700887361</v>
      </c>
      <c r="W60" s="100">
        <f t="shared" si="10"/>
        <v>670.86154494905099</v>
      </c>
    </row>
    <row r="61" spans="1:23" x14ac:dyDescent="0.25">
      <c r="B61" s="50" t="s">
        <v>101</v>
      </c>
      <c r="D61" s="100">
        <f>SUMIF($B2:$B51,$B61,D$2:D$51)</f>
        <v>0</v>
      </c>
      <c r="E61" s="100">
        <f t="shared" ref="E61:H61" si="11">SUMIF($B2:$B51,$B61,E$2:E$51)</f>
        <v>0</v>
      </c>
      <c r="F61" s="100">
        <f t="shared" si="11"/>
        <v>0</v>
      </c>
      <c r="G61" s="100">
        <f t="shared" si="11"/>
        <v>0</v>
      </c>
      <c r="H61" s="100">
        <f t="shared" si="11"/>
        <v>0</v>
      </c>
      <c r="I61" s="100">
        <f t="shared" ref="I61:W61" si="12">SUMIF($B2:$B51,$B61,I$2:I$51)</f>
        <v>0</v>
      </c>
      <c r="J61" s="100">
        <f t="shared" si="12"/>
        <v>0</v>
      </c>
      <c r="K61" s="100">
        <f t="shared" si="12"/>
        <v>0</v>
      </c>
      <c r="L61" s="100">
        <f t="shared" si="12"/>
        <v>0</v>
      </c>
      <c r="M61" s="100">
        <f t="shared" si="12"/>
        <v>0</v>
      </c>
      <c r="N61" s="100">
        <f t="shared" si="12"/>
        <v>0</v>
      </c>
      <c r="O61" s="100">
        <f t="shared" si="12"/>
        <v>0</v>
      </c>
      <c r="P61" s="100">
        <f t="shared" si="12"/>
        <v>0</v>
      </c>
      <c r="Q61" s="100">
        <f t="shared" si="12"/>
        <v>0</v>
      </c>
      <c r="R61" s="100">
        <f t="shared" si="12"/>
        <v>0</v>
      </c>
      <c r="S61" s="100">
        <f t="shared" si="12"/>
        <v>0</v>
      </c>
      <c r="T61" s="100">
        <f t="shared" si="12"/>
        <v>0</v>
      </c>
      <c r="U61" s="100">
        <f t="shared" si="12"/>
        <v>0</v>
      </c>
      <c r="V61" s="100">
        <f t="shared" si="12"/>
        <v>0</v>
      </c>
      <c r="W61" s="100">
        <f t="shared" si="12"/>
        <v>0</v>
      </c>
    </row>
    <row r="62" spans="1:23" x14ac:dyDescent="0.25">
      <c r="B62" s="50" t="s">
        <v>58</v>
      </c>
      <c r="D62" s="100">
        <f>SUMIF($B2:$B51,$B62,D$2:D$51)</f>
        <v>7340.8</v>
      </c>
      <c r="E62" s="100">
        <f t="shared" ref="E62:H62" si="13">SUMIF($B2:$B51,$B62,E$2:E$51)</f>
        <v>7817.9520000000002</v>
      </c>
      <c r="F62" s="100">
        <f t="shared" si="13"/>
        <v>8314.0065599999998</v>
      </c>
      <c r="G62" s="100">
        <f t="shared" si="13"/>
        <v>8829.5289216000001</v>
      </c>
      <c r="H62" s="100">
        <f t="shared" si="13"/>
        <v>9554.1987500799987</v>
      </c>
      <c r="I62" s="100">
        <f t="shared" ref="I62:W62" si="14">SUMIF($B2:$B51,$B62,I$2:I$51)</f>
        <v>10160.07499758976</v>
      </c>
      <c r="J62" s="100">
        <f t="shared" si="14"/>
        <v>10788.199815499878</v>
      </c>
      <c r="K62" s="100">
        <f t="shared" si="14"/>
        <v>11439.220796127363</v>
      </c>
      <c r="L62" s="100">
        <f t="shared" si="14"/>
        <v>12113.80253605375</v>
      </c>
      <c r="M62" s="100">
        <f t="shared" si="14"/>
        <v>12812.627057258744</v>
      </c>
      <c r="N62" s="100">
        <f t="shared" si="14"/>
        <v>12977.119598403919</v>
      </c>
      <c r="O62" s="100">
        <f t="shared" si="14"/>
        <v>13144.901990371995</v>
      </c>
      <c r="P62" s="100">
        <f t="shared" si="14"/>
        <v>13316.040030179436</v>
      </c>
      <c r="Q62" s="100">
        <f t="shared" si="14"/>
        <v>13490.600830783025</v>
      </c>
      <c r="R62" s="100">
        <f t="shared" si="14"/>
        <v>13668.652847398685</v>
      </c>
      <c r="S62" s="100">
        <f t="shared" si="14"/>
        <v>13850.265904346657</v>
      </c>
      <c r="T62" s="100">
        <f t="shared" si="14"/>
        <v>14035.511222433592</v>
      </c>
      <c r="U62" s="100">
        <f t="shared" si="14"/>
        <v>14224.461446882266</v>
      </c>
      <c r="V62" s="100">
        <f t="shared" si="14"/>
        <v>14417.190675819909</v>
      </c>
      <c r="W62" s="100">
        <f t="shared" si="14"/>
        <v>14613.774489336307</v>
      </c>
    </row>
    <row r="63" spans="1:23" ht="14.4" thickBot="1" x14ac:dyDescent="0.3">
      <c r="B63" s="56" t="s">
        <v>61</v>
      </c>
      <c r="D63" s="100">
        <f>SUMIF($B2:$B51,$B63,D$2:D$51)</f>
        <v>104591.93333333333</v>
      </c>
      <c r="E63" s="100">
        <f t="shared" ref="E63:H63" si="15">SUMIF($B2:$B51,$B63,E$2:E$51)</f>
        <v>108775.61066666667</v>
      </c>
      <c r="F63" s="100">
        <f t="shared" si="15"/>
        <v>113111.78978666668</v>
      </c>
      <c r="G63" s="100">
        <f t="shared" si="15"/>
        <v>117604.89729386667</v>
      </c>
      <c r="H63" s="100">
        <f t="shared" si="15"/>
        <v>122259.47585210667</v>
      </c>
      <c r="I63" s="100">
        <f t="shared" ref="I63:W63" si="16">SUMIF($B2:$B51,$B63,I$2:I$51)</f>
        <v>130591.80397319127</v>
      </c>
      <c r="J63" s="100">
        <f t="shared" si="16"/>
        <v>136328.45031109056</v>
      </c>
      <c r="K63" s="100">
        <f t="shared" si="16"/>
        <v>142255.82151424981</v>
      </c>
      <c r="L63" s="100">
        <f t="shared" si="16"/>
        <v>148379.25191874441</v>
      </c>
      <c r="M63" s="100">
        <f t="shared" si="16"/>
        <v>154704.21294414639</v>
      </c>
      <c r="N63" s="100">
        <f t="shared" si="16"/>
        <v>157123.51053636265</v>
      </c>
      <c r="O63" s="100">
        <f t="shared" si="16"/>
        <v>159591.19408042321</v>
      </c>
      <c r="P63" s="100">
        <f t="shared" si="16"/>
        <v>162108.23129536505</v>
      </c>
      <c r="Q63" s="100">
        <f t="shared" si="16"/>
        <v>164675.60925460566</v>
      </c>
      <c r="R63" s="100">
        <f t="shared" si="16"/>
        <v>167294.33477303115</v>
      </c>
      <c r="S63" s="100">
        <f t="shared" si="16"/>
        <v>169965.43480182506</v>
      </c>
      <c r="T63" s="100">
        <f t="shared" si="16"/>
        <v>172689.95683119493</v>
      </c>
      <c r="U63" s="100">
        <f t="shared" si="16"/>
        <v>175468.96930115216</v>
      </c>
      <c r="V63" s="100">
        <f t="shared" si="16"/>
        <v>178303.56202050851</v>
      </c>
      <c r="W63" s="100">
        <f t="shared" si="16"/>
        <v>181194.84659425201</v>
      </c>
    </row>
    <row r="64" spans="1:23" x14ac:dyDescent="0.25">
      <c r="D64" s="40"/>
      <c r="E64" s="40"/>
      <c r="F64" s="40"/>
      <c r="G64" s="40"/>
      <c r="H64" s="40"/>
      <c r="I64" s="40"/>
      <c r="J64" s="40"/>
      <c r="K64" s="40"/>
      <c r="L64" s="40"/>
      <c r="M64" s="41"/>
      <c r="N64" s="40"/>
      <c r="O64" s="40"/>
      <c r="P64" s="40"/>
      <c r="Q64" s="40"/>
      <c r="R64" s="40"/>
      <c r="S64" s="40"/>
      <c r="T64" s="40"/>
      <c r="U64" s="40"/>
      <c r="V64" s="40"/>
      <c r="W64" s="40"/>
    </row>
    <row r="65" spans="1:23" x14ac:dyDescent="0.25">
      <c r="D65" s="40">
        <f>SUM(D56:D63)</f>
        <v>1731928.6365079365</v>
      </c>
      <c r="E65" s="40">
        <f t="shared" ref="E65:V65" si="17">SUM(E56:E63)</f>
        <v>1726617.3226031745</v>
      </c>
      <c r="F65" s="40">
        <f t="shared" si="17"/>
        <v>1862514.2179384124</v>
      </c>
      <c r="G65" s="40">
        <f t="shared" si="17"/>
        <v>1938456.0362087491</v>
      </c>
      <c r="H65" s="40">
        <f t="shared" si="17"/>
        <v>2061286.9973252839</v>
      </c>
      <c r="I65" s="40">
        <f t="shared" si="17"/>
        <v>2165836.1820123475</v>
      </c>
      <c r="J65" s="40">
        <f t="shared" si="17"/>
        <v>2279292.5578369433</v>
      </c>
      <c r="K65" s="40">
        <f t="shared" si="17"/>
        <v>2394866.7273006393</v>
      </c>
      <c r="L65" s="40">
        <f t="shared" si="17"/>
        <v>2496867.8604923054</v>
      </c>
      <c r="M65" s="41">
        <f t="shared" si="17"/>
        <v>2602216.9098096075</v>
      </c>
      <c r="N65" s="40">
        <f t="shared" si="17"/>
        <v>2808165.0935105104</v>
      </c>
      <c r="O65" s="40">
        <f t="shared" si="17"/>
        <v>2855335.1009362759</v>
      </c>
      <c r="P65" s="40">
        <f t="shared" si="17"/>
        <v>2903448.5085105575</v>
      </c>
      <c r="Q65" s="40">
        <f t="shared" si="17"/>
        <v>2952524.1842363239</v>
      </c>
      <c r="R65" s="40">
        <f t="shared" si="17"/>
        <v>3002581.3734766063</v>
      </c>
      <c r="S65" s="40">
        <f t="shared" si="17"/>
        <v>3053639.706501693</v>
      </c>
      <c r="T65" s="40">
        <f t="shared" si="17"/>
        <v>3105719.2061872827</v>
      </c>
      <c r="U65" s="40">
        <f t="shared" si="17"/>
        <v>3158840.2958665844</v>
      </c>
      <c r="V65" s="40">
        <f t="shared" si="17"/>
        <v>3213023.8073394718</v>
      </c>
      <c r="W65" s="40">
        <f>SUM(W56:W63)</f>
        <v>3268290.9890418164</v>
      </c>
    </row>
    <row r="66" spans="1:23" x14ac:dyDescent="0.25">
      <c r="D66" s="40"/>
      <c r="E66" s="40"/>
      <c r="F66" s="40"/>
      <c r="G66" s="40"/>
      <c r="H66" s="40"/>
      <c r="I66" s="40"/>
      <c r="J66" s="40"/>
      <c r="K66" s="40"/>
      <c r="L66" s="40"/>
      <c r="M66" s="41"/>
      <c r="N66" s="3"/>
      <c r="O66" s="40"/>
      <c r="P66" s="40"/>
      <c r="Q66" s="40"/>
      <c r="R66" s="40"/>
      <c r="S66" s="40"/>
      <c r="T66" s="40"/>
      <c r="U66" s="40"/>
      <c r="V66" s="40"/>
      <c r="W66" s="40"/>
    </row>
    <row r="67" spans="1:23" ht="14.4" thickBot="1" x14ac:dyDescent="0.3">
      <c r="B67" s="3" t="s">
        <v>8</v>
      </c>
      <c r="D67" s="40"/>
      <c r="E67" s="40"/>
      <c r="F67" s="40"/>
      <c r="G67" s="40"/>
      <c r="H67" s="40"/>
      <c r="I67" s="40"/>
      <c r="J67" s="40"/>
      <c r="K67" s="40"/>
      <c r="L67" s="40"/>
      <c r="M67" s="41"/>
      <c r="N67" s="3"/>
      <c r="O67" s="40"/>
      <c r="P67" s="40"/>
      <c r="Q67" s="40"/>
      <c r="R67" s="40"/>
      <c r="S67" s="40"/>
      <c r="T67" s="40"/>
      <c r="U67" s="40"/>
      <c r="V67" s="40"/>
      <c r="W67" s="40"/>
    </row>
    <row r="68" spans="1:23" x14ac:dyDescent="0.25">
      <c r="B68" s="75" t="s">
        <v>102</v>
      </c>
      <c r="D68" s="97">
        <v>2021</v>
      </c>
      <c r="E68" s="97">
        <v>2022</v>
      </c>
      <c r="F68" s="97">
        <v>2023</v>
      </c>
      <c r="G68" s="97">
        <v>2024</v>
      </c>
      <c r="H68" s="97">
        <v>2025</v>
      </c>
      <c r="I68" s="97">
        <v>2026</v>
      </c>
      <c r="J68" s="97">
        <v>2027</v>
      </c>
      <c r="K68" s="97">
        <v>2028</v>
      </c>
      <c r="L68" s="97">
        <v>2029</v>
      </c>
      <c r="M68" s="97">
        <v>2030</v>
      </c>
      <c r="N68" s="97">
        <v>2031</v>
      </c>
      <c r="O68" s="97">
        <v>2032</v>
      </c>
      <c r="P68" s="97">
        <v>2033</v>
      </c>
      <c r="Q68" s="97">
        <v>2034</v>
      </c>
      <c r="R68" s="97">
        <v>2035</v>
      </c>
      <c r="S68" s="97">
        <v>2036</v>
      </c>
      <c r="T68" s="97">
        <v>2037</v>
      </c>
      <c r="U68" s="97">
        <v>2038</v>
      </c>
      <c r="V68" s="97">
        <v>2039</v>
      </c>
      <c r="W68" s="97">
        <v>2040</v>
      </c>
    </row>
    <row r="69" spans="1:23" x14ac:dyDescent="0.25">
      <c r="B69" s="50" t="s">
        <v>115</v>
      </c>
      <c r="D69" s="42">
        <f>SUM(D2:D43)</f>
        <v>1676114.912698413</v>
      </c>
      <c r="E69" s="42">
        <f t="shared" ref="E69:W69" si="18">SUM(E2:E43)</f>
        <v>1442274.4126984125</v>
      </c>
      <c r="F69" s="42">
        <f t="shared" si="18"/>
        <v>1435181.5555555555</v>
      </c>
      <c r="G69" s="42">
        <f t="shared" si="18"/>
        <v>1301780.7777777778</v>
      </c>
      <c r="H69" s="42">
        <f t="shared" si="18"/>
        <v>1131886.1666666667</v>
      </c>
      <c r="I69" s="42">
        <f t="shared" si="18"/>
        <v>898045.66666666674</v>
      </c>
      <c r="J69" s="42">
        <f t="shared" si="18"/>
        <v>697944.49999999988</v>
      </c>
      <c r="K69" s="42">
        <f t="shared" si="18"/>
        <v>564543.72222222225</v>
      </c>
      <c r="L69" s="42">
        <f t="shared" si="18"/>
        <v>564543.72222222225</v>
      </c>
      <c r="M69" s="42">
        <f t="shared" si="18"/>
        <v>564543.72222222225</v>
      </c>
      <c r="N69" s="42">
        <f t="shared" si="18"/>
        <v>449664.72222222225</v>
      </c>
      <c r="O69" s="42">
        <f t="shared" si="18"/>
        <v>449664.72222222225</v>
      </c>
      <c r="P69" s="42">
        <f t="shared" si="18"/>
        <v>449664.72222222225</v>
      </c>
      <c r="Q69" s="42">
        <f t="shared" si="18"/>
        <v>449664.72222222225</v>
      </c>
      <c r="R69" s="42">
        <f t="shared" si="18"/>
        <v>449664.72222222225</v>
      </c>
      <c r="S69" s="42">
        <f t="shared" si="18"/>
        <v>449664.72222222225</v>
      </c>
      <c r="T69" s="42">
        <f t="shared" si="18"/>
        <v>449664.72222222225</v>
      </c>
      <c r="U69" s="42">
        <f t="shared" si="18"/>
        <v>449664.72222222225</v>
      </c>
      <c r="V69" s="42">
        <f t="shared" si="18"/>
        <v>449664.72222222225</v>
      </c>
      <c r="W69" s="42">
        <f t="shared" si="18"/>
        <v>449664.72222222225</v>
      </c>
    </row>
    <row r="70" spans="1:23" x14ac:dyDescent="0.25">
      <c r="B70" s="50" t="s">
        <v>116</v>
      </c>
      <c r="D70" s="42">
        <f>SUM(D44:D51)</f>
        <v>55813.723809523814</v>
      </c>
      <c r="E70" s="42">
        <f t="shared" ref="E70:W70" si="19">SUM(E44:E51)</f>
        <v>284342.90990476188</v>
      </c>
      <c r="F70" s="42">
        <f t="shared" si="19"/>
        <v>427332.66238285712</v>
      </c>
      <c r="G70" s="42">
        <f t="shared" si="19"/>
        <v>636675.25843097141</v>
      </c>
      <c r="H70" s="42">
        <f t="shared" si="19"/>
        <v>929400.83065861708</v>
      </c>
      <c r="I70" s="42">
        <f t="shared" si="19"/>
        <v>1267790.515345681</v>
      </c>
      <c r="J70" s="42">
        <f t="shared" si="19"/>
        <v>1581348.0578369431</v>
      </c>
      <c r="K70" s="42">
        <f t="shared" si="19"/>
        <v>1830323.005078417</v>
      </c>
      <c r="L70" s="42">
        <f t="shared" si="19"/>
        <v>1932324.1382700831</v>
      </c>
      <c r="M70" s="42">
        <f t="shared" si="19"/>
        <v>2037673.1875873851</v>
      </c>
      <c r="N70" s="42">
        <f t="shared" si="19"/>
        <v>2358500.3712882879</v>
      </c>
      <c r="O70" s="42">
        <f t="shared" si="19"/>
        <v>2405670.3787140539</v>
      </c>
      <c r="P70" s="42">
        <f t="shared" si="19"/>
        <v>2453783.7862883355</v>
      </c>
      <c r="Q70" s="42">
        <f t="shared" si="19"/>
        <v>2502859.4620141014</v>
      </c>
      <c r="R70" s="42">
        <f t="shared" si="19"/>
        <v>2552916.6512543838</v>
      </c>
      <c r="S70" s="42">
        <f t="shared" si="19"/>
        <v>2603974.984279471</v>
      </c>
      <c r="T70" s="42">
        <f t="shared" si="19"/>
        <v>2656054.4839650602</v>
      </c>
      <c r="U70" s="42">
        <f t="shared" si="19"/>
        <v>2709175.5736443624</v>
      </c>
      <c r="V70" s="42">
        <f t="shared" si="19"/>
        <v>2763359.0851172488</v>
      </c>
      <c r="W70" s="42">
        <f t="shared" si="19"/>
        <v>2818626.2668195935</v>
      </c>
    </row>
    <row r="71" spans="1:23" x14ac:dyDescent="0.25">
      <c r="D71" s="3"/>
      <c r="E71" s="3"/>
      <c r="F71" s="3"/>
      <c r="G71" s="3"/>
      <c r="H71" s="3"/>
      <c r="I71" s="3"/>
      <c r="J71" s="3"/>
      <c r="K71" s="3"/>
      <c r="L71" s="3"/>
      <c r="M71" s="3"/>
      <c r="N71" s="3"/>
      <c r="O71" s="3"/>
      <c r="P71" s="3"/>
      <c r="Q71" s="3"/>
      <c r="R71" s="3"/>
      <c r="S71" s="3"/>
      <c r="T71" s="3"/>
      <c r="U71" s="3"/>
      <c r="V71" s="3"/>
      <c r="W71" s="3"/>
    </row>
    <row r="72" spans="1:23" x14ac:dyDescent="0.25">
      <c r="D72" s="39">
        <f>SUM(D69:D70)</f>
        <v>1731928.6365079368</v>
      </c>
      <c r="E72" s="39">
        <f t="shared" ref="E72:W72" si="20">SUM(E69:E70)</f>
        <v>1726617.3226031745</v>
      </c>
      <c r="F72" s="39">
        <f t="shared" si="20"/>
        <v>1862514.2179384127</v>
      </c>
      <c r="G72" s="39">
        <f t="shared" si="20"/>
        <v>1938456.0362087493</v>
      </c>
      <c r="H72" s="39">
        <f t="shared" si="20"/>
        <v>2061286.9973252839</v>
      </c>
      <c r="I72" s="39">
        <f t="shared" si="20"/>
        <v>2165836.1820123475</v>
      </c>
      <c r="J72" s="39">
        <f t="shared" si="20"/>
        <v>2279292.5578369428</v>
      </c>
      <c r="K72" s="39">
        <f t="shared" si="20"/>
        <v>2394866.7273006393</v>
      </c>
      <c r="L72" s="39">
        <f t="shared" si="20"/>
        <v>2496867.8604923054</v>
      </c>
      <c r="M72" s="39">
        <f t="shared" si="20"/>
        <v>2602216.9098096071</v>
      </c>
      <c r="N72" s="39">
        <f t="shared" si="20"/>
        <v>2808165.0935105104</v>
      </c>
      <c r="O72" s="39">
        <f t="shared" si="20"/>
        <v>2855335.1009362759</v>
      </c>
      <c r="P72" s="39">
        <f t="shared" si="20"/>
        <v>2903448.5085105579</v>
      </c>
      <c r="Q72" s="39">
        <f t="shared" si="20"/>
        <v>2952524.1842363235</v>
      </c>
      <c r="R72" s="39">
        <f t="shared" si="20"/>
        <v>3002581.3734766059</v>
      </c>
      <c r="S72" s="39">
        <f t="shared" si="20"/>
        <v>3053639.7065016935</v>
      </c>
      <c r="T72" s="39">
        <f t="shared" si="20"/>
        <v>3105719.2061872827</v>
      </c>
      <c r="U72" s="39">
        <f t="shared" si="20"/>
        <v>3158840.2958665844</v>
      </c>
      <c r="V72" s="39">
        <f t="shared" si="20"/>
        <v>3213023.8073394708</v>
      </c>
      <c r="W72" s="39">
        <f t="shared" si="20"/>
        <v>3268290.9890418155</v>
      </c>
    </row>
    <row r="73" spans="1:23" x14ac:dyDescent="0.25">
      <c r="D73" s="3"/>
      <c r="E73" s="3"/>
      <c r="F73" s="3"/>
      <c r="G73" s="3"/>
      <c r="H73" s="3"/>
      <c r="I73" s="3"/>
      <c r="J73" s="3"/>
      <c r="K73" s="3"/>
      <c r="L73" s="3"/>
      <c r="M73" s="3"/>
      <c r="N73" s="3"/>
      <c r="O73" s="3"/>
      <c r="P73" s="3"/>
      <c r="Q73" s="3"/>
      <c r="R73" s="3"/>
      <c r="S73" s="3"/>
      <c r="T73" s="3"/>
      <c r="U73" s="3"/>
      <c r="V73" s="3"/>
      <c r="W73" s="3"/>
    </row>
    <row r="74" spans="1:23" x14ac:dyDescent="0.25">
      <c r="A74" s="98" t="s">
        <v>32</v>
      </c>
      <c r="B74" s="98" t="s">
        <v>102</v>
      </c>
      <c r="C74" s="98" t="s">
        <v>88</v>
      </c>
      <c r="D74" s="97">
        <v>2021</v>
      </c>
      <c r="E74" s="98">
        <v>2022</v>
      </c>
      <c r="F74" s="97">
        <v>2023</v>
      </c>
      <c r="G74" s="98">
        <v>2024</v>
      </c>
      <c r="H74" s="97">
        <v>2025</v>
      </c>
      <c r="I74" s="98">
        <v>2026</v>
      </c>
      <c r="J74" s="97">
        <v>2027</v>
      </c>
      <c r="K74" s="98">
        <v>2028</v>
      </c>
      <c r="L74" s="97">
        <v>2029</v>
      </c>
      <c r="M74" s="98">
        <v>2030</v>
      </c>
      <c r="N74" s="97">
        <v>2031</v>
      </c>
      <c r="O74" s="98">
        <v>2032</v>
      </c>
      <c r="P74" s="97">
        <v>2033</v>
      </c>
      <c r="Q74" s="98">
        <v>2034</v>
      </c>
      <c r="R74" s="97">
        <v>2035</v>
      </c>
      <c r="S74" s="98">
        <v>2036</v>
      </c>
      <c r="T74" s="97">
        <v>2037</v>
      </c>
      <c r="U74" s="98">
        <v>2038</v>
      </c>
      <c r="V74" s="97">
        <v>2039</v>
      </c>
      <c r="W74" s="98">
        <v>2040</v>
      </c>
    </row>
    <row r="75" spans="1:23" x14ac:dyDescent="0.25">
      <c r="A75" s="46" t="s">
        <v>33</v>
      </c>
      <c r="B75" s="46" t="s">
        <v>57</v>
      </c>
      <c r="C75" s="135"/>
      <c r="D75" s="128">
        <f>IFERROR(INDEX(lifespans_all!D$80:D$126,MATCH($A75,lifespans_all!$A$80:$A$126,0))*INDEX(SR_mission_minutes!D$2:D$43,MATCH($A75,SR_mission_minutes!$A$2:$A$43)),"-")</f>
        <v>66700.388888888891</v>
      </c>
      <c r="E75" s="128">
        <f>IFERROR(INDEX(lifespans_all!E$80:E$126,MATCH($A75,lifespans_all!$A$80:$A$126,0))*INDEX(SR_mission_minutes!E$2:E$43,MATCH($A75,SR_mission_minutes!$A$2:$A$43)),"-")</f>
        <v>66700.388888888891</v>
      </c>
      <c r="F75" s="128">
        <f>IFERROR(INDEX(lifespans_all!F$80:F$126,MATCH($A75,lifespans_all!$A$80:$A$126,0))*INDEX(SR_mission_minutes!F$2:F$43,MATCH($A75,SR_mission_minutes!$A$2:$A$43)),"-")</f>
        <v>66700.388888888891</v>
      </c>
      <c r="G75" s="128">
        <f>IFERROR(INDEX(lifespans_all!G$80:G$126,MATCH($A75,lifespans_all!$A$80:$A$126,0))*INDEX(SR_mission_minutes!G$2:G$43,MATCH($A75,SR_mission_minutes!$A$2:$A$43)),"-")</f>
        <v>66700.388888888891</v>
      </c>
      <c r="H75" s="128">
        <f>IFERROR(INDEX(lifespans_all!H$80:H$126,MATCH($A75,lifespans_all!$A$80:$A$126,0))*INDEX(SR_mission_minutes!H$2:H$43,MATCH($A75,SR_mission_minutes!$A$2:$A$43)),"-")</f>
        <v>0</v>
      </c>
      <c r="I75" s="128">
        <f>IFERROR(INDEX(lifespans_all!I$80:I$126,MATCH($A75,lifespans_all!$A$80:$A$126,0))*INDEX(SR_mission_minutes!I$2:I$43,MATCH($A75,SR_mission_minutes!$A$2:$A$43)),"-")</f>
        <v>0</v>
      </c>
      <c r="J75" s="128">
        <f>IFERROR(INDEX(lifespans_all!J$80:J$126,MATCH($A75,lifespans_all!$A$80:$A$126,0))*INDEX(SR_mission_minutes!J$2:J$43,MATCH($A75,SR_mission_minutes!$A$2:$A$43)),"-")</f>
        <v>0</v>
      </c>
      <c r="K75" s="128">
        <f>IFERROR(INDEX(lifespans_all!K$80:K$126,MATCH($A75,lifespans_all!$A$80:$A$126,0))*INDEX(SR_mission_minutes!K$2:K$43,MATCH($A75,SR_mission_minutes!$A$2:$A$43)),"-")</f>
        <v>0</v>
      </c>
      <c r="L75" s="128">
        <f>IFERROR(INDEX(lifespans_all!L$80:L$126,MATCH($A75,lifespans_all!$A$80:$A$126,0))*INDEX(SR_mission_minutes!L$2:L$43,MATCH($A75,SR_mission_minutes!$A$2:$A$43)),"-")</f>
        <v>0</v>
      </c>
      <c r="M75" s="128">
        <f>IFERROR(INDEX(lifespans_all!M$80:M$126,MATCH($A75,lifespans_all!$A$80:$A$126,0))*INDEX(SR_mission_minutes!M$2:M$43,MATCH($A75,SR_mission_minutes!$A$2:$A$43)),"-")</f>
        <v>0</v>
      </c>
      <c r="N75" s="128">
        <f>IFERROR(INDEX(lifespans_all!N$80:N$126,MATCH($A75,lifespans_all!$A$80:$A$126,0))*INDEX(SR_mission_minutes!N$2:N$43,MATCH($A75,SR_mission_minutes!$A$2:$A$43)),"-")</f>
        <v>0</v>
      </c>
      <c r="O75" s="128">
        <f>IFERROR(INDEX(lifespans_all!O$80:O$126,MATCH($A75,lifespans_all!$A$80:$A$126,0))*INDEX(SR_mission_minutes!O$2:O$43,MATCH($A75,SR_mission_minutes!$A$2:$A$43)),"-")</f>
        <v>0</v>
      </c>
      <c r="P75" s="128">
        <f>IFERROR(INDEX(lifespans_all!P$80:P$126,MATCH($A75,lifespans_all!$A$80:$A$126,0))*INDEX(SR_mission_minutes!P$2:P$43,MATCH($A75,SR_mission_minutes!$A$2:$A$43)),"-")</f>
        <v>0</v>
      </c>
      <c r="Q75" s="128">
        <f>IFERROR(INDEX(lifespans_all!Q$80:Q$126,MATCH($A75,lifespans_all!$A$80:$A$126,0))*INDEX(SR_mission_minutes!Q$2:Q$43,MATCH($A75,SR_mission_minutes!$A$2:$A$43)),"-")</f>
        <v>0</v>
      </c>
      <c r="R75" s="128">
        <f>IFERROR(INDEX(lifespans_all!R$80:R$126,MATCH($A75,lifespans_all!$A$80:$A$126,0))*INDEX(SR_mission_minutes!R$2:R$43,MATCH($A75,SR_mission_minutes!$A$2:$A$43)),"-")</f>
        <v>0</v>
      </c>
      <c r="S75" s="128">
        <f>IFERROR(INDEX(lifespans_all!S$80:S$126,MATCH($A75,lifespans_all!$A$80:$A$126,0))*INDEX(SR_mission_minutes!S$2:S$43,MATCH($A75,SR_mission_minutes!$A$2:$A$43)),"-")</f>
        <v>0</v>
      </c>
      <c r="T75" s="128">
        <f>IFERROR(INDEX(lifespans_all!T$80:T$126,MATCH($A75,lifespans_all!$A$80:$A$126,0))*INDEX(SR_mission_minutes!T$2:T$43,MATCH($A75,SR_mission_minutes!$A$2:$A$43)),"-")</f>
        <v>0</v>
      </c>
      <c r="U75" s="128">
        <f>IFERROR(INDEX(lifespans_all!U$80:U$126,MATCH($A75,lifespans_all!$A$80:$A$126,0))*INDEX(SR_mission_minutes!U$2:U$43,MATCH($A75,SR_mission_minutes!$A$2:$A$43)),"-")</f>
        <v>0</v>
      </c>
      <c r="V75" s="128">
        <f>IFERROR(INDEX(lifespans_all!V$80:V$126,MATCH($A75,lifespans_all!$A$80:$A$126,0))*INDEX(SR_mission_minutes!V$2:V$43,MATCH($A75,SR_mission_minutes!$A$2:$A$43)),"-")</f>
        <v>0</v>
      </c>
      <c r="W75" s="128">
        <f>IFERROR(INDEX(lifespans_all!W$80:W$126,MATCH($A75,lifespans_all!$A$80:$A$126,0))*INDEX(SR_mission_minutes!W$2:W$43,MATCH($A75,SR_mission_minutes!$A$2:$A$43)),"-")</f>
        <v>0</v>
      </c>
    </row>
    <row r="76" spans="1:23" x14ac:dyDescent="0.25">
      <c r="A76" s="46" t="s">
        <v>65</v>
      </c>
      <c r="B76" s="46" t="s">
        <v>57</v>
      </c>
      <c r="C76" s="135"/>
      <c r="D76" s="128">
        <f>IFERROR(INDEX(lifespans_all!D$80:D$126,MATCH($A76,lifespans_all!$A$80:$A$126,0))*INDEX(SR_mission_minutes!D$2:D$43,MATCH($A76,SR_mission_minutes!$A$2:$A$43)),"-")</f>
        <v>66700.388888888891</v>
      </c>
      <c r="E76" s="128">
        <f>IFERROR(INDEX(lifespans_all!E$80:E$126,MATCH($A76,lifespans_all!$A$80:$A$126,0))*INDEX(SR_mission_minutes!E$2:E$43,MATCH($A76,SR_mission_minutes!$A$2:$A$43)),"-")</f>
        <v>66700.388888888891</v>
      </c>
      <c r="F76" s="128">
        <f>IFERROR(INDEX(lifespans_all!F$80:F$126,MATCH($A76,lifespans_all!$A$80:$A$126,0))*INDEX(SR_mission_minutes!F$2:F$43,MATCH($A76,SR_mission_minutes!$A$2:$A$43)),"-")</f>
        <v>66700.388888888891</v>
      </c>
      <c r="G76" s="128">
        <f>IFERROR(INDEX(lifespans_all!G$80:G$126,MATCH($A76,lifespans_all!$A$80:$A$126,0))*INDEX(SR_mission_minutes!G$2:G$43,MATCH($A76,SR_mission_minutes!$A$2:$A$43)),"-")</f>
        <v>66700.388888888891</v>
      </c>
      <c r="H76" s="128">
        <f>IFERROR(INDEX(lifespans_all!H$80:H$126,MATCH($A76,lifespans_all!$A$80:$A$126,0))*INDEX(SR_mission_minutes!H$2:H$43,MATCH($A76,SR_mission_minutes!$A$2:$A$43)),"-")</f>
        <v>66700.388888888891</v>
      </c>
      <c r="I76" s="128">
        <f>IFERROR(INDEX(lifespans_all!I$80:I$126,MATCH($A76,lifespans_all!$A$80:$A$126,0))*INDEX(SR_mission_minutes!I$2:I$43,MATCH($A76,SR_mission_minutes!$A$2:$A$43)),"-")</f>
        <v>66700.388888888891</v>
      </c>
      <c r="J76" s="128">
        <f>IFERROR(INDEX(lifespans_all!J$80:J$126,MATCH($A76,lifespans_all!$A$80:$A$126,0))*INDEX(SR_mission_minutes!J$2:J$43,MATCH($A76,SR_mission_minutes!$A$2:$A$43)),"-")</f>
        <v>0</v>
      </c>
      <c r="K76" s="128">
        <f>IFERROR(INDEX(lifespans_all!K$80:K$126,MATCH($A76,lifespans_all!$A$80:$A$126,0))*INDEX(SR_mission_minutes!K$2:K$43,MATCH($A76,SR_mission_minutes!$A$2:$A$43)),"-")</f>
        <v>0</v>
      </c>
      <c r="L76" s="128">
        <f>IFERROR(INDEX(lifespans_all!L$80:L$126,MATCH($A76,lifespans_all!$A$80:$A$126,0))*INDEX(SR_mission_minutes!L$2:L$43,MATCH($A76,SR_mission_minutes!$A$2:$A$43)),"-")</f>
        <v>0</v>
      </c>
      <c r="M76" s="128">
        <f>IFERROR(INDEX(lifespans_all!M$80:M$126,MATCH($A76,lifespans_all!$A$80:$A$126,0))*INDEX(SR_mission_minutes!M$2:M$43,MATCH($A76,SR_mission_minutes!$A$2:$A$43)),"-")</f>
        <v>0</v>
      </c>
      <c r="N76" s="128">
        <f>IFERROR(INDEX(lifespans_all!N$80:N$126,MATCH($A76,lifespans_all!$A$80:$A$126,0))*INDEX(SR_mission_minutes!N$2:N$43,MATCH($A76,SR_mission_minutes!$A$2:$A$43)),"-")</f>
        <v>0</v>
      </c>
      <c r="O76" s="128">
        <f>IFERROR(INDEX(lifespans_all!O$80:O$126,MATCH($A76,lifespans_all!$A$80:$A$126,0))*INDEX(SR_mission_minutes!O$2:O$43,MATCH($A76,SR_mission_minutes!$A$2:$A$43)),"-")</f>
        <v>0</v>
      </c>
      <c r="P76" s="128">
        <f>IFERROR(INDEX(lifespans_all!P$80:P$126,MATCH($A76,lifespans_all!$A$80:$A$126,0))*INDEX(SR_mission_minutes!P$2:P$43,MATCH($A76,SR_mission_minutes!$A$2:$A$43)),"-")</f>
        <v>0</v>
      </c>
      <c r="Q76" s="128">
        <f>IFERROR(INDEX(lifespans_all!Q$80:Q$126,MATCH($A76,lifespans_all!$A$80:$A$126,0))*INDEX(SR_mission_minutes!Q$2:Q$43,MATCH($A76,SR_mission_minutes!$A$2:$A$43)),"-")</f>
        <v>0</v>
      </c>
      <c r="R76" s="128">
        <f>IFERROR(INDEX(lifespans_all!R$80:R$126,MATCH($A76,lifespans_all!$A$80:$A$126,0))*INDEX(SR_mission_minutes!R$2:R$43,MATCH($A76,SR_mission_minutes!$A$2:$A$43)),"-")</f>
        <v>0</v>
      </c>
      <c r="S76" s="128">
        <f>IFERROR(INDEX(lifespans_all!S$80:S$126,MATCH($A76,lifespans_all!$A$80:$A$126,0))*INDEX(SR_mission_minutes!S$2:S$43,MATCH($A76,SR_mission_minutes!$A$2:$A$43)),"-")</f>
        <v>0</v>
      </c>
      <c r="T76" s="128">
        <f>IFERROR(INDEX(lifespans_all!T$80:T$126,MATCH($A76,lifespans_all!$A$80:$A$126,0))*INDEX(SR_mission_minutes!T$2:T$43,MATCH($A76,SR_mission_minutes!$A$2:$A$43)),"-")</f>
        <v>0</v>
      </c>
      <c r="U76" s="128">
        <f>IFERROR(INDEX(lifespans_all!U$80:U$126,MATCH($A76,lifespans_all!$A$80:$A$126,0))*INDEX(SR_mission_minutes!U$2:U$43,MATCH($A76,SR_mission_minutes!$A$2:$A$43)),"-")</f>
        <v>0</v>
      </c>
      <c r="V76" s="128">
        <f>IFERROR(INDEX(lifespans_all!V$80:V$126,MATCH($A76,lifespans_all!$A$80:$A$126,0))*INDEX(SR_mission_minutes!V$2:V$43,MATCH($A76,SR_mission_minutes!$A$2:$A$43)),"-")</f>
        <v>0</v>
      </c>
      <c r="W76" s="128">
        <f>IFERROR(INDEX(lifespans_all!W$80:W$126,MATCH($A76,lifespans_all!$A$80:$A$126,0))*INDEX(SR_mission_minutes!W$2:W$43,MATCH($A76,SR_mission_minutes!$A$2:$A$43)),"-")</f>
        <v>0</v>
      </c>
    </row>
    <row r="77" spans="1:23" x14ac:dyDescent="0.25">
      <c r="A77" s="46" t="s">
        <v>67</v>
      </c>
      <c r="B77" s="46" t="s">
        <v>58</v>
      </c>
      <c r="C77" s="135"/>
      <c r="D77" s="128">
        <f>IFERROR(INDEX(lifespans_all!D$80:D$126,MATCH($A77,lifespans_all!$A$80:$A$126,0))*INDEX(SR_mission_minutes!D$2:D$43,MATCH($A77,SR_mission_minutes!$A$2:$A$43)),"-")</f>
        <v>2294</v>
      </c>
      <c r="E77" s="128">
        <f>IFERROR(INDEX(lifespans_all!E$80:E$126,MATCH($A77,lifespans_all!$A$80:$A$126,0))*INDEX(SR_mission_minutes!E$2:E$43,MATCH($A77,SR_mission_minutes!$A$2:$A$43)),"-")</f>
        <v>2294</v>
      </c>
      <c r="F77" s="128">
        <f>IFERROR(INDEX(lifespans_all!F$80:F$126,MATCH($A77,lifespans_all!$A$80:$A$126,0))*INDEX(SR_mission_minutes!F$2:F$43,MATCH($A77,SR_mission_minutes!$A$2:$A$43)),"-")</f>
        <v>2294</v>
      </c>
      <c r="G77" s="128">
        <f>IFERROR(INDEX(lifespans_all!G$80:G$126,MATCH($A77,lifespans_all!$A$80:$A$126,0))*INDEX(SR_mission_minutes!G$2:G$43,MATCH($A77,SR_mission_minutes!$A$2:$A$43)),"-")</f>
        <v>2294</v>
      </c>
      <c r="H77" s="128">
        <f>IFERROR(INDEX(lifespans_all!H$80:H$126,MATCH($A77,lifespans_all!$A$80:$A$126,0))*INDEX(SR_mission_minutes!H$2:H$43,MATCH($A77,SR_mission_minutes!$A$2:$A$43)),"-")</f>
        <v>0</v>
      </c>
      <c r="I77" s="128">
        <f>IFERROR(INDEX(lifespans_all!I$80:I$126,MATCH($A77,lifespans_all!$A$80:$A$126,0))*INDEX(SR_mission_minutes!I$2:I$43,MATCH($A77,SR_mission_minutes!$A$2:$A$43)),"-")</f>
        <v>0</v>
      </c>
      <c r="J77" s="128">
        <f>IFERROR(INDEX(lifespans_all!J$80:J$126,MATCH($A77,lifespans_all!$A$80:$A$126,0))*INDEX(SR_mission_minutes!J$2:J$43,MATCH($A77,SR_mission_minutes!$A$2:$A$43)),"-")</f>
        <v>0</v>
      </c>
      <c r="K77" s="128">
        <f>IFERROR(INDEX(lifespans_all!K$80:K$126,MATCH($A77,lifespans_all!$A$80:$A$126,0))*INDEX(SR_mission_minutes!K$2:K$43,MATCH($A77,SR_mission_minutes!$A$2:$A$43)),"-")</f>
        <v>0</v>
      </c>
      <c r="L77" s="128">
        <f>IFERROR(INDEX(lifespans_all!L$80:L$126,MATCH($A77,lifespans_all!$A$80:$A$126,0))*INDEX(SR_mission_minutes!L$2:L$43,MATCH($A77,SR_mission_minutes!$A$2:$A$43)),"-")</f>
        <v>0</v>
      </c>
      <c r="M77" s="128">
        <f>IFERROR(INDEX(lifespans_all!M$80:M$126,MATCH($A77,lifespans_all!$A$80:$A$126,0))*INDEX(SR_mission_minutes!M$2:M$43,MATCH($A77,SR_mission_minutes!$A$2:$A$43)),"-")</f>
        <v>0</v>
      </c>
      <c r="N77" s="128">
        <f>IFERROR(INDEX(lifespans_all!N$80:N$126,MATCH($A77,lifespans_all!$A$80:$A$126,0))*INDEX(SR_mission_minutes!N$2:N$43,MATCH($A77,SR_mission_minutes!$A$2:$A$43)),"-")</f>
        <v>0</v>
      </c>
      <c r="O77" s="128">
        <f>IFERROR(INDEX(lifespans_all!O$80:O$126,MATCH($A77,lifespans_all!$A$80:$A$126,0))*INDEX(SR_mission_minutes!O$2:O$43,MATCH($A77,SR_mission_minutes!$A$2:$A$43)),"-")</f>
        <v>0</v>
      </c>
      <c r="P77" s="128">
        <f>IFERROR(INDEX(lifespans_all!P$80:P$126,MATCH($A77,lifespans_all!$A$80:$A$126,0))*INDEX(SR_mission_minutes!P$2:P$43,MATCH($A77,SR_mission_minutes!$A$2:$A$43)),"-")</f>
        <v>0</v>
      </c>
      <c r="Q77" s="128">
        <f>IFERROR(INDEX(lifespans_all!Q$80:Q$126,MATCH($A77,lifespans_all!$A$80:$A$126,0))*INDEX(SR_mission_minutes!Q$2:Q$43,MATCH($A77,SR_mission_minutes!$A$2:$A$43)),"-")</f>
        <v>0</v>
      </c>
      <c r="R77" s="128">
        <f>IFERROR(INDEX(lifespans_all!R$80:R$126,MATCH($A77,lifespans_all!$A$80:$A$126,0))*INDEX(SR_mission_minutes!R$2:R$43,MATCH($A77,SR_mission_minutes!$A$2:$A$43)),"-")</f>
        <v>0</v>
      </c>
      <c r="S77" s="128">
        <f>IFERROR(INDEX(lifespans_all!S$80:S$126,MATCH($A77,lifespans_all!$A$80:$A$126,0))*INDEX(SR_mission_minutes!S$2:S$43,MATCH($A77,SR_mission_minutes!$A$2:$A$43)),"-")</f>
        <v>0</v>
      </c>
      <c r="T77" s="128">
        <f>IFERROR(INDEX(lifespans_all!T$80:T$126,MATCH($A77,lifespans_all!$A$80:$A$126,0))*INDEX(SR_mission_minutes!T$2:T$43,MATCH($A77,SR_mission_minutes!$A$2:$A$43)),"-")</f>
        <v>0</v>
      </c>
      <c r="U77" s="128">
        <f>IFERROR(INDEX(lifespans_all!U$80:U$126,MATCH($A77,lifespans_all!$A$80:$A$126,0))*INDEX(SR_mission_minutes!U$2:U$43,MATCH($A77,SR_mission_minutes!$A$2:$A$43)),"-")</f>
        <v>0</v>
      </c>
      <c r="V77" s="128">
        <f>IFERROR(INDEX(lifespans_all!V$80:V$126,MATCH($A77,lifespans_all!$A$80:$A$126,0))*INDEX(SR_mission_minutes!V$2:V$43,MATCH($A77,SR_mission_minutes!$A$2:$A$43)),"-")</f>
        <v>0</v>
      </c>
      <c r="W77" s="128">
        <f>IFERROR(INDEX(lifespans_all!W$80:W$126,MATCH($A77,lifespans_all!$A$80:$A$126,0))*INDEX(SR_mission_minutes!W$2:W$43,MATCH($A77,SR_mission_minutes!$A$2:$A$43)),"-")</f>
        <v>0</v>
      </c>
    </row>
    <row r="78" spans="1:23" x14ac:dyDescent="0.25">
      <c r="A78" s="46" t="s">
        <v>68</v>
      </c>
      <c r="B78" s="46" t="s">
        <v>57</v>
      </c>
      <c r="C78" s="135"/>
      <c r="D78" s="128">
        <f>IFERROR(INDEX(lifespans_all!D$80:D$126,MATCH($A78,lifespans_all!$A$80:$A$126,0))*INDEX(SR_mission_minutes!D$2:D$43,MATCH($A78,SR_mission_minutes!$A$2:$A$43)),"-")</f>
        <v>66700.388888888891</v>
      </c>
      <c r="E78" s="128">
        <f>IFERROR(INDEX(lifespans_all!E$80:E$126,MATCH($A78,lifespans_all!$A$80:$A$126,0))*INDEX(SR_mission_minutes!E$2:E$43,MATCH($A78,SR_mission_minutes!$A$2:$A$43)),"-")</f>
        <v>66700.388888888891</v>
      </c>
      <c r="F78" s="128">
        <f>IFERROR(INDEX(lifespans_all!F$80:F$126,MATCH($A78,lifespans_all!$A$80:$A$126,0))*INDEX(SR_mission_minutes!F$2:F$43,MATCH($A78,SR_mission_minutes!$A$2:$A$43)),"-")</f>
        <v>66700.388888888891</v>
      </c>
      <c r="G78" s="128">
        <f>IFERROR(INDEX(lifespans_all!G$80:G$126,MATCH($A78,lifespans_all!$A$80:$A$126,0))*INDEX(SR_mission_minutes!G$2:G$43,MATCH($A78,SR_mission_minutes!$A$2:$A$43)),"-")</f>
        <v>66700.388888888891</v>
      </c>
      <c r="H78" s="128">
        <f>IFERROR(INDEX(lifespans_all!H$80:H$126,MATCH($A78,lifespans_all!$A$80:$A$126,0))*INDEX(SR_mission_minutes!H$2:H$43,MATCH($A78,SR_mission_minutes!$A$2:$A$43)),"-")</f>
        <v>66700.388888888891</v>
      </c>
      <c r="I78" s="128">
        <f>IFERROR(INDEX(lifespans_all!I$80:I$126,MATCH($A78,lifespans_all!$A$80:$A$126,0))*INDEX(SR_mission_minutes!I$2:I$43,MATCH($A78,SR_mission_minutes!$A$2:$A$43)),"-")</f>
        <v>66700.388888888891</v>
      </c>
      <c r="J78" s="128">
        <f>IFERROR(INDEX(lifespans_all!J$80:J$126,MATCH($A78,lifespans_all!$A$80:$A$126,0))*INDEX(SR_mission_minutes!J$2:J$43,MATCH($A78,SR_mission_minutes!$A$2:$A$43)),"-")</f>
        <v>0</v>
      </c>
      <c r="K78" s="128">
        <f>IFERROR(INDEX(lifespans_all!K$80:K$126,MATCH($A78,lifespans_all!$A$80:$A$126,0))*INDEX(SR_mission_minutes!K$2:K$43,MATCH($A78,SR_mission_minutes!$A$2:$A$43)),"-")</f>
        <v>0</v>
      </c>
      <c r="L78" s="128">
        <f>IFERROR(INDEX(lifespans_all!L$80:L$126,MATCH($A78,lifespans_all!$A$80:$A$126,0))*INDEX(SR_mission_minutes!L$2:L$43,MATCH($A78,SR_mission_minutes!$A$2:$A$43)),"-")</f>
        <v>0</v>
      </c>
      <c r="M78" s="128">
        <f>IFERROR(INDEX(lifespans_all!M$80:M$126,MATCH($A78,lifespans_all!$A$80:$A$126,0))*INDEX(SR_mission_minutes!M$2:M$43,MATCH($A78,SR_mission_minutes!$A$2:$A$43)),"-")</f>
        <v>0</v>
      </c>
      <c r="N78" s="128">
        <f>IFERROR(INDEX(lifespans_all!N$80:N$126,MATCH($A78,lifespans_all!$A$80:$A$126,0))*INDEX(SR_mission_minutes!N$2:N$43,MATCH($A78,SR_mission_minutes!$A$2:$A$43)),"-")</f>
        <v>0</v>
      </c>
      <c r="O78" s="128">
        <f>IFERROR(INDEX(lifespans_all!O$80:O$126,MATCH($A78,lifespans_all!$A$80:$A$126,0))*INDEX(SR_mission_minutes!O$2:O$43,MATCH($A78,SR_mission_minutes!$A$2:$A$43)),"-")</f>
        <v>0</v>
      </c>
      <c r="P78" s="128">
        <f>IFERROR(INDEX(lifespans_all!P$80:P$126,MATCH($A78,lifespans_all!$A$80:$A$126,0))*INDEX(SR_mission_minutes!P$2:P$43,MATCH($A78,SR_mission_minutes!$A$2:$A$43)),"-")</f>
        <v>0</v>
      </c>
      <c r="Q78" s="128">
        <f>IFERROR(INDEX(lifespans_all!Q$80:Q$126,MATCH($A78,lifespans_all!$A$80:$A$126,0))*INDEX(SR_mission_minutes!Q$2:Q$43,MATCH($A78,SR_mission_minutes!$A$2:$A$43)),"-")</f>
        <v>0</v>
      </c>
      <c r="R78" s="128">
        <f>IFERROR(INDEX(lifespans_all!R$80:R$126,MATCH($A78,lifespans_all!$A$80:$A$126,0))*INDEX(SR_mission_minutes!R$2:R$43,MATCH($A78,SR_mission_minutes!$A$2:$A$43)),"-")</f>
        <v>0</v>
      </c>
      <c r="S78" s="128">
        <f>IFERROR(INDEX(lifespans_all!S$80:S$126,MATCH($A78,lifespans_all!$A$80:$A$126,0))*INDEX(SR_mission_minutes!S$2:S$43,MATCH($A78,SR_mission_minutes!$A$2:$A$43)),"-")</f>
        <v>0</v>
      </c>
      <c r="T78" s="128">
        <f>IFERROR(INDEX(lifespans_all!T$80:T$126,MATCH($A78,lifespans_all!$A$80:$A$126,0))*INDEX(SR_mission_minutes!T$2:T$43,MATCH($A78,SR_mission_minutes!$A$2:$A$43)),"-")</f>
        <v>0</v>
      </c>
      <c r="U78" s="128">
        <f>IFERROR(INDEX(lifespans_all!U$80:U$126,MATCH($A78,lifespans_all!$A$80:$A$126,0))*INDEX(SR_mission_minutes!U$2:U$43,MATCH($A78,SR_mission_minutes!$A$2:$A$43)),"-")</f>
        <v>0</v>
      </c>
      <c r="V78" s="128">
        <f>IFERROR(INDEX(lifespans_all!V$80:V$126,MATCH($A78,lifespans_all!$A$80:$A$126,0))*INDEX(SR_mission_minutes!V$2:V$43,MATCH($A78,SR_mission_minutes!$A$2:$A$43)),"-")</f>
        <v>0</v>
      </c>
      <c r="W78" s="128">
        <f>IFERROR(INDEX(lifespans_all!W$80:W$126,MATCH($A78,lifespans_all!$A$80:$A$126,0))*INDEX(SR_mission_minutes!W$2:W$43,MATCH($A78,SR_mission_minutes!$A$2:$A$43)),"-")</f>
        <v>0</v>
      </c>
    </row>
    <row r="79" spans="1:23" x14ac:dyDescent="0.25">
      <c r="A79" s="46" t="s">
        <v>34</v>
      </c>
      <c r="B79" s="46" t="s">
        <v>64</v>
      </c>
      <c r="C79" s="135"/>
      <c r="D79" s="128" t="str">
        <f>IFERROR(INDEX(lifespans_all!D$80:D$126,MATCH($A79,lifespans_all!$A$80:$A$126,0))*INDEX(SR_mission_minutes!D$2:D$43,MATCH($A79,SR_mission_minutes!$A$2:$A$43)),"-")</f>
        <v>-</v>
      </c>
      <c r="E79" s="128" t="str">
        <f>IFERROR(INDEX(lifespans_all!E$80:E$126,MATCH($A79,lifespans_all!$A$80:$A$126,0))*INDEX(SR_mission_minutes!E$2:E$43,MATCH($A79,SR_mission_minutes!$A$2:$A$43)),"-")</f>
        <v>-</v>
      </c>
      <c r="F79" s="128" t="str">
        <f>IFERROR(INDEX(lifespans_all!F$80:F$126,MATCH($A79,lifespans_all!$A$80:$A$126,0))*INDEX(SR_mission_minutes!F$2:F$43,MATCH($A79,SR_mission_minutes!$A$2:$A$43)),"-")</f>
        <v>-</v>
      </c>
      <c r="G79" s="128" t="str">
        <f>IFERROR(INDEX(lifespans_all!G$80:G$126,MATCH($A79,lifespans_all!$A$80:$A$126,0))*INDEX(SR_mission_minutes!G$2:G$43,MATCH($A79,SR_mission_minutes!$A$2:$A$43)),"-")</f>
        <v>-</v>
      </c>
      <c r="H79" s="128" t="str">
        <f>IFERROR(INDEX(lifespans_all!H$80:H$126,MATCH($A79,lifespans_all!$A$80:$A$126,0))*INDEX(SR_mission_minutes!H$2:H$43,MATCH($A79,SR_mission_minutes!$A$2:$A$43)),"-")</f>
        <v>-</v>
      </c>
      <c r="I79" s="128" t="str">
        <f>IFERROR(INDEX(lifespans_all!I$80:I$126,MATCH($A79,lifespans_all!$A$80:$A$126,0))*INDEX(SR_mission_minutes!I$2:I$43,MATCH($A79,SR_mission_minutes!$A$2:$A$43)),"-")</f>
        <v>-</v>
      </c>
      <c r="J79" s="128" t="str">
        <f>IFERROR(INDEX(lifespans_all!J$80:J$126,MATCH($A79,lifespans_all!$A$80:$A$126,0))*INDEX(SR_mission_minutes!J$2:J$43,MATCH($A79,SR_mission_minutes!$A$2:$A$43)),"-")</f>
        <v>-</v>
      </c>
      <c r="K79" s="128" t="str">
        <f>IFERROR(INDEX(lifespans_all!K$80:K$126,MATCH($A79,lifespans_all!$A$80:$A$126,0))*INDEX(SR_mission_minutes!K$2:K$43,MATCH($A79,SR_mission_minutes!$A$2:$A$43)),"-")</f>
        <v>-</v>
      </c>
      <c r="L79" s="128" t="str">
        <f>IFERROR(INDEX(lifespans_all!L$80:L$126,MATCH($A79,lifespans_all!$A$80:$A$126,0))*INDEX(SR_mission_minutes!L$2:L$43,MATCH($A79,SR_mission_minutes!$A$2:$A$43)),"-")</f>
        <v>-</v>
      </c>
      <c r="M79" s="128" t="str">
        <f>IFERROR(INDEX(lifespans_all!M$80:M$126,MATCH($A79,lifespans_all!$A$80:$A$126,0))*INDEX(SR_mission_minutes!M$2:M$43,MATCH($A79,SR_mission_minutes!$A$2:$A$43)),"-")</f>
        <v>-</v>
      </c>
      <c r="N79" s="128" t="str">
        <f>IFERROR(INDEX(lifespans_all!N$80:N$126,MATCH($A79,lifespans_all!$A$80:$A$126,0))*INDEX(SR_mission_minutes!N$2:N$43,MATCH($A79,SR_mission_minutes!$A$2:$A$43)),"-")</f>
        <v>-</v>
      </c>
      <c r="O79" s="128" t="str">
        <f>IFERROR(INDEX(lifespans_all!O$80:O$126,MATCH($A79,lifespans_all!$A$80:$A$126,0))*INDEX(SR_mission_minutes!O$2:O$43,MATCH($A79,SR_mission_minutes!$A$2:$A$43)),"-")</f>
        <v>-</v>
      </c>
      <c r="P79" s="128" t="str">
        <f>IFERROR(INDEX(lifespans_all!P$80:P$126,MATCH($A79,lifespans_all!$A$80:$A$126,0))*INDEX(SR_mission_minutes!P$2:P$43,MATCH($A79,SR_mission_minutes!$A$2:$A$43)),"-")</f>
        <v>-</v>
      </c>
      <c r="Q79" s="128" t="str">
        <f>IFERROR(INDEX(lifespans_all!Q$80:Q$126,MATCH($A79,lifespans_all!$A$80:$A$126,0))*INDEX(SR_mission_minutes!Q$2:Q$43,MATCH($A79,SR_mission_minutes!$A$2:$A$43)),"-")</f>
        <v>-</v>
      </c>
      <c r="R79" s="128" t="str">
        <f>IFERROR(INDEX(lifespans_all!R$80:R$126,MATCH($A79,lifespans_all!$A$80:$A$126,0))*INDEX(SR_mission_minutes!R$2:R$43,MATCH($A79,SR_mission_minutes!$A$2:$A$43)),"-")</f>
        <v>-</v>
      </c>
      <c r="S79" s="128" t="str">
        <f>IFERROR(INDEX(lifespans_all!S$80:S$126,MATCH($A79,lifespans_all!$A$80:$A$126,0))*INDEX(SR_mission_minutes!S$2:S$43,MATCH($A79,SR_mission_minutes!$A$2:$A$43)),"-")</f>
        <v>-</v>
      </c>
      <c r="T79" s="128" t="str">
        <f>IFERROR(INDEX(lifespans_all!T$80:T$126,MATCH($A79,lifespans_all!$A$80:$A$126,0))*INDEX(SR_mission_minutes!T$2:T$43,MATCH($A79,SR_mission_minutes!$A$2:$A$43)),"-")</f>
        <v>-</v>
      </c>
      <c r="U79" s="128" t="str">
        <f>IFERROR(INDEX(lifespans_all!U$80:U$126,MATCH($A79,lifespans_all!$A$80:$A$126,0))*INDEX(SR_mission_minutes!U$2:U$43,MATCH($A79,SR_mission_minutes!$A$2:$A$43)),"-")</f>
        <v>-</v>
      </c>
      <c r="V79" s="128" t="str">
        <f>IFERROR(INDEX(lifespans_all!V$80:V$126,MATCH($A79,lifespans_all!$A$80:$A$126,0))*INDEX(SR_mission_minutes!V$2:V$43,MATCH($A79,SR_mission_minutes!$A$2:$A$43)),"-")</f>
        <v>-</v>
      </c>
      <c r="W79" s="128" t="str">
        <f>IFERROR(INDEX(lifespans_all!W$80:W$126,MATCH($A79,lifespans_all!$A$80:$A$126,0))*INDEX(SR_mission_minutes!W$2:W$43,MATCH($A79,SR_mission_minutes!$A$2:$A$43)),"-")</f>
        <v>-</v>
      </c>
    </row>
    <row r="80" spans="1:23" x14ac:dyDescent="0.25">
      <c r="A80" s="46" t="s">
        <v>71</v>
      </c>
      <c r="B80" s="46" t="s">
        <v>58</v>
      </c>
      <c r="C80" s="135"/>
      <c r="D80" s="128">
        <f>IFERROR(INDEX(lifespans_all!D$80:D$126,MATCH($A80,lifespans_all!$A$80:$A$126,0))*INDEX(SR_mission_minutes!D$2:D$43,MATCH($A80,SR_mission_minutes!$A$2:$A$43)),"-")</f>
        <v>2294</v>
      </c>
      <c r="E80" s="128">
        <f>IFERROR(INDEX(lifespans_all!E$80:E$126,MATCH($A80,lifespans_all!$A$80:$A$126,0))*INDEX(SR_mission_minutes!E$2:E$43,MATCH($A80,SR_mission_minutes!$A$2:$A$43)),"-")</f>
        <v>2294</v>
      </c>
      <c r="F80" s="128">
        <f>IFERROR(INDEX(lifespans_all!F$80:F$126,MATCH($A80,lifespans_all!$A$80:$A$126,0))*INDEX(SR_mission_minutes!F$2:F$43,MATCH($A80,SR_mission_minutes!$A$2:$A$43)),"-")</f>
        <v>2294</v>
      </c>
      <c r="G80" s="128">
        <f>IFERROR(INDEX(lifespans_all!G$80:G$126,MATCH($A80,lifespans_all!$A$80:$A$126,0))*INDEX(SR_mission_minutes!G$2:G$43,MATCH($A80,SR_mission_minutes!$A$2:$A$43)),"-")</f>
        <v>2294</v>
      </c>
      <c r="H80" s="128">
        <f>IFERROR(INDEX(lifespans_all!H$80:H$126,MATCH($A80,lifespans_all!$A$80:$A$126,0))*INDEX(SR_mission_minutes!H$2:H$43,MATCH($A80,SR_mission_minutes!$A$2:$A$43)),"-")</f>
        <v>2294</v>
      </c>
      <c r="I80" s="128">
        <f>IFERROR(INDEX(lifespans_all!I$80:I$126,MATCH($A80,lifespans_all!$A$80:$A$126,0))*INDEX(SR_mission_minutes!I$2:I$43,MATCH($A80,SR_mission_minutes!$A$2:$A$43)),"-")</f>
        <v>2294</v>
      </c>
      <c r="J80" s="128">
        <f>IFERROR(INDEX(lifespans_all!J$80:J$126,MATCH($A80,lifespans_all!$A$80:$A$126,0))*INDEX(SR_mission_minutes!J$2:J$43,MATCH($A80,SR_mission_minutes!$A$2:$A$43)),"-")</f>
        <v>2294</v>
      </c>
      <c r="K80" s="128">
        <f>IFERROR(INDEX(lifespans_all!K$80:K$126,MATCH($A80,lifespans_all!$A$80:$A$126,0))*INDEX(SR_mission_minutes!K$2:K$43,MATCH($A80,SR_mission_minutes!$A$2:$A$43)),"-")</f>
        <v>2294</v>
      </c>
      <c r="L80" s="128">
        <f>IFERROR(INDEX(lifespans_all!L$80:L$126,MATCH($A80,lifespans_all!$A$80:$A$126,0))*INDEX(SR_mission_minutes!L$2:L$43,MATCH($A80,SR_mission_minutes!$A$2:$A$43)),"-")</f>
        <v>2294</v>
      </c>
      <c r="M80" s="128">
        <f>IFERROR(INDEX(lifespans_all!M$80:M$126,MATCH($A80,lifespans_all!$A$80:$A$126,0))*INDEX(SR_mission_minutes!M$2:M$43,MATCH($A80,SR_mission_minutes!$A$2:$A$43)),"-")</f>
        <v>2294</v>
      </c>
      <c r="N80" s="128">
        <f>IFERROR(INDEX(lifespans_all!N$80:N$126,MATCH($A80,lifespans_all!$A$80:$A$126,0))*INDEX(SR_mission_minutes!N$2:N$43,MATCH($A80,SR_mission_minutes!$A$2:$A$43)),"-")</f>
        <v>2294</v>
      </c>
      <c r="O80" s="128">
        <f>IFERROR(INDEX(lifespans_all!O$80:O$126,MATCH($A80,lifespans_all!$A$80:$A$126,0))*INDEX(SR_mission_minutes!O$2:O$43,MATCH($A80,SR_mission_minutes!$A$2:$A$43)),"-")</f>
        <v>2294</v>
      </c>
      <c r="P80" s="128">
        <f>IFERROR(INDEX(lifespans_all!P$80:P$126,MATCH($A80,lifespans_all!$A$80:$A$126,0))*INDEX(SR_mission_minutes!P$2:P$43,MATCH($A80,SR_mission_minutes!$A$2:$A$43)),"-")</f>
        <v>2294</v>
      </c>
      <c r="Q80" s="128">
        <f>IFERROR(INDEX(lifespans_all!Q$80:Q$126,MATCH($A80,lifespans_all!$A$80:$A$126,0))*INDEX(SR_mission_minutes!Q$2:Q$43,MATCH($A80,SR_mission_minutes!$A$2:$A$43)),"-")</f>
        <v>2294</v>
      </c>
      <c r="R80" s="128">
        <f>IFERROR(INDEX(lifespans_all!R$80:R$126,MATCH($A80,lifespans_all!$A$80:$A$126,0))*INDEX(SR_mission_minutes!R$2:R$43,MATCH($A80,SR_mission_minutes!$A$2:$A$43)),"-")</f>
        <v>2294</v>
      </c>
      <c r="S80" s="128">
        <f>IFERROR(INDEX(lifespans_all!S$80:S$126,MATCH($A80,lifespans_all!$A$80:$A$126,0))*INDEX(SR_mission_minutes!S$2:S$43,MATCH($A80,SR_mission_minutes!$A$2:$A$43)),"-")</f>
        <v>2294</v>
      </c>
      <c r="T80" s="128">
        <f>IFERROR(INDEX(lifespans_all!T$80:T$126,MATCH($A80,lifespans_all!$A$80:$A$126,0))*INDEX(SR_mission_minutes!T$2:T$43,MATCH($A80,SR_mission_minutes!$A$2:$A$43)),"-")</f>
        <v>2294</v>
      </c>
      <c r="U80" s="128">
        <f>IFERROR(INDEX(lifespans_all!U$80:U$126,MATCH($A80,lifespans_all!$A$80:$A$126,0))*INDEX(SR_mission_minutes!U$2:U$43,MATCH($A80,SR_mission_minutes!$A$2:$A$43)),"-")</f>
        <v>2294</v>
      </c>
      <c r="V80" s="128">
        <f>IFERROR(INDEX(lifespans_all!V$80:V$126,MATCH($A80,lifespans_all!$A$80:$A$126,0))*INDEX(SR_mission_minutes!V$2:V$43,MATCH($A80,SR_mission_minutes!$A$2:$A$43)),"-")</f>
        <v>2294</v>
      </c>
      <c r="W80" s="128">
        <f>IFERROR(INDEX(lifespans_all!W$80:W$126,MATCH($A80,lifespans_all!$A$80:$A$126,0))*INDEX(SR_mission_minutes!W$2:W$43,MATCH($A80,SR_mission_minutes!$A$2:$A$43)),"-")</f>
        <v>2294</v>
      </c>
    </row>
    <row r="81" spans="1:23" x14ac:dyDescent="0.25">
      <c r="A81" s="46" t="s">
        <v>72</v>
      </c>
      <c r="B81" s="46" t="s">
        <v>59</v>
      </c>
      <c r="C81" s="135"/>
      <c r="D81" s="128">
        <f>IFERROR(INDEX(lifespans_all!D$80:D$126,MATCH($A81,lifespans_all!$A$80:$A$126,0))*INDEX(SR_mission_minutes!D$2:D$43,MATCH($A81,SR_mission_minutes!$A$2:$A$43)),"-")</f>
        <v>114879</v>
      </c>
      <c r="E81" s="128">
        <f>IFERROR(INDEX(lifespans_all!E$80:E$126,MATCH($A81,lifespans_all!$A$80:$A$126,0))*INDEX(SR_mission_minutes!E$2:E$43,MATCH($A81,SR_mission_minutes!$A$2:$A$43)),"-")</f>
        <v>114879</v>
      </c>
      <c r="F81" s="128">
        <f>IFERROR(INDEX(lifespans_all!F$80:F$126,MATCH($A81,lifespans_all!$A$80:$A$126,0))*INDEX(SR_mission_minutes!F$2:F$43,MATCH($A81,SR_mission_minutes!$A$2:$A$43)),"-")</f>
        <v>114879</v>
      </c>
      <c r="G81" s="128">
        <f>IFERROR(INDEX(lifespans_all!G$80:G$126,MATCH($A81,lifespans_all!$A$80:$A$126,0))*INDEX(SR_mission_minutes!G$2:G$43,MATCH($A81,SR_mission_minutes!$A$2:$A$43)),"-")</f>
        <v>114879</v>
      </c>
      <c r="H81" s="128">
        <f>IFERROR(INDEX(lifespans_all!H$80:H$126,MATCH($A81,lifespans_all!$A$80:$A$126,0))*INDEX(SR_mission_minutes!H$2:H$43,MATCH($A81,SR_mission_minutes!$A$2:$A$43)),"-")</f>
        <v>114879</v>
      </c>
      <c r="I81" s="128">
        <f>IFERROR(INDEX(lifespans_all!I$80:I$126,MATCH($A81,lifespans_all!$A$80:$A$126,0))*INDEX(SR_mission_minutes!I$2:I$43,MATCH($A81,SR_mission_minutes!$A$2:$A$43)),"-")</f>
        <v>114879</v>
      </c>
      <c r="J81" s="128">
        <f>IFERROR(INDEX(lifespans_all!J$80:J$126,MATCH($A81,lifespans_all!$A$80:$A$126,0))*INDEX(SR_mission_minutes!J$2:J$43,MATCH($A81,SR_mission_minutes!$A$2:$A$43)),"-")</f>
        <v>114879</v>
      </c>
      <c r="K81" s="128">
        <f>IFERROR(INDEX(lifespans_all!K$80:K$126,MATCH($A81,lifespans_all!$A$80:$A$126,0))*INDEX(SR_mission_minutes!K$2:K$43,MATCH($A81,SR_mission_minutes!$A$2:$A$43)),"-")</f>
        <v>114879</v>
      </c>
      <c r="L81" s="128">
        <f>IFERROR(INDEX(lifespans_all!L$80:L$126,MATCH($A81,lifespans_all!$A$80:$A$126,0))*INDEX(SR_mission_minutes!L$2:L$43,MATCH($A81,SR_mission_minutes!$A$2:$A$43)),"-")</f>
        <v>114879</v>
      </c>
      <c r="M81" s="128">
        <f>IFERROR(INDEX(lifespans_all!M$80:M$126,MATCH($A81,lifespans_all!$A$80:$A$126,0))*INDEX(SR_mission_minutes!M$2:M$43,MATCH($A81,SR_mission_minutes!$A$2:$A$43)),"-")</f>
        <v>114879</v>
      </c>
      <c r="N81" s="128">
        <f>IFERROR(INDEX(lifespans_all!N$80:N$126,MATCH($A81,lifespans_all!$A$80:$A$126,0))*INDEX(SR_mission_minutes!N$2:N$43,MATCH($A81,SR_mission_minutes!$A$2:$A$43)),"-")</f>
        <v>114879</v>
      </c>
      <c r="O81" s="128">
        <f>IFERROR(INDEX(lifespans_all!O$80:O$126,MATCH($A81,lifespans_all!$A$80:$A$126,0))*INDEX(SR_mission_minutes!O$2:O$43,MATCH($A81,SR_mission_minutes!$A$2:$A$43)),"-")</f>
        <v>114879</v>
      </c>
      <c r="P81" s="128">
        <f>IFERROR(INDEX(lifespans_all!P$80:P$126,MATCH($A81,lifespans_all!$A$80:$A$126,0))*INDEX(SR_mission_minutes!P$2:P$43,MATCH($A81,SR_mission_minutes!$A$2:$A$43)),"-")</f>
        <v>114879</v>
      </c>
      <c r="Q81" s="128">
        <f>IFERROR(INDEX(lifespans_all!Q$80:Q$126,MATCH($A81,lifespans_all!$A$80:$A$126,0))*INDEX(SR_mission_minutes!Q$2:Q$43,MATCH($A81,SR_mission_minutes!$A$2:$A$43)),"-")</f>
        <v>114879</v>
      </c>
      <c r="R81" s="128">
        <f>IFERROR(INDEX(lifespans_all!R$80:R$126,MATCH($A81,lifespans_all!$A$80:$A$126,0))*INDEX(SR_mission_minutes!R$2:R$43,MATCH($A81,SR_mission_minutes!$A$2:$A$43)),"-")</f>
        <v>114879</v>
      </c>
      <c r="S81" s="128">
        <f>IFERROR(INDEX(lifespans_all!S$80:S$126,MATCH($A81,lifespans_all!$A$80:$A$126,0))*INDEX(SR_mission_minutes!S$2:S$43,MATCH($A81,SR_mission_minutes!$A$2:$A$43)),"-")</f>
        <v>114879</v>
      </c>
      <c r="T81" s="128">
        <f>IFERROR(INDEX(lifespans_all!T$80:T$126,MATCH($A81,lifespans_all!$A$80:$A$126,0))*INDEX(SR_mission_minutes!T$2:T$43,MATCH($A81,SR_mission_minutes!$A$2:$A$43)),"-")</f>
        <v>114879</v>
      </c>
      <c r="U81" s="128">
        <f>IFERROR(INDEX(lifespans_all!U$80:U$126,MATCH($A81,lifespans_all!$A$80:$A$126,0))*INDEX(SR_mission_minutes!U$2:U$43,MATCH($A81,SR_mission_minutes!$A$2:$A$43)),"-")</f>
        <v>114879</v>
      </c>
      <c r="V81" s="128">
        <f>IFERROR(INDEX(lifespans_all!V$80:V$126,MATCH($A81,lifespans_all!$A$80:$A$126,0))*INDEX(SR_mission_minutes!V$2:V$43,MATCH($A81,SR_mission_minutes!$A$2:$A$43)),"-")</f>
        <v>114879</v>
      </c>
      <c r="W81" s="128">
        <f>IFERROR(INDEX(lifespans_all!W$80:W$126,MATCH($A81,lifespans_all!$A$80:$A$126,0))*INDEX(SR_mission_minutes!W$2:W$43,MATCH($A81,SR_mission_minutes!$A$2:$A$43)),"-")</f>
        <v>114879</v>
      </c>
    </row>
    <row r="82" spans="1:23" x14ac:dyDescent="0.25">
      <c r="A82" s="46" t="s">
        <v>35</v>
      </c>
      <c r="B82" s="46" t="s">
        <v>57</v>
      </c>
      <c r="C82" s="135"/>
      <c r="D82" s="128">
        <f>IFERROR(INDEX(lifespans_all!D$80:D$126,MATCH($A82,lifespans_all!$A$80:$A$126,0))*INDEX(SR_mission_minutes!D$2:D$43,MATCH($A82,SR_mission_minutes!$A$2:$A$43)),"-")</f>
        <v>66700.388888888891</v>
      </c>
      <c r="E82" s="128">
        <f>IFERROR(INDEX(lifespans_all!E$80:E$126,MATCH($A82,lifespans_all!$A$80:$A$126,0))*INDEX(SR_mission_minutes!E$2:E$43,MATCH($A82,SR_mission_minutes!$A$2:$A$43)),"-")</f>
        <v>66700.388888888891</v>
      </c>
      <c r="F82" s="128">
        <f>IFERROR(INDEX(lifespans_all!F$80:F$126,MATCH($A82,lifespans_all!$A$80:$A$126,0))*INDEX(SR_mission_minutes!F$2:F$43,MATCH($A82,SR_mission_minutes!$A$2:$A$43)),"-")</f>
        <v>66700.388888888891</v>
      </c>
      <c r="G82" s="128">
        <f>IFERROR(INDEX(lifespans_all!G$80:G$126,MATCH($A82,lifespans_all!$A$80:$A$126,0))*INDEX(SR_mission_minutes!G$2:G$43,MATCH($A82,SR_mission_minutes!$A$2:$A$43)),"-")</f>
        <v>66700.388888888891</v>
      </c>
      <c r="H82" s="128">
        <f>IFERROR(INDEX(lifespans_all!H$80:H$126,MATCH($A82,lifespans_all!$A$80:$A$126,0))*INDEX(SR_mission_minutes!H$2:H$43,MATCH($A82,SR_mission_minutes!$A$2:$A$43)),"-")</f>
        <v>66700.388888888891</v>
      </c>
      <c r="I82" s="128">
        <f>IFERROR(INDEX(lifespans_all!I$80:I$126,MATCH($A82,lifespans_all!$A$80:$A$126,0))*INDEX(SR_mission_minutes!I$2:I$43,MATCH($A82,SR_mission_minutes!$A$2:$A$43)),"-")</f>
        <v>66700.388888888891</v>
      </c>
      <c r="J82" s="128">
        <f>IFERROR(INDEX(lifespans_all!J$80:J$126,MATCH($A82,lifespans_all!$A$80:$A$126,0))*INDEX(SR_mission_minutes!J$2:J$43,MATCH($A82,SR_mission_minutes!$A$2:$A$43)),"-")</f>
        <v>66700.388888888891</v>
      </c>
      <c r="K82" s="128">
        <f>IFERROR(INDEX(lifespans_all!K$80:K$126,MATCH($A82,lifespans_all!$A$80:$A$126,0))*INDEX(SR_mission_minutes!K$2:K$43,MATCH($A82,SR_mission_minutes!$A$2:$A$43)),"-")</f>
        <v>0</v>
      </c>
      <c r="L82" s="128">
        <f>IFERROR(INDEX(lifespans_all!L$80:L$126,MATCH($A82,lifespans_all!$A$80:$A$126,0))*INDEX(SR_mission_minutes!L$2:L$43,MATCH($A82,SR_mission_minutes!$A$2:$A$43)),"-")</f>
        <v>0</v>
      </c>
      <c r="M82" s="128">
        <f>IFERROR(INDEX(lifespans_all!M$80:M$126,MATCH($A82,lifespans_all!$A$80:$A$126,0))*INDEX(SR_mission_minutes!M$2:M$43,MATCH($A82,SR_mission_minutes!$A$2:$A$43)),"-")</f>
        <v>0</v>
      </c>
      <c r="N82" s="128">
        <f>IFERROR(INDEX(lifespans_all!N$80:N$126,MATCH($A82,lifespans_all!$A$80:$A$126,0))*INDEX(SR_mission_minutes!N$2:N$43,MATCH($A82,SR_mission_minutes!$A$2:$A$43)),"-")</f>
        <v>0</v>
      </c>
      <c r="O82" s="128">
        <f>IFERROR(INDEX(lifespans_all!O$80:O$126,MATCH($A82,lifespans_all!$A$80:$A$126,0))*INDEX(SR_mission_minutes!O$2:O$43,MATCH($A82,SR_mission_minutes!$A$2:$A$43)),"-")</f>
        <v>0</v>
      </c>
      <c r="P82" s="128">
        <f>IFERROR(INDEX(lifespans_all!P$80:P$126,MATCH($A82,lifespans_all!$A$80:$A$126,0))*INDEX(SR_mission_minutes!P$2:P$43,MATCH($A82,SR_mission_minutes!$A$2:$A$43)),"-")</f>
        <v>0</v>
      </c>
      <c r="Q82" s="128">
        <f>IFERROR(INDEX(lifespans_all!Q$80:Q$126,MATCH($A82,lifespans_all!$A$80:$A$126,0))*INDEX(SR_mission_minutes!Q$2:Q$43,MATCH($A82,SR_mission_minutes!$A$2:$A$43)),"-")</f>
        <v>0</v>
      </c>
      <c r="R82" s="128">
        <f>IFERROR(INDEX(lifespans_all!R$80:R$126,MATCH($A82,lifespans_all!$A$80:$A$126,0))*INDEX(SR_mission_minutes!R$2:R$43,MATCH($A82,SR_mission_minutes!$A$2:$A$43)),"-")</f>
        <v>0</v>
      </c>
      <c r="S82" s="128">
        <f>IFERROR(INDEX(lifespans_all!S$80:S$126,MATCH($A82,lifespans_all!$A$80:$A$126,0))*INDEX(SR_mission_minutes!S$2:S$43,MATCH($A82,SR_mission_minutes!$A$2:$A$43)),"-")</f>
        <v>0</v>
      </c>
      <c r="T82" s="128">
        <f>IFERROR(INDEX(lifespans_all!T$80:T$126,MATCH($A82,lifespans_all!$A$80:$A$126,0))*INDEX(SR_mission_minutes!T$2:T$43,MATCH($A82,SR_mission_minutes!$A$2:$A$43)),"-")</f>
        <v>0</v>
      </c>
      <c r="U82" s="128">
        <f>IFERROR(INDEX(lifespans_all!U$80:U$126,MATCH($A82,lifespans_all!$A$80:$A$126,0))*INDEX(SR_mission_minutes!U$2:U$43,MATCH($A82,SR_mission_minutes!$A$2:$A$43)),"-")</f>
        <v>0</v>
      </c>
      <c r="V82" s="128">
        <f>IFERROR(INDEX(lifespans_all!V$80:V$126,MATCH($A82,lifespans_all!$A$80:$A$126,0))*INDEX(SR_mission_minutes!V$2:V$43,MATCH($A82,SR_mission_minutes!$A$2:$A$43)),"-")</f>
        <v>0</v>
      </c>
      <c r="W82" s="128">
        <f>IFERROR(INDEX(lifespans_all!W$80:W$126,MATCH($A82,lifespans_all!$A$80:$A$126,0))*INDEX(SR_mission_minutes!W$2:W$43,MATCH($A82,SR_mission_minutes!$A$2:$A$43)),"-")</f>
        <v>0</v>
      </c>
    </row>
    <row r="83" spans="1:23" x14ac:dyDescent="0.25">
      <c r="A83" s="46" t="s">
        <v>36</v>
      </c>
      <c r="B83" s="46" t="s">
        <v>57</v>
      </c>
      <c r="C83" s="135"/>
      <c r="D83" s="128">
        <f>IFERROR(INDEX(lifespans_all!D$80:D$126,MATCH($A83,lifespans_all!$A$80:$A$126,0))*INDEX(SR_mission_minutes!D$2:D$43,MATCH($A83,SR_mission_minutes!$A$2:$A$43)),"-")</f>
        <v>66700.388888888891</v>
      </c>
      <c r="E83" s="128">
        <f>IFERROR(INDEX(lifespans_all!E$80:E$126,MATCH($A83,lifespans_all!$A$80:$A$126,0))*INDEX(SR_mission_minutes!E$2:E$43,MATCH($A83,SR_mission_minutes!$A$2:$A$43)),"-")</f>
        <v>66700.388888888891</v>
      </c>
      <c r="F83" s="128">
        <f>IFERROR(INDEX(lifespans_all!F$80:F$126,MATCH($A83,lifespans_all!$A$80:$A$126,0))*INDEX(SR_mission_minutes!F$2:F$43,MATCH($A83,SR_mission_minutes!$A$2:$A$43)),"-")</f>
        <v>66700.388888888891</v>
      </c>
      <c r="G83" s="128">
        <f>IFERROR(INDEX(lifespans_all!G$80:G$126,MATCH($A83,lifespans_all!$A$80:$A$126,0))*INDEX(SR_mission_minutes!G$2:G$43,MATCH($A83,SR_mission_minutes!$A$2:$A$43)),"-")</f>
        <v>66700.388888888891</v>
      </c>
      <c r="H83" s="128">
        <f>IFERROR(INDEX(lifespans_all!H$80:H$126,MATCH($A83,lifespans_all!$A$80:$A$126,0))*INDEX(SR_mission_minutes!H$2:H$43,MATCH($A83,SR_mission_minutes!$A$2:$A$43)),"-")</f>
        <v>66700.388888888891</v>
      </c>
      <c r="I83" s="128">
        <f>IFERROR(INDEX(lifespans_all!I$80:I$126,MATCH($A83,lifespans_all!$A$80:$A$126,0))*INDEX(SR_mission_minutes!I$2:I$43,MATCH($A83,SR_mission_minutes!$A$2:$A$43)),"-")</f>
        <v>66700.388888888891</v>
      </c>
      <c r="J83" s="128">
        <f>IFERROR(INDEX(lifespans_all!J$80:J$126,MATCH($A83,lifespans_all!$A$80:$A$126,0))*INDEX(SR_mission_minutes!J$2:J$43,MATCH($A83,SR_mission_minutes!$A$2:$A$43)),"-")</f>
        <v>66700.388888888891</v>
      </c>
      <c r="K83" s="128">
        <f>IFERROR(INDEX(lifespans_all!K$80:K$126,MATCH($A83,lifespans_all!$A$80:$A$126,0))*INDEX(SR_mission_minutes!K$2:K$43,MATCH($A83,SR_mission_minutes!$A$2:$A$43)),"-")</f>
        <v>66700.388888888891</v>
      </c>
      <c r="L83" s="128">
        <f>IFERROR(INDEX(lifespans_all!L$80:L$126,MATCH($A83,lifespans_all!$A$80:$A$126,0))*INDEX(SR_mission_minutes!L$2:L$43,MATCH($A83,SR_mission_minutes!$A$2:$A$43)),"-")</f>
        <v>66700.388888888891</v>
      </c>
      <c r="M83" s="128">
        <f>IFERROR(INDEX(lifespans_all!M$80:M$126,MATCH($A83,lifespans_all!$A$80:$A$126,0))*INDEX(SR_mission_minutes!M$2:M$43,MATCH($A83,SR_mission_minutes!$A$2:$A$43)),"-")</f>
        <v>66700.388888888891</v>
      </c>
      <c r="N83" s="128">
        <f>IFERROR(INDEX(lifespans_all!N$80:N$126,MATCH($A83,lifespans_all!$A$80:$A$126,0))*INDEX(SR_mission_minutes!N$2:N$43,MATCH($A83,SR_mission_minutes!$A$2:$A$43)),"-")</f>
        <v>66700.388888888891</v>
      </c>
      <c r="O83" s="128">
        <f>IFERROR(INDEX(lifespans_all!O$80:O$126,MATCH($A83,lifespans_all!$A$80:$A$126,0))*INDEX(SR_mission_minutes!O$2:O$43,MATCH($A83,SR_mission_minutes!$A$2:$A$43)),"-")</f>
        <v>66700.388888888891</v>
      </c>
      <c r="P83" s="128">
        <f>IFERROR(INDEX(lifespans_all!P$80:P$126,MATCH($A83,lifespans_all!$A$80:$A$126,0))*INDEX(SR_mission_minutes!P$2:P$43,MATCH($A83,SR_mission_minutes!$A$2:$A$43)),"-")</f>
        <v>66700.388888888891</v>
      </c>
      <c r="Q83" s="128">
        <f>IFERROR(INDEX(lifespans_all!Q$80:Q$126,MATCH($A83,lifespans_all!$A$80:$A$126,0))*INDEX(SR_mission_minutes!Q$2:Q$43,MATCH($A83,SR_mission_minutes!$A$2:$A$43)),"-")</f>
        <v>66700.388888888891</v>
      </c>
      <c r="R83" s="128">
        <f>IFERROR(INDEX(lifespans_all!R$80:R$126,MATCH($A83,lifespans_all!$A$80:$A$126,0))*INDEX(SR_mission_minutes!R$2:R$43,MATCH($A83,SR_mission_minutes!$A$2:$A$43)),"-")</f>
        <v>66700.388888888891</v>
      </c>
      <c r="S83" s="128">
        <f>IFERROR(INDEX(lifespans_all!S$80:S$126,MATCH($A83,lifespans_all!$A$80:$A$126,0))*INDEX(SR_mission_minutes!S$2:S$43,MATCH($A83,SR_mission_minutes!$A$2:$A$43)),"-")</f>
        <v>66700.388888888891</v>
      </c>
      <c r="T83" s="128">
        <f>IFERROR(INDEX(lifespans_all!T$80:T$126,MATCH($A83,lifespans_all!$A$80:$A$126,0))*INDEX(SR_mission_minutes!T$2:T$43,MATCH($A83,SR_mission_minutes!$A$2:$A$43)),"-")</f>
        <v>66700.388888888891</v>
      </c>
      <c r="U83" s="128">
        <f>IFERROR(INDEX(lifespans_all!U$80:U$126,MATCH($A83,lifespans_all!$A$80:$A$126,0))*INDEX(SR_mission_minutes!U$2:U$43,MATCH($A83,SR_mission_minutes!$A$2:$A$43)),"-")</f>
        <v>66700.388888888891</v>
      </c>
      <c r="V83" s="128">
        <f>IFERROR(INDEX(lifespans_all!V$80:V$126,MATCH($A83,lifespans_all!$A$80:$A$126,0))*INDEX(SR_mission_minutes!V$2:V$43,MATCH($A83,SR_mission_minutes!$A$2:$A$43)),"-")</f>
        <v>66700.388888888891</v>
      </c>
      <c r="W83" s="128">
        <f>IFERROR(INDEX(lifespans_all!W$80:W$126,MATCH($A83,lifespans_all!$A$80:$A$126,0))*INDEX(SR_mission_minutes!W$2:W$43,MATCH($A83,SR_mission_minutes!$A$2:$A$43)),"-")</f>
        <v>66700.388888888891</v>
      </c>
    </row>
    <row r="84" spans="1:23" x14ac:dyDescent="0.25">
      <c r="A84" s="46" t="s">
        <v>37</v>
      </c>
      <c r="B84" s="46" t="s">
        <v>57</v>
      </c>
      <c r="C84" s="135"/>
      <c r="D84" s="128">
        <f>IFERROR(INDEX(lifespans_all!D$80:D$126,MATCH($A84,lifespans_all!$A$80:$A$126,0))*INDEX(SR_mission_minutes!D$2:D$43,MATCH($A84,SR_mission_minutes!$A$2:$A$43)),"-")</f>
        <v>66700.388888888891</v>
      </c>
      <c r="E84" s="128">
        <f>IFERROR(INDEX(lifespans_all!E$80:E$126,MATCH($A84,lifespans_all!$A$80:$A$126,0))*INDEX(SR_mission_minutes!E$2:E$43,MATCH($A84,SR_mission_minutes!$A$2:$A$43)),"-")</f>
        <v>66700.388888888891</v>
      </c>
      <c r="F84" s="128">
        <f>IFERROR(INDEX(lifespans_all!F$80:F$126,MATCH($A84,lifespans_all!$A$80:$A$126,0))*INDEX(SR_mission_minutes!F$2:F$43,MATCH($A84,SR_mission_minutes!$A$2:$A$43)),"-")</f>
        <v>66700.388888888891</v>
      </c>
      <c r="G84" s="128">
        <f>IFERROR(INDEX(lifespans_all!G$80:G$126,MATCH($A84,lifespans_all!$A$80:$A$126,0))*INDEX(SR_mission_minutes!G$2:G$43,MATCH($A84,SR_mission_minutes!$A$2:$A$43)),"-")</f>
        <v>66700.388888888891</v>
      </c>
      <c r="H84" s="128">
        <f>IFERROR(INDEX(lifespans_all!H$80:H$126,MATCH($A84,lifespans_all!$A$80:$A$126,0))*INDEX(SR_mission_minutes!H$2:H$43,MATCH($A84,SR_mission_minutes!$A$2:$A$43)),"-")</f>
        <v>66700.388888888891</v>
      </c>
      <c r="I84" s="128">
        <f>IFERROR(INDEX(lifespans_all!I$80:I$126,MATCH($A84,lifespans_all!$A$80:$A$126,0))*INDEX(SR_mission_minutes!I$2:I$43,MATCH($A84,SR_mission_minutes!$A$2:$A$43)),"-")</f>
        <v>0</v>
      </c>
      <c r="J84" s="128">
        <f>IFERROR(INDEX(lifespans_all!J$80:J$126,MATCH($A84,lifespans_all!$A$80:$A$126,0))*INDEX(SR_mission_minutes!J$2:J$43,MATCH($A84,SR_mission_minutes!$A$2:$A$43)),"-")</f>
        <v>0</v>
      </c>
      <c r="K84" s="128">
        <f>IFERROR(INDEX(lifespans_all!K$80:K$126,MATCH($A84,lifespans_all!$A$80:$A$126,0))*INDEX(SR_mission_minutes!K$2:K$43,MATCH($A84,SR_mission_minutes!$A$2:$A$43)),"-")</f>
        <v>0</v>
      </c>
      <c r="L84" s="128">
        <f>IFERROR(INDEX(lifespans_all!L$80:L$126,MATCH($A84,lifespans_all!$A$80:$A$126,0))*INDEX(SR_mission_minutes!L$2:L$43,MATCH($A84,SR_mission_minutes!$A$2:$A$43)),"-")</f>
        <v>0</v>
      </c>
      <c r="M84" s="128">
        <f>IFERROR(INDEX(lifespans_all!M$80:M$126,MATCH($A84,lifespans_all!$A$80:$A$126,0))*INDEX(SR_mission_minutes!M$2:M$43,MATCH($A84,SR_mission_minutes!$A$2:$A$43)),"-")</f>
        <v>0</v>
      </c>
      <c r="N84" s="128">
        <f>IFERROR(INDEX(lifespans_all!N$80:N$126,MATCH($A84,lifespans_all!$A$80:$A$126,0))*INDEX(SR_mission_minutes!N$2:N$43,MATCH($A84,SR_mission_minutes!$A$2:$A$43)),"-")</f>
        <v>0</v>
      </c>
      <c r="O84" s="128">
        <f>IFERROR(INDEX(lifespans_all!O$80:O$126,MATCH($A84,lifespans_all!$A$80:$A$126,0))*INDEX(SR_mission_minutes!O$2:O$43,MATCH($A84,SR_mission_minutes!$A$2:$A$43)),"-")</f>
        <v>0</v>
      </c>
      <c r="P84" s="128">
        <f>IFERROR(INDEX(lifespans_all!P$80:P$126,MATCH($A84,lifespans_all!$A$80:$A$126,0))*INDEX(SR_mission_minutes!P$2:P$43,MATCH($A84,SR_mission_minutes!$A$2:$A$43)),"-")</f>
        <v>0</v>
      </c>
      <c r="Q84" s="128">
        <f>IFERROR(INDEX(lifespans_all!Q$80:Q$126,MATCH($A84,lifespans_all!$A$80:$A$126,0))*INDEX(SR_mission_minutes!Q$2:Q$43,MATCH($A84,SR_mission_minutes!$A$2:$A$43)),"-")</f>
        <v>0</v>
      </c>
      <c r="R84" s="128">
        <f>IFERROR(INDEX(lifespans_all!R$80:R$126,MATCH($A84,lifespans_all!$A$80:$A$126,0))*INDEX(SR_mission_minutes!R$2:R$43,MATCH($A84,SR_mission_minutes!$A$2:$A$43)),"-")</f>
        <v>0</v>
      </c>
      <c r="S84" s="128">
        <f>IFERROR(INDEX(lifespans_all!S$80:S$126,MATCH($A84,lifespans_all!$A$80:$A$126,0))*INDEX(SR_mission_minutes!S$2:S$43,MATCH($A84,SR_mission_minutes!$A$2:$A$43)),"-")</f>
        <v>0</v>
      </c>
      <c r="T84" s="128">
        <f>IFERROR(INDEX(lifespans_all!T$80:T$126,MATCH($A84,lifespans_all!$A$80:$A$126,0))*INDEX(SR_mission_minutes!T$2:T$43,MATCH($A84,SR_mission_minutes!$A$2:$A$43)),"-")</f>
        <v>0</v>
      </c>
      <c r="U84" s="128">
        <f>IFERROR(INDEX(lifespans_all!U$80:U$126,MATCH($A84,lifespans_all!$A$80:$A$126,0))*INDEX(SR_mission_minutes!U$2:U$43,MATCH($A84,SR_mission_minutes!$A$2:$A$43)),"-")</f>
        <v>0</v>
      </c>
      <c r="V84" s="128">
        <f>IFERROR(INDEX(lifespans_all!V$80:V$126,MATCH($A84,lifespans_all!$A$80:$A$126,0))*INDEX(SR_mission_minutes!V$2:V$43,MATCH($A84,SR_mission_minutes!$A$2:$A$43)),"-")</f>
        <v>0</v>
      </c>
      <c r="W84" s="128">
        <f>IFERROR(INDEX(lifespans_all!W$80:W$126,MATCH($A84,lifespans_all!$A$80:$A$126,0))*INDEX(SR_mission_minutes!W$2:W$43,MATCH($A84,SR_mission_minutes!$A$2:$A$43)),"-")</f>
        <v>0</v>
      </c>
    </row>
    <row r="85" spans="1:23" x14ac:dyDescent="0.25">
      <c r="A85" s="46" t="s">
        <v>73</v>
      </c>
      <c r="B85" s="46" t="s">
        <v>57</v>
      </c>
      <c r="C85" s="135"/>
      <c r="D85" s="128">
        <f>IFERROR(INDEX(lifespans_all!D$80:D$126,MATCH($A85,lifespans_all!$A$80:$A$126,0))*INDEX(SR_mission_minutes!D$2:D$43,MATCH($A85,SR_mission_minutes!$A$2:$A$43)),"-")</f>
        <v>66700.388888888891</v>
      </c>
      <c r="E85" s="128">
        <f>IFERROR(INDEX(lifespans_all!E$80:E$126,MATCH($A85,lifespans_all!$A$80:$A$126,0))*INDEX(SR_mission_minutes!E$2:E$43,MATCH($A85,SR_mission_minutes!$A$2:$A$43)),"-")</f>
        <v>66700.388888888891</v>
      </c>
      <c r="F85" s="128">
        <f>IFERROR(INDEX(lifespans_all!F$80:F$126,MATCH($A85,lifespans_all!$A$80:$A$126,0))*INDEX(SR_mission_minutes!F$2:F$43,MATCH($A85,SR_mission_minutes!$A$2:$A$43)),"-")</f>
        <v>66700.388888888891</v>
      </c>
      <c r="G85" s="128">
        <f>IFERROR(INDEX(lifespans_all!G$80:G$126,MATCH($A85,lifespans_all!$A$80:$A$126,0))*INDEX(SR_mission_minutes!G$2:G$43,MATCH($A85,SR_mission_minutes!$A$2:$A$43)),"-")</f>
        <v>66700.388888888891</v>
      </c>
      <c r="H85" s="128">
        <f>IFERROR(INDEX(lifespans_all!H$80:H$126,MATCH($A85,lifespans_all!$A$80:$A$126,0))*INDEX(SR_mission_minutes!H$2:H$43,MATCH($A85,SR_mission_minutes!$A$2:$A$43)),"-")</f>
        <v>66700.388888888891</v>
      </c>
      <c r="I85" s="128">
        <f>IFERROR(INDEX(lifespans_all!I$80:I$126,MATCH($A85,lifespans_all!$A$80:$A$126,0))*INDEX(SR_mission_minutes!I$2:I$43,MATCH($A85,SR_mission_minutes!$A$2:$A$43)),"-")</f>
        <v>0</v>
      </c>
      <c r="J85" s="128">
        <f>IFERROR(INDEX(lifespans_all!J$80:J$126,MATCH($A85,lifespans_all!$A$80:$A$126,0))*INDEX(SR_mission_minutes!J$2:J$43,MATCH($A85,SR_mission_minutes!$A$2:$A$43)),"-")</f>
        <v>0</v>
      </c>
      <c r="K85" s="128">
        <f>IFERROR(INDEX(lifespans_all!K$80:K$126,MATCH($A85,lifespans_all!$A$80:$A$126,0))*INDEX(SR_mission_minutes!K$2:K$43,MATCH($A85,SR_mission_minutes!$A$2:$A$43)),"-")</f>
        <v>0</v>
      </c>
      <c r="L85" s="128">
        <f>IFERROR(INDEX(lifespans_all!L$80:L$126,MATCH($A85,lifespans_all!$A$80:$A$126,0))*INDEX(SR_mission_minutes!L$2:L$43,MATCH($A85,SR_mission_minutes!$A$2:$A$43)),"-")</f>
        <v>0</v>
      </c>
      <c r="M85" s="128">
        <f>IFERROR(INDEX(lifespans_all!M$80:M$126,MATCH($A85,lifespans_all!$A$80:$A$126,0))*INDEX(SR_mission_minutes!M$2:M$43,MATCH($A85,SR_mission_minutes!$A$2:$A$43)),"-")</f>
        <v>0</v>
      </c>
      <c r="N85" s="128">
        <f>IFERROR(INDEX(lifespans_all!N$80:N$126,MATCH($A85,lifespans_all!$A$80:$A$126,0))*INDEX(SR_mission_minutes!N$2:N$43,MATCH($A85,SR_mission_minutes!$A$2:$A$43)),"-")</f>
        <v>0</v>
      </c>
      <c r="O85" s="128">
        <f>IFERROR(INDEX(lifespans_all!O$80:O$126,MATCH($A85,lifespans_all!$A$80:$A$126,0))*INDEX(SR_mission_minutes!O$2:O$43,MATCH($A85,SR_mission_minutes!$A$2:$A$43)),"-")</f>
        <v>0</v>
      </c>
      <c r="P85" s="128">
        <f>IFERROR(INDEX(lifespans_all!P$80:P$126,MATCH($A85,lifespans_all!$A$80:$A$126,0))*INDEX(SR_mission_minutes!P$2:P$43,MATCH($A85,SR_mission_minutes!$A$2:$A$43)),"-")</f>
        <v>0</v>
      </c>
      <c r="Q85" s="128">
        <f>IFERROR(INDEX(lifespans_all!Q$80:Q$126,MATCH($A85,lifespans_all!$A$80:$A$126,0))*INDEX(SR_mission_minutes!Q$2:Q$43,MATCH($A85,SR_mission_minutes!$A$2:$A$43)),"-")</f>
        <v>0</v>
      </c>
      <c r="R85" s="128">
        <f>IFERROR(INDEX(lifespans_all!R$80:R$126,MATCH($A85,lifespans_all!$A$80:$A$126,0))*INDEX(SR_mission_minutes!R$2:R$43,MATCH($A85,SR_mission_minutes!$A$2:$A$43)),"-")</f>
        <v>0</v>
      </c>
      <c r="S85" s="128">
        <f>IFERROR(INDEX(lifespans_all!S$80:S$126,MATCH($A85,lifespans_all!$A$80:$A$126,0))*INDEX(SR_mission_minutes!S$2:S$43,MATCH($A85,SR_mission_minutes!$A$2:$A$43)),"-")</f>
        <v>0</v>
      </c>
      <c r="T85" s="128">
        <f>IFERROR(INDEX(lifespans_all!T$80:T$126,MATCH($A85,lifespans_all!$A$80:$A$126,0))*INDEX(SR_mission_minutes!T$2:T$43,MATCH($A85,SR_mission_minutes!$A$2:$A$43)),"-")</f>
        <v>0</v>
      </c>
      <c r="U85" s="128">
        <f>IFERROR(INDEX(lifespans_all!U$80:U$126,MATCH($A85,lifespans_all!$A$80:$A$126,0))*INDEX(SR_mission_minutes!U$2:U$43,MATCH($A85,SR_mission_minutes!$A$2:$A$43)),"-")</f>
        <v>0</v>
      </c>
      <c r="V85" s="128">
        <f>IFERROR(INDEX(lifespans_all!V$80:V$126,MATCH($A85,lifespans_all!$A$80:$A$126,0))*INDEX(SR_mission_minutes!V$2:V$43,MATCH($A85,SR_mission_minutes!$A$2:$A$43)),"-")</f>
        <v>0</v>
      </c>
      <c r="W85" s="128">
        <f>IFERROR(INDEX(lifespans_all!W$80:W$126,MATCH($A85,lifespans_all!$A$80:$A$126,0))*INDEX(SR_mission_minutes!W$2:W$43,MATCH($A85,SR_mission_minutes!$A$2:$A$43)),"-")</f>
        <v>0</v>
      </c>
    </row>
    <row r="86" spans="1:23" x14ac:dyDescent="0.25">
      <c r="A86" s="46" t="s">
        <v>38</v>
      </c>
      <c r="B86" s="46" t="s">
        <v>57</v>
      </c>
      <c r="C86" s="135"/>
      <c r="D86" s="128">
        <f>IFERROR(INDEX(lifespans_all!D$80:D$126,MATCH($A86,lifespans_all!$A$80:$A$126,0))*INDEX(SR_mission_minutes!D$2:D$43,MATCH($A86,SR_mission_minutes!$A$2:$A$43)),"-")</f>
        <v>66700.388888888891</v>
      </c>
      <c r="E86" s="128">
        <f>IFERROR(INDEX(lifespans_all!E$80:E$126,MATCH($A86,lifespans_all!$A$80:$A$126,0))*INDEX(SR_mission_minutes!E$2:E$43,MATCH($A86,SR_mission_minutes!$A$2:$A$43)),"-")</f>
        <v>66700.388888888891</v>
      </c>
      <c r="F86" s="128">
        <f>IFERROR(INDEX(lifespans_all!F$80:F$126,MATCH($A86,lifespans_all!$A$80:$A$126,0))*INDEX(SR_mission_minutes!F$2:F$43,MATCH($A86,SR_mission_minutes!$A$2:$A$43)),"-")</f>
        <v>66700.388888888891</v>
      </c>
      <c r="G86" s="128">
        <f>IFERROR(INDEX(lifespans_all!G$80:G$126,MATCH($A86,lifespans_all!$A$80:$A$126,0))*INDEX(SR_mission_minutes!G$2:G$43,MATCH($A86,SR_mission_minutes!$A$2:$A$43)),"-")</f>
        <v>66700.388888888891</v>
      </c>
      <c r="H86" s="128">
        <f>IFERROR(INDEX(lifespans_all!H$80:H$126,MATCH($A86,lifespans_all!$A$80:$A$126,0))*INDEX(SR_mission_minutes!H$2:H$43,MATCH($A86,SR_mission_minutes!$A$2:$A$43)),"-")</f>
        <v>0</v>
      </c>
      <c r="I86" s="128">
        <f>IFERROR(INDEX(lifespans_all!I$80:I$126,MATCH($A86,lifespans_all!$A$80:$A$126,0))*INDEX(SR_mission_minutes!I$2:I$43,MATCH($A86,SR_mission_minutes!$A$2:$A$43)),"-")</f>
        <v>0</v>
      </c>
      <c r="J86" s="128">
        <f>IFERROR(INDEX(lifespans_all!J$80:J$126,MATCH($A86,lifespans_all!$A$80:$A$126,0))*INDEX(SR_mission_minutes!J$2:J$43,MATCH($A86,SR_mission_minutes!$A$2:$A$43)),"-")</f>
        <v>0</v>
      </c>
      <c r="K86" s="128">
        <f>IFERROR(INDEX(lifespans_all!K$80:K$126,MATCH($A86,lifespans_all!$A$80:$A$126,0))*INDEX(SR_mission_minutes!K$2:K$43,MATCH($A86,SR_mission_minutes!$A$2:$A$43)),"-")</f>
        <v>0</v>
      </c>
      <c r="L86" s="128">
        <f>IFERROR(INDEX(lifespans_all!L$80:L$126,MATCH($A86,lifespans_all!$A$80:$A$126,0))*INDEX(SR_mission_minutes!L$2:L$43,MATCH($A86,SR_mission_minutes!$A$2:$A$43)),"-")</f>
        <v>0</v>
      </c>
      <c r="M86" s="128">
        <f>IFERROR(INDEX(lifespans_all!M$80:M$126,MATCH($A86,lifespans_all!$A$80:$A$126,0))*INDEX(SR_mission_minutes!M$2:M$43,MATCH($A86,SR_mission_minutes!$A$2:$A$43)),"-")</f>
        <v>0</v>
      </c>
      <c r="N86" s="128">
        <f>IFERROR(INDEX(lifespans_all!N$80:N$126,MATCH($A86,lifespans_all!$A$80:$A$126,0))*INDEX(SR_mission_minutes!N$2:N$43,MATCH($A86,SR_mission_minutes!$A$2:$A$43)),"-")</f>
        <v>0</v>
      </c>
      <c r="O86" s="128">
        <f>IFERROR(INDEX(lifespans_all!O$80:O$126,MATCH($A86,lifespans_all!$A$80:$A$126,0))*INDEX(SR_mission_minutes!O$2:O$43,MATCH($A86,SR_mission_minutes!$A$2:$A$43)),"-")</f>
        <v>0</v>
      </c>
      <c r="P86" s="128">
        <f>IFERROR(INDEX(lifespans_all!P$80:P$126,MATCH($A86,lifespans_all!$A$80:$A$126,0))*INDEX(SR_mission_minutes!P$2:P$43,MATCH($A86,SR_mission_minutes!$A$2:$A$43)),"-")</f>
        <v>0</v>
      </c>
      <c r="Q86" s="128">
        <f>IFERROR(INDEX(lifespans_all!Q$80:Q$126,MATCH($A86,lifespans_all!$A$80:$A$126,0))*INDEX(SR_mission_minutes!Q$2:Q$43,MATCH($A86,SR_mission_minutes!$A$2:$A$43)),"-")</f>
        <v>0</v>
      </c>
      <c r="R86" s="128">
        <f>IFERROR(INDEX(lifespans_all!R$80:R$126,MATCH($A86,lifespans_all!$A$80:$A$126,0))*INDEX(SR_mission_minutes!R$2:R$43,MATCH($A86,SR_mission_minutes!$A$2:$A$43)),"-")</f>
        <v>0</v>
      </c>
      <c r="S86" s="128">
        <f>IFERROR(INDEX(lifespans_all!S$80:S$126,MATCH($A86,lifespans_all!$A$80:$A$126,0))*INDEX(SR_mission_minutes!S$2:S$43,MATCH($A86,SR_mission_minutes!$A$2:$A$43)),"-")</f>
        <v>0</v>
      </c>
      <c r="T86" s="128">
        <f>IFERROR(INDEX(lifespans_all!T$80:T$126,MATCH($A86,lifespans_all!$A$80:$A$126,0))*INDEX(SR_mission_minutes!T$2:T$43,MATCH($A86,SR_mission_minutes!$A$2:$A$43)),"-")</f>
        <v>0</v>
      </c>
      <c r="U86" s="128">
        <f>IFERROR(INDEX(lifespans_all!U$80:U$126,MATCH($A86,lifespans_all!$A$80:$A$126,0))*INDEX(SR_mission_minutes!U$2:U$43,MATCH($A86,SR_mission_minutes!$A$2:$A$43)),"-")</f>
        <v>0</v>
      </c>
      <c r="V86" s="128">
        <f>IFERROR(INDEX(lifespans_all!V$80:V$126,MATCH($A86,lifespans_all!$A$80:$A$126,0))*INDEX(SR_mission_minutes!V$2:V$43,MATCH($A86,SR_mission_minutes!$A$2:$A$43)),"-")</f>
        <v>0</v>
      </c>
      <c r="W86" s="128">
        <f>IFERROR(INDEX(lifespans_all!W$80:W$126,MATCH($A86,lifespans_all!$A$80:$A$126,0))*INDEX(SR_mission_minutes!W$2:W$43,MATCH($A86,SR_mission_minutes!$A$2:$A$43)),"-")</f>
        <v>0</v>
      </c>
    </row>
    <row r="87" spans="1:23" x14ac:dyDescent="0.25">
      <c r="A87" s="46" t="s">
        <v>39</v>
      </c>
      <c r="B87" s="46" t="s">
        <v>59</v>
      </c>
      <c r="C87" s="135"/>
      <c r="D87" s="128">
        <f>IFERROR(INDEX(lifespans_all!D$80:D$126,MATCH($A87,lifespans_all!$A$80:$A$126,0))*INDEX(SR_mission_minutes!D$2:D$43,MATCH($A87,SR_mission_minutes!$A$2:$A$43)),"-")</f>
        <v>114879</v>
      </c>
      <c r="E87" s="128">
        <f>IFERROR(INDEX(lifespans_all!E$80:E$126,MATCH($A87,lifespans_all!$A$80:$A$126,0))*INDEX(SR_mission_minutes!E$2:E$43,MATCH($A87,SR_mission_minutes!$A$2:$A$43)),"-")</f>
        <v>114879</v>
      </c>
      <c r="F87" s="128">
        <f>IFERROR(INDEX(lifespans_all!F$80:F$126,MATCH($A87,lifespans_all!$A$80:$A$126,0))*INDEX(SR_mission_minutes!F$2:F$43,MATCH($A87,SR_mission_minutes!$A$2:$A$43)),"-")</f>
        <v>114879</v>
      </c>
      <c r="G87" s="128">
        <f>IFERROR(INDEX(lifespans_all!G$80:G$126,MATCH($A87,lifespans_all!$A$80:$A$126,0))*INDEX(SR_mission_minutes!G$2:G$43,MATCH($A87,SR_mission_minutes!$A$2:$A$43)),"-")</f>
        <v>114879</v>
      </c>
      <c r="H87" s="128">
        <f>IFERROR(INDEX(lifespans_all!H$80:H$126,MATCH($A87,lifespans_all!$A$80:$A$126,0))*INDEX(SR_mission_minutes!H$2:H$43,MATCH($A87,SR_mission_minutes!$A$2:$A$43)),"-")</f>
        <v>114879</v>
      </c>
      <c r="I87" s="128">
        <f>IFERROR(INDEX(lifespans_all!I$80:I$126,MATCH($A87,lifespans_all!$A$80:$A$126,0))*INDEX(SR_mission_minutes!I$2:I$43,MATCH($A87,SR_mission_minutes!$A$2:$A$43)),"-")</f>
        <v>114879</v>
      </c>
      <c r="J87" s="128">
        <f>IFERROR(INDEX(lifespans_all!J$80:J$126,MATCH($A87,lifespans_all!$A$80:$A$126,0))*INDEX(SR_mission_minutes!J$2:J$43,MATCH($A87,SR_mission_minutes!$A$2:$A$43)),"-")</f>
        <v>114879</v>
      </c>
      <c r="K87" s="128">
        <f>IFERROR(INDEX(lifespans_all!K$80:K$126,MATCH($A87,lifespans_all!$A$80:$A$126,0))*INDEX(SR_mission_minutes!K$2:K$43,MATCH($A87,SR_mission_minutes!$A$2:$A$43)),"-")</f>
        <v>114879</v>
      </c>
      <c r="L87" s="128">
        <f>IFERROR(INDEX(lifespans_all!L$80:L$126,MATCH($A87,lifespans_all!$A$80:$A$126,0))*INDEX(SR_mission_minutes!L$2:L$43,MATCH($A87,SR_mission_minutes!$A$2:$A$43)),"-")</f>
        <v>114879</v>
      </c>
      <c r="M87" s="128">
        <f>IFERROR(INDEX(lifespans_all!M$80:M$126,MATCH($A87,lifespans_all!$A$80:$A$126,0))*INDEX(SR_mission_minutes!M$2:M$43,MATCH($A87,SR_mission_minutes!$A$2:$A$43)),"-")</f>
        <v>114879</v>
      </c>
      <c r="N87" s="128">
        <f>IFERROR(INDEX(lifespans_all!N$80:N$126,MATCH($A87,lifespans_all!$A$80:$A$126,0))*INDEX(SR_mission_minutes!N$2:N$43,MATCH($A87,SR_mission_minutes!$A$2:$A$43)),"-")</f>
        <v>0</v>
      </c>
      <c r="O87" s="128">
        <f>IFERROR(INDEX(lifespans_all!O$80:O$126,MATCH($A87,lifespans_all!$A$80:$A$126,0))*INDEX(SR_mission_minutes!O$2:O$43,MATCH($A87,SR_mission_minutes!$A$2:$A$43)),"-")</f>
        <v>0</v>
      </c>
      <c r="P87" s="128">
        <f>IFERROR(INDEX(lifespans_all!P$80:P$126,MATCH($A87,lifespans_all!$A$80:$A$126,0))*INDEX(SR_mission_minutes!P$2:P$43,MATCH($A87,SR_mission_minutes!$A$2:$A$43)),"-")</f>
        <v>0</v>
      </c>
      <c r="Q87" s="128">
        <f>IFERROR(INDEX(lifespans_all!Q$80:Q$126,MATCH($A87,lifespans_all!$A$80:$A$126,0))*INDEX(SR_mission_minutes!Q$2:Q$43,MATCH($A87,SR_mission_minutes!$A$2:$A$43)),"-")</f>
        <v>0</v>
      </c>
      <c r="R87" s="128">
        <f>IFERROR(INDEX(lifespans_all!R$80:R$126,MATCH($A87,lifespans_all!$A$80:$A$126,0))*INDEX(SR_mission_minutes!R$2:R$43,MATCH($A87,SR_mission_minutes!$A$2:$A$43)),"-")</f>
        <v>0</v>
      </c>
      <c r="S87" s="128">
        <f>IFERROR(INDEX(lifespans_all!S$80:S$126,MATCH($A87,lifespans_all!$A$80:$A$126,0))*INDEX(SR_mission_minutes!S$2:S$43,MATCH($A87,SR_mission_minutes!$A$2:$A$43)),"-")</f>
        <v>0</v>
      </c>
      <c r="T87" s="128">
        <f>IFERROR(INDEX(lifespans_all!T$80:T$126,MATCH($A87,lifespans_all!$A$80:$A$126,0))*INDEX(SR_mission_minutes!T$2:T$43,MATCH($A87,SR_mission_minutes!$A$2:$A$43)),"-")</f>
        <v>0</v>
      </c>
      <c r="U87" s="128">
        <f>IFERROR(INDEX(lifespans_all!U$80:U$126,MATCH($A87,lifespans_all!$A$80:$A$126,0))*INDEX(SR_mission_minutes!U$2:U$43,MATCH($A87,SR_mission_minutes!$A$2:$A$43)),"-")</f>
        <v>0</v>
      </c>
      <c r="V87" s="128">
        <f>IFERROR(INDEX(lifespans_all!V$80:V$126,MATCH($A87,lifespans_all!$A$80:$A$126,0))*INDEX(SR_mission_minutes!V$2:V$43,MATCH($A87,SR_mission_minutes!$A$2:$A$43)),"-")</f>
        <v>0</v>
      </c>
      <c r="W87" s="128">
        <f>IFERROR(INDEX(lifespans_all!W$80:W$126,MATCH($A87,lifespans_all!$A$80:$A$126,0))*INDEX(SR_mission_minutes!W$2:W$43,MATCH($A87,SR_mission_minutes!$A$2:$A$43)),"-")</f>
        <v>0</v>
      </c>
    </row>
    <row r="88" spans="1:23" x14ac:dyDescent="0.25">
      <c r="A88" s="46" t="s">
        <v>40</v>
      </c>
      <c r="B88" s="46" t="s">
        <v>58</v>
      </c>
      <c r="C88" s="135"/>
      <c r="D88" s="128">
        <f>IFERROR(INDEX(lifespans_all!D$80:D$126,MATCH($A88,lifespans_all!$A$80:$A$126,0))*INDEX(SR_mission_minutes!D$2:D$43,MATCH($A88,SR_mission_minutes!$A$2:$A$43)),"-")</f>
        <v>0</v>
      </c>
      <c r="E88" s="128">
        <f>IFERROR(INDEX(lifespans_all!E$80:E$126,MATCH($A88,lifespans_all!$A$80:$A$126,0))*INDEX(SR_mission_minutes!E$2:E$43,MATCH($A88,SR_mission_minutes!$A$2:$A$43)),"-")</f>
        <v>0</v>
      </c>
      <c r="F88" s="128">
        <f>IFERROR(INDEX(lifespans_all!F$80:F$126,MATCH($A88,lifespans_all!$A$80:$A$126,0))*INDEX(SR_mission_minutes!F$2:F$43,MATCH($A88,SR_mission_minutes!$A$2:$A$43)),"-")</f>
        <v>0</v>
      </c>
      <c r="G88" s="128">
        <f>IFERROR(INDEX(lifespans_all!G$80:G$126,MATCH($A88,lifespans_all!$A$80:$A$126,0))*INDEX(SR_mission_minutes!G$2:G$43,MATCH($A88,SR_mission_minutes!$A$2:$A$43)),"-")</f>
        <v>0</v>
      </c>
      <c r="H88" s="128">
        <f>IFERROR(INDEX(lifespans_all!H$80:H$126,MATCH($A88,lifespans_all!$A$80:$A$126,0))*INDEX(SR_mission_minutes!H$2:H$43,MATCH($A88,SR_mission_minutes!$A$2:$A$43)),"-")</f>
        <v>0</v>
      </c>
      <c r="I88" s="128">
        <f>IFERROR(INDEX(lifespans_all!I$80:I$126,MATCH($A88,lifespans_all!$A$80:$A$126,0))*INDEX(SR_mission_minutes!I$2:I$43,MATCH($A88,SR_mission_minutes!$A$2:$A$43)),"-")</f>
        <v>0</v>
      </c>
      <c r="J88" s="128">
        <f>IFERROR(INDEX(lifespans_all!J$80:J$126,MATCH($A88,lifespans_all!$A$80:$A$126,0))*INDEX(SR_mission_minutes!J$2:J$43,MATCH($A88,SR_mission_minutes!$A$2:$A$43)),"-")</f>
        <v>0</v>
      </c>
      <c r="K88" s="128">
        <f>IFERROR(INDEX(lifespans_all!K$80:K$126,MATCH($A88,lifespans_all!$A$80:$A$126,0))*INDEX(SR_mission_minutes!K$2:K$43,MATCH($A88,SR_mission_minutes!$A$2:$A$43)),"-")</f>
        <v>0</v>
      </c>
      <c r="L88" s="128">
        <f>IFERROR(INDEX(lifespans_all!L$80:L$126,MATCH($A88,lifespans_all!$A$80:$A$126,0))*INDEX(SR_mission_minutes!L$2:L$43,MATCH($A88,SR_mission_minutes!$A$2:$A$43)),"-")</f>
        <v>0</v>
      </c>
      <c r="M88" s="128">
        <f>IFERROR(INDEX(lifespans_all!M$80:M$126,MATCH($A88,lifespans_all!$A$80:$A$126,0))*INDEX(SR_mission_minutes!M$2:M$43,MATCH($A88,SR_mission_minutes!$A$2:$A$43)),"-")</f>
        <v>0</v>
      </c>
      <c r="N88" s="128">
        <f>IFERROR(INDEX(lifespans_all!N$80:N$126,MATCH($A88,lifespans_all!$A$80:$A$126,0))*INDEX(SR_mission_minutes!N$2:N$43,MATCH($A88,SR_mission_minutes!$A$2:$A$43)),"-")</f>
        <v>0</v>
      </c>
      <c r="O88" s="128">
        <f>IFERROR(INDEX(lifespans_all!O$80:O$126,MATCH($A88,lifespans_all!$A$80:$A$126,0))*INDEX(SR_mission_minutes!O$2:O$43,MATCH($A88,SR_mission_minutes!$A$2:$A$43)),"-")</f>
        <v>0</v>
      </c>
      <c r="P88" s="128">
        <f>IFERROR(INDEX(lifespans_all!P$80:P$126,MATCH($A88,lifespans_all!$A$80:$A$126,0))*INDEX(SR_mission_minutes!P$2:P$43,MATCH($A88,SR_mission_minutes!$A$2:$A$43)),"-")</f>
        <v>0</v>
      </c>
      <c r="Q88" s="128">
        <f>IFERROR(INDEX(lifespans_all!Q$80:Q$126,MATCH($A88,lifespans_all!$A$80:$A$126,0))*INDEX(SR_mission_minutes!Q$2:Q$43,MATCH($A88,SR_mission_minutes!$A$2:$A$43)),"-")</f>
        <v>0</v>
      </c>
      <c r="R88" s="128">
        <f>IFERROR(INDEX(lifespans_all!R$80:R$126,MATCH($A88,lifespans_all!$A$80:$A$126,0))*INDEX(SR_mission_minutes!R$2:R$43,MATCH($A88,SR_mission_minutes!$A$2:$A$43)),"-")</f>
        <v>0</v>
      </c>
      <c r="S88" s="128">
        <f>IFERROR(INDEX(lifespans_all!S$80:S$126,MATCH($A88,lifespans_all!$A$80:$A$126,0))*INDEX(SR_mission_minutes!S$2:S$43,MATCH($A88,SR_mission_minutes!$A$2:$A$43)),"-")</f>
        <v>0</v>
      </c>
      <c r="T88" s="128">
        <f>IFERROR(INDEX(lifespans_all!T$80:T$126,MATCH($A88,lifespans_all!$A$80:$A$126,0))*INDEX(SR_mission_minutes!T$2:T$43,MATCH($A88,SR_mission_minutes!$A$2:$A$43)),"-")</f>
        <v>0</v>
      </c>
      <c r="U88" s="128">
        <f>IFERROR(INDEX(lifespans_all!U$80:U$126,MATCH($A88,lifespans_all!$A$80:$A$126,0))*INDEX(SR_mission_minutes!U$2:U$43,MATCH($A88,SR_mission_minutes!$A$2:$A$43)),"-")</f>
        <v>0</v>
      </c>
      <c r="V88" s="128">
        <f>IFERROR(INDEX(lifespans_all!V$80:V$126,MATCH($A88,lifespans_all!$A$80:$A$126,0))*INDEX(SR_mission_minutes!V$2:V$43,MATCH($A88,SR_mission_minutes!$A$2:$A$43)),"-")</f>
        <v>0</v>
      </c>
      <c r="W88" s="128">
        <f>IFERROR(INDEX(lifespans_all!W$80:W$126,MATCH($A88,lifespans_all!$A$80:$A$126,0))*INDEX(SR_mission_minutes!W$2:W$43,MATCH($A88,SR_mission_minutes!$A$2:$A$43)),"-")</f>
        <v>0</v>
      </c>
    </row>
    <row r="89" spans="1:23" x14ac:dyDescent="0.25">
      <c r="A89" s="46" t="s">
        <v>41</v>
      </c>
      <c r="B89" s="46" t="s">
        <v>60</v>
      </c>
      <c r="C89" s="135"/>
      <c r="D89" s="128">
        <f>IFERROR(INDEX(lifespans_all!D$80:D$126,MATCH($A89,lifespans_all!$A$80:$A$126,0))*INDEX(SR_mission_minutes!D$2:D$43,MATCH($A89,SR_mission_minutes!$A$2:$A$43)),"-")</f>
        <v>460.5</v>
      </c>
      <c r="E89" s="128">
        <f>IFERROR(INDEX(lifespans_all!E$80:E$126,MATCH($A89,lifespans_all!$A$80:$A$126,0))*INDEX(SR_mission_minutes!E$2:E$43,MATCH($A89,SR_mission_minutes!$A$2:$A$43)),"-")</f>
        <v>460.5</v>
      </c>
      <c r="F89" s="128">
        <f>IFERROR(INDEX(lifespans_all!F$80:F$126,MATCH($A89,lifespans_all!$A$80:$A$126,0))*INDEX(SR_mission_minutes!F$2:F$43,MATCH($A89,SR_mission_minutes!$A$2:$A$43)),"-")</f>
        <v>460.5</v>
      </c>
      <c r="G89" s="128">
        <f>IFERROR(INDEX(lifespans_all!G$80:G$126,MATCH($A89,lifespans_all!$A$80:$A$126,0))*INDEX(SR_mission_minutes!G$2:G$43,MATCH($A89,SR_mission_minutes!$A$2:$A$43)),"-")</f>
        <v>460.5</v>
      </c>
      <c r="H89" s="128">
        <f>IFERROR(INDEX(lifespans_all!H$80:H$126,MATCH($A89,lifespans_all!$A$80:$A$126,0))*INDEX(SR_mission_minutes!H$2:H$43,MATCH($A89,SR_mission_minutes!$A$2:$A$43)),"-")</f>
        <v>0</v>
      </c>
      <c r="I89" s="128">
        <f>IFERROR(INDEX(lifespans_all!I$80:I$126,MATCH($A89,lifespans_all!$A$80:$A$126,0))*INDEX(SR_mission_minutes!I$2:I$43,MATCH($A89,SR_mission_minutes!$A$2:$A$43)),"-")</f>
        <v>0</v>
      </c>
      <c r="J89" s="128">
        <f>IFERROR(INDEX(lifespans_all!J$80:J$126,MATCH($A89,lifespans_all!$A$80:$A$126,0))*INDEX(SR_mission_minutes!J$2:J$43,MATCH($A89,SR_mission_minutes!$A$2:$A$43)),"-")</f>
        <v>0</v>
      </c>
      <c r="K89" s="128">
        <f>IFERROR(INDEX(lifespans_all!K$80:K$126,MATCH($A89,lifespans_all!$A$80:$A$126,0))*INDEX(SR_mission_minutes!K$2:K$43,MATCH($A89,SR_mission_minutes!$A$2:$A$43)),"-")</f>
        <v>0</v>
      </c>
      <c r="L89" s="128">
        <f>IFERROR(INDEX(lifespans_all!L$80:L$126,MATCH($A89,lifespans_all!$A$80:$A$126,0))*INDEX(SR_mission_minutes!L$2:L$43,MATCH($A89,SR_mission_minutes!$A$2:$A$43)),"-")</f>
        <v>0</v>
      </c>
      <c r="M89" s="128">
        <f>IFERROR(INDEX(lifespans_all!M$80:M$126,MATCH($A89,lifespans_all!$A$80:$A$126,0))*INDEX(SR_mission_minutes!M$2:M$43,MATCH($A89,SR_mission_minutes!$A$2:$A$43)),"-")</f>
        <v>0</v>
      </c>
      <c r="N89" s="128">
        <f>IFERROR(INDEX(lifespans_all!N$80:N$126,MATCH($A89,lifespans_all!$A$80:$A$126,0))*INDEX(SR_mission_minutes!N$2:N$43,MATCH($A89,SR_mission_minutes!$A$2:$A$43)),"-")</f>
        <v>0</v>
      </c>
      <c r="O89" s="128">
        <f>IFERROR(INDEX(lifespans_all!O$80:O$126,MATCH($A89,lifespans_all!$A$80:$A$126,0))*INDEX(SR_mission_minutes!O$2:O$43,MATCH($A89,SR_mission_minutes!$A$2:$A$43)),"-")</f>
        <v>0</v>
      </c>
      <c r="P89" s="128">
        <f>IFERROR(INDEX(lifespans_all!P$80:P$126,MATCH($A89,lifespans_all!$A$80:$A$126,0))*INDEX(SR_mission_minutes!P$2:P$43,MATCH($A89,SR_mission_minutes!$A$2:$A$43)),"-")</f>
        <v>0</v>
      </c>
      <c r="Q89" s="128">
        <f>IFERROR(INDEX(lifespans_all!Q$80:Q$126,MATCH($A89,lifespans_all!$A$80:$A$126,0))*INDEX(SR_mission_minutes!Q$2:Q$43,MATCH($A89,SR_mission_minutes!$A$2:$A$43)),"-")</f>
        <v>0</v>
      </c>
      <c r="R89" s="128">
        <f>IFERROR(INDEX(lifespans_all!R$80:R$126,MATCH($A89,lifespans_all!$A$80:$A$126,0))*INDEX(SR_mission_minutes!R$2:R$43,MATCH($A89,SR_mission_minutes!$A$2:$A$43)),"-")</f>
        <v>0</v>
      </c>
      <c r="S89" s="128">
        <f>IFERROR(INDEX(lifespans_all!S$80:S$126,MATCH($A89,lifespans_all!$A$80:$A$126,0))*INDEX(SR_mission_minutes!S$2:S$43,MATCH($A89,SR_mission_minutes!$A$2:$A$43)),"-")</f>
        <v>0</v>
      </c>
      <c r="T89" s="128">
        <f>IFERROR(INDEX(lifespans_all!T$80:T$126,MATCH($A89,lifespans_all!$A$80:$A$126,0))*INDEX(SR_mission_minutes!T$2:T$43,MATCH($A89,SR_mission_minutes!$A$2:$A$43)),"-")</f>
        <v>0</v>
      </c>
      <c r="U89" s="128">
        <f>IFERROR(INDEX(lifespans_all!U$80:U$126,MATCH($A89,lifespans_all!$A$80:$A$126,0))*INDEX(SR_mission_minutes!U$2:U$43,MATCH($A89,SR_mission_minutes!$A$2:$A$43)),"-")</f>
        <v>0</v>
      </c>
      <c r="V89" s="128">
        <f>IFERROR(INDEX(lifespans_all!V$80:V$126,MATCH($A89,lifespans_all!$A$80:$A$126,0))*INDEX(SR_mission_minutes!V$2:V$43,MATCH($A89,SR_mission_minutes!$A$2:$A$43)),"-")</f>
        <v>0</v>
      </c>
      <c r="W89" s="128">
        <f>IFERROR(INDEX(lifespans_all!W$80:W$126,MATCH($A89,lifespans_all!$A$80:$A$126,0))*INDEX(SR_mission_minutes!W$2:W$43,MATCH($A89,SR_mission_minutes!$A$2:$A$43)),"-")</f>
        <v>0</v>
      </c>
    </row>
    <row r="90" spans="1:23" x14ac:dyDescent="0.25">
      <c r="A90" s="46" t="s">
        <v>74</v>
      </c>
      <c r="B90" s="46" t="s">
        <v>57</v>
      </c>
      <c r="C90" s="135"/>
      <c r="D90" s="128">
        <f>IFERROR(INDEX(lifespans_all!D$80:D$126,MATCH($A90,lifespans_all!$A$80:$A$126,0))*INDEX(SR_mission_minutes!D$2:D$43,MATCH($A90,SR_mission_minutes!$A$2:$A$43)),"-")</f>
        <v>66700.388888888891</v>
      </c>
      <c r="E90" s="128">
        <f>IFERROR(INDEX(lifespans_all!E$80:E$126,MATCH($A90,lifespans_all!$A$80:$A$126,0))*INDEX(SR_mission_minutes!E$2:E$43,MATCH($A90,SR_mission_minutes!$A$2:$A$43)),"-")</f>
        <v>0</v>
      </c>
      <c r="F90" s="128">
        <f>IFERROR(INDEX(lifespans_all!F$80:F$126,MATCH($A90,lifespans_all!$A$80:$A$126,0))*INDEX(SR_mission_minutes!F$2:F$43,MATCH($A90,SR_mission_minutes!$A$2:$A$43)),"-")</f>
        <v>0</v>
      </c>
      <c r="G90" s="128">
        <f>IFERROR(INDEX(lifespans_all!G$80:G$126,MATCH($A90,lifespans_all!$A$80:$A$126,0))*INDEX(SR_mission_minutes!G$2:G$43,MATCH($A90,SR_mission_minutes!$A$2:$A$43)),"-")</f>
        <v>0</v>
      </c>
      <c r="H90" s="128">
        <f>IFERROR(INDEX(lifespans_all!H$80:H$126,MATCH($A90,lifespans_all!$A$80:$A$126,0))*INDEX(SR_mission_minutes!H$2:H$43,MATCH($A90,SR_mission_minutes!$A$2:$A$43)),"-")</f>
        <v>0</v>
      </c>
      <c r="I90" s="128">
        <f>IFERROR(INDEX(lifespans_all!I$80:I$126,MATCH($A90,lifespans_all!$A$80:$A$126,0))*INDEX(SR_mission_minutes!I$2:I$43,MATCH($A90,SR_mission_minutes!$A$2:$A$43)),"-")</f>
        <v>0</v>
      </c>
      <c r="J90" s="128">
        <f>IFERROR(INDEX(lifespans_all!J$80:J$126,MATCH($A90,lifespans_all!$A$80:$A$126,0))*INDEX(SR_mission_minutes!J$2:J$43,MATCH($A90,SR_mission_minutes!$A$2:$A$43)),"-")</f>
        <v>0</v>
      </c>
      <c r="K90" s="128">
        <f>IFERROR(INDEX(lifespans_all!K$80:K$126,MATCH($A90,lifespans_all!$A$80:$A$126,0))*INDEX(SR_mission_minutes!K$2:K$43,MATCH($A90,SR_mission_minutes!$A$2:$A$43)),"-")</f>
        <v>0</v>
      </c>
      <c r="L90" s="128">
        <f>IFERROR(INDEX(lifespans_all!L$80:L$126,MATCH($A90,lifespans_all!$A$80:$A$126,0))*INDEX(SR_mission_minutes!L$2:L$43,MATCH($A90,SR_mission_minutes!$A$2:$A$43)),"-")</f>
        <v>0</v>
      </c>
      <c r="M90" s="128">
        <f>IFERROR(INDEX(lifespans_all!M$80:M$126,MATCH($A90,lifespans_all!$A$80:$A$126,0))*INDEX(SR_mission_minutes!M$2:M$43,MATCH($A90,SR_mission_minutes!$A$2:$A$43)),"-")</f>
        <v>0</v>
      </c>
      <c r="N90" s="128">
        <f>IFERROR(INDEX(lifespans_all!N$80:N$126,MATCH($A90,lifespans_all!$A$80:$A$126,0))*INDEX(SR_mission_minutes!N$2:N$43,MATCH($A90,SR_mission_minutes!$A$2:$A$43)),"-")</f>
        <v>0</v>
      </c>
      <c r="O90" s="128">
        <f>IFERROR(INDEX(lifespans_all!O$80:O$126,MATCH($A90,lifespans_all!$A$80:$A$126,0))*INDEX(SR_mission_minutes!O$2:O$43,MATCH($A90,SR_mission_minutes!$A$2:$A$43)),"-")</f>
        <v>0</v>
      </c>
      <c r="P90" s="128">
        <f>IFERROR(INDEX(lifespans_all!P$80:P$126,MATCH($A90,lifespans_all!$A$80:$A$126,0))*INDEX(SR_mission_minutes!P$2:P$43,MATCH($A90,SR_mission_minutes!$A$2:$A$43)),"-")</f>
        <v>0</v>
      </c>
      <c r="Q90" s="128">
        <f>IFERROR(INDEX(lifespans_all!Q$80:Q$126,MATCH($A90,lifespans_all!$A$80:$A$126,0))*INDEX(SR_mission_minutes!Q$2:Q$43,MATCH($A90,SR_mission_minutes!$A$2:$A$43)),"-")</f>
        <v>0</v>
      </c>
      <c r="R90" s="128">
        <f>IFERROR(INDEX(lifespans_all!R$80:R$126,MATCH($A90,lifespans_all!$A$80:$A$126,0))*INDEX(SR_mission_minutes!R$2:R$43,MATCH($A90,SR_mission_minutes!$A$2:$A$43)),"-")</f>
        <v>0</v>
      </c>
      <c r="S90" s="128">
        <f>IFERROR(INDEX(lifespans_all!S$80:S$126,MATCH($A90,lifespans_all!$A$80:$A$126,0))*INDEX(SR_mission_minutes!S$2:S$43,MATCH($A90,SR_mission_minutes!$A$2:$A$43)),"-")</f>
        <v>0</v>
      </c>
      <c r="T90" s="128">
        <f>IFERROR(INDEX(lifespans_all!T$80:T$126,MATCH($A90,lifespans_all!$A$80:$A$126,0))*INDEX(SR_mission_minutes!T$2:T$43,MATCH($A90,SR_mission_minutes!$A$2:$A$43)),"-")</f>
        <v>0</v>
      </c>
      <c r="U90" s="128">
        <f>IFERROR(INDEX(lifespans_all!U$80:U$126,MATCH($A90,lifespans_all!$A$80:$A$126,0))*INDEX(SR_mission_minutes!U$2:U$43,MATCH($A90,SR_mission_minutes!$A$2:$A$43)),"-")</f>
        <v>0</v>
      </c>
      <c r="V90" s="128">
        <f>IFERROR(INDEX(lifespans_all!V$80:V$126,MATCH($A90,lifespans_all!$A$80:$A$126,0))*INDEX(SR_mission_minutes!V$2:V$43,MATCH($A90,SR_mission_minutes!$A$2:$A$43)),"-")</f>
        <v>0</v>
      </c>
      <c r="W90" s="128">
        <f>IFERROR(INDEX(lifespans_all!W$80:W$126,MATCH($A90,lifespans_all!$A$80:$A$126,0))*INDEX(SR_mission_minutes!W$2:W$43,MATCH($A90,SR_mission_minutes!$A$2:$A$43)),"-")</f>
        <v>0</v>
      </c>
    </row>
    <row r="91" spans="1:23" x14ac:dyDescent="0.25">
      <c r="A91" s="46" t="s">
        <v>75</v>
      </c>
      <c r="B91" s="46" t="s">
        <v>57</v>
      </c>
      <c r="C91" s="135"/>
      <c r="D91" s="128">
        <f>IFERROR(INDEX(lifespans_all!D$80:D$126,MATCH($A91,lifespans_all!$A$80:$A$126,0))*INDEX(SR_mission_minutes!D$2:D$43,MATCH($A91,SR_mission_minutes!$A$2:$A$43)),"-")</f>
        <v>66700.388888888891</v>
      </c>
      <c r="E91" s="128">
        <f>IFERROR(INDEX(lifespans_all!E$80:E$126,MATCH($A91,lifespans_all!$A$80:$A$126,0))*INDEX(SR_mission_minutes!E$2:E$43,MATCH($A91,SR_mission_minutes!$A$2:$A$43)),"-")</f>
        <v>66700.388888888891</v>
      </c>
      <c r="F91" s="128">
        <f>IFERROR(INDEX(lifespans_all!F$80:F$126,MATCH($A91,lifespans_all!$A$80:$A$126,0))*INDEX(SR_mission_minutes!F$2:F$43,MATCH($A91,SR_mission_minutes!$A$2:$A$43)),"-")</f>
        <v>66700.388888888891</v>
      </c>
      <c r="G91" s="128">
        <f>IFERROR(INDEX(lifespans_all!G$80:G$126,MATCH($A91,lifespans_all!$A$80:$A$126,0))*INDEX(SR_mission_minutes!G$2:G$43,MATCH($A91,SR_mission_minutes!$A$2:$A$43)),"-")</f>
        <v>0</v>
      </c>
      <c r="H91" s="128">
        <f>IFERROR(INDEX(lifespans_all!H$80:H$126,MATCH($A91,lifespans_all!$A$80:$A$126,0))*INDEX(SR_mission_minutes!H$2:H$43,MATCH($A91,SR_mission_minutes!$A$2:$A$43)),"-")</f>
        <v>0</v>
      </c>
      <c r="I91" s="128">
        <f>IFERROR(INDEX(lifespans_all!I$80:I$126,MATCH($A91,lifespans_all!$A$80:$A$126,0))*INDEX(SR_mission_minutes!I$2:I$43,MATCH($A91,SR_mission_minutes!$A$2:$A$43)),"-")</f>
        <v>0</v>
      </c>
      <c r="J91" s="128">
        <f>IFERROR(INDEX(lifespans_all!J$80:J$126,MATCH($A91,lifespans_all!$A$80:$A$126,0))*INDEX(SR_mission_minutes!J$2:J$43,MATCH($A91,SR_mission_minutes!$A$2:$A$43)),"-")</f>
        <v>0</v>
      </c>
      <c r="K91" s="128">
        <f>IFERROR(INDEX(lifespans_all!K$80:K$126,MATCH($A91,lifespans_all!$A$80:$A$126,0))*INDEX(SR_mission_minutes!K$2:K$43,MATCH($A91,SR_mission_minutes!$A$2:$A$43)),"-")</f>
        <v>0</v>
      </c>
      <c r="L91" s="128">
        <f>IFERROR(INDEX(lifespans_all!L$80:L$126,MATCH($A91,lifespans_all!$A$80:$A$126,0))*INDEX(SR_mission_minutes!L$2:L$43,MATCH($A91,SR_mission_minutes!$A$2:$A$43)),"-")</f>
        <v>0</v>
      </c>
      <c r="M91" s="128">
        <f>IFERROR(INDEX(lifespans_all!M$80:M$126,MATCH($A91,lifespans_all!$A$80:$A$126,0))*INDEX(SR_mission_minutes!M$2:M$43,MATCH($A91,SR_mission_minutes!$A$2:$A$43)),"-")</f>
        <v>0</v>
      </c>
      <c r="N91" s="128">
        <f>IFERROR(INDEX(lifespans_all!N$80:N$126,MATCH($A91,lifespans_all!$A$80:$A$126,0))*INDEX(SR_mission_minutes!N$2:N$43,MATCH($A91,SR_mission_minutes!$A$2:$A$43)),"-")</f>
        <v>0</v>
      </c>
      <c r="O91" s="128">
        <f>IFERROR(INDEX(lifespans_all!O$80:O$126,MATCH($A91,lifespans_all!$A$80:$A$126,0))*INDEX(SR_mission_minutes!O$2:O$43,MATCH($A91,SR_mission_minutes!$A$2:$A$43)),"-")</f>
        <v>0</v>
      </c>
      <c r="P91" s="128">
        <f>IFERROR(INDEX(lifespans_all!P$80:P$126,MATCH($A91,lifespans_all!$A$80:$A$126,0))*INDEX(SR_mission_minutes!P$2:P$43,MATCH($A91,SR_mission_minutes!$A$2:$A$43)),"-")</f>
        <v>0</v>
      </c>
      <c r="Q91" s="128">
        <f>IFERROR(INDEX(lifespans_all!Q$80:Q$126,MATCH($A91,lifespans_all!$A$80:$A$126,0))*INDEX(SR_mission_minutes!Q$2:Q$43,MATCH($A91,SR_mission_minutes!$A$2:$A$43)),"-")</f>
        <v>0</v>
      </c>
      <c r="R91" s="128">
        <f>IFERROR(INDEX(lifespans_all!R$80:R$126,MATCH($A91,lifespans_all!$A$80:$A$126,0))*INDEX(SR_mission_minutes!R$2:R$43,MATCH($A91,SR_mission_minutes!$A$2:$A$43)),"-")</f>
        <v>0</v>
      </c>
      <c r="S91" s="128">
        <f>IFERROR(INDEX(lifespans_all!S$80:S$126,MATCH($A91,lifespans_all!$A$80:$A$126,0))*INDEX(SR_mission_minutes!S$2:S$43,MATCH($A91,SR_mission_minutes!$A$2:$A$43)),"-")</f>
        <v>0</v>
      </c>
      <c r="T91" s="128">
        <f>IFERROR(INDEX(lifespans_all!T$80:T$126,MATCH($A91,lifespans_all!$A$80:$A$126,0))*INDEX(SR_mission_minutes!T$2:T$43,MATCH($A91,SR_mission_minutes!$A$2:$A$43)),"-")</f>
        <v>0</v>
      </c>
      <c r="U91" s="128">
        <f>IFERROR(INDEX(lifespans_all!U$80:U$126,MATCH($A91,lifespans_all!$A$80:$A$126,0))*INDEX(SR_mission_minutes!U$2:U$43,MATCH($A91,SR_mission_minutes!$A$2:$A$43)),"-")</f>
        <v>0</v>
      </c>
      <c r="V91" s="128">
        <f>IFERROR(INDEX(lifespans_all!V$80:V$126,MATCH($A91,lifespans_all!$A$80:$A$126,0))*INDEX(SR_mission_minutes!V$2:V$43,MATCH($A91,SR_mission_minutes!$A$2:$A$43)),"-")</f>
        <v>0</v>
      </c>
      <c r="W91" s="128">
        <f>IFERROR(INDEX(lifespans_all!W$80:W$126,MATCH($A91,lifespans_all!$A$80:$A$126,0))*INDEX(SR_mission_minutes!W$2:W$43,MATCH($A91,SR_mission_minutes!$A$2:$A$43)),"-")</f>
        <v>0</v>
      </c>
    </row>
    <row r="92" spans="1:23" x14ac:dyDescent="0.25">
      <c r="A92" s="46" t="s">
        <v>76</v>
      </c>
      <c r="B92" s="46" t="s">
        <v>57</v>
      </c>
      <c r="C92" s="135"/>
      <c r="D92" s="128">
        <f>IFERROR(INDEX(lifespans_all!D$80:D$126,MATCH($A92,lifespans_all!$A$80:$A$126,0))*INDEX(SR_mission_minutes!D$2:D$43,MATCH($A92,SR_mission_minutes!$A$2:$A$43)),"-")</f>
        <v>66700.388888888891</v>
      </c>
      <c r="E92" s="128">
        <f>IFERROR(INDEX(lifespans_all!E$80:E$126,MATCH($A92,lifespans_all!$A$80:$A$126,0))*INDEX(SR_mission_minutes!E$2:E$43,MATCH($A92,SR_mission_minutes!$A$2:$A$43)),"-")</f>
        <v>66700.388888888891</v>
      </c>
      <c r="F92" s="128">
        <f>IFERROR(INDEX(lifespans_all!F$80:F$126,MATCH($A92,lifespans_all!$A$80:$A$126,0))*INDEX(SR_mission_minutes!F$2:F$43,MATCH($A92,SR_mission_minutes!$A$2:$A$43)),"-")</f>
        <v>66700.388888888891</v>
      </c>
      <c r="G92" s="128">
        <f>IFERROR(INDEX(lifespans_all!G$80:G$126,MATCH($A92,lifespans_all!$A$80:$A$126,0))*INDEX(SR_mission_minutes!G$2:G$43,MATCH($A92,SR_mission_minutes!$A$2:$A$43)),"-")</f>
        <v>66700.388888888891</v>
      </c>
      <c r="H92" s="128">
        <f>IFERROR(INDEX(lifespans_all!H$80:H$126,MATCH($A92,lifespans_all!$A$80:$A$126,0))*INDEX(SR_mission_minutes!H$2:H$43,MATCH($A92,SR_mission_minutes!$A$2:$A$43)),"-")</f>
        <v>66700.388888888891</v>
      </c>
      <c r="I92" s="128">
        <f>IFERROR(INDEX(lifespans_all!I$80:I$126,MATCH($A92,lifespans_all!$A$80:$A$126,0))*INDEX(SR_mission_minutes!I$2:I$43,MATCH($A92,SR_mission_minutes!$A$2:$A$43)),"-")</f>
        <v>66700.388888888891</v>
      </c>
      <c r="J92" s="128">
        <f>IFERROR(INDEX(lifespans_all!J$80:J$126,MATCH($A92,lifespans_all!$A$80:$A$126,0))*INDEX(SR_mission_minutes!J$2:J$43,MATCH($A92,SR_mission_minutes!$A$2:$A$43)),"-")</f>
        <v>0</v>
      </c>
      <c r="K92" s="128">
        <f>IFERROR(INDEX(lifespans_all!K$80:K$126,MATCH($A92,lifespans_all!$A$80:$A$126,0))*INDEX(SR_mission_minutes!K$2:K$43,MATCH($A92,SR_mission_minutes!$A$2:$A$43)),"-")</f>
        <v>0</v>
      </c>
      <c r="L92" s="128">
        <f>IFERROR(INDEX(lifespans_all!L$80:L$126,MATCH($A92,lifespans_all!$A$80:$A$126,0))*INDEX(SR_mission_minutes!L$2:L$43,MATCH($A92,SR_mission_minutes!$A$2:$A$43)),"-")</f>
        <v>0</v>
      </c>
      <c r="M92" s="128">
        <f>IFERROR(INDEX(lifespans_all!M$80:M$126,MATCH($A92,lifespans_all!$A$80:$A$126,0))*INDEX(SR_mission_minutes!M$2:M$43,MATCH($A92,SR_mission_minutes!$A$2:$A$43)),"-")</f>
        <v>0</v>
      </c>
      <c r="N92" s="128">
        <f>IFERROR(INDEX(lifespans_all!N$80:N$126,MATCH($A92,lifespans_all!$A$80:$A$126,0))*INDEX(SR_mission_minutes!N$2:N$43,MATCH($A92,SR_mission_minutes!$A$2:$A$43)),"-")</f>
        <v>0</v>
      </c>
      <c r="O92" s="128">
        <f>IFERROR(INDEX(lifespans_all!O$80:O$126,MATCH($A92,lifespans_all!$A$80:$A$126,0))*INDEX(SR_mission_minutes!O$2:O$43,MATCH($A92,SR_mission_minutes!$A$2:$A$43)),"-")</f>
        <v>0</v>
      </c>
      <c r="P92" s="128">
        <f>IFERROR(INDEX(lifespans_all!P$80:P$126,MATCH($A92,lifespans_all!$A$80:$A$126,0))*INDEX(SR_mission_minutes!P$2:P$43,MATCH($A92,SR_mission_minutes!$A$2:$A$43)),"-")</f>
        <v>0</v>
      </c>
      <c r="Q92" s="128">
        <f>IFERROR(INDEX(lifespans_all!Q$80:Q$126,MATCH($A92,lifespans_all!$A$80:$A$126,0))*INDEX(SR_mission_minutes!Q$2:Q$43,MATCH($A92,SR_mission_minutes!$A$2:$A$43)),"-")</f>
        <v>0</v>
      </c>
      <c r="R92" s="128">
        <f>IFERROR(INDEX(lifespans_all!R$80:R$126,MATCH($A92,lifespans_all!$A$80:$A$126,0))*INDEX(SR_mission_minutes!R$2:R$43,MATCH($A92,SR_mission_minutes!$A$2:$A$43)),"-")</f>
        <v>0</v>
      </c>
      <c r="S92" s="128">
        <f>IFERROR(INDEX(lifespans_all!S$80:S$126,MATCH($A92,lifespans_all!$A$80:$A$126,0))*INDEX(SR_mission_minutes!S$2:S$43,MATCH($A92,SR_mission_minutes!$A$2:$A$43)),"-")</f>
        <v>0</v>
      </c>
      <c r="T92" s="128">
        <f>IFERROR(INDEX(lifespans_all!T$80:T$126,MATCH($A92,lifespans_all!$A$80:$A$126,0))*INDEX(SR_mission_minutes!T$2:T$43,MATCH($A92,SR_mission_minutes!$A$2:$A$43)),"-")</f>
        <v>0</v>
      </c>
      <c r="U92" s="128">
        <f>IFERROR(INDEX(lifespans_all!U$80:U$126,MATCH($A92,lifespans_all!$A$80:$A$126,0))*INDEX(SR_mission_minutes!U$2:U$43,MATCH($A92,SR_mission_minutes!$A$2:$A$43)),"-")</f>
        <v>0</v>
      </c>
      <c r="V92" s="128">
        <f>IFERROR(INDEX(lifespans_all!V$80:V$126,MATCH($A92,lifespans_all!$A$80:$A$126,0))*INDEX(SR_mission_minutes!V$2:V$43,MATCH($A92,SR_mission_minutes!$A$2:$A$43)),"-")</f>
        <v>0</v>
      </c>
      <c r="W92" s="128">
        <f>IFERROR(INDEX(lifespans_all!W$80:W$126,MATCH($A92,lifespans_all!$A$80:$A$126,0))*INDEX(SR_mission_minutes!W$2:W$43,MATCH($A92,SR_mission_minutes!$A$2:$A$43)),"-")</f>
        <v>0</v>
      </c>
    </row>
    <row r="93" spans="1:23" x14ac:dyDescent="0.25">
      <c r="A93" s="46" t="s">
        <v>42</v>
      </c>
      <c r="B93" s="46" t="s">
        <v>61</v>
      </c>
      <c r="C93" s="135"/>
      <c r="D93" s="128">
        <f>IFERROR(INDEX(lifespans_all!D$80:D$126,MATCH($A93,lifespans_all!$A$80:$A$126,0))*INDEX(SR_mission_minutes!D$2:D$43,MATCH($A93,SR_mission_minutes!$A$2:$A$43)),"-")</f>
        <v>33739.333333333336</v>
      </c>
      <c r="E93" s="128">
        <f>IFERROR(INDEX(lifespans_all!E$80:E$126,MATCH($A93,lifespans_all!$A$80:$A$126,0))*INDEX(SR_mission_minutes!E$2:E$43,MATCH($A93,SR_mission_minutes!$A$2:$A$43)),"-")</f>
        <v>33739.333333333336</v>
      </c>
      <c r="F93" s="128">
        <f>IFERROR(INDEX(lifespans_all!F$80:F$126,MATCH($A93,lifespans_all!$A$80:$A$126,0))*INDEX(SR_mission_minutes!F$2:F$43,MATCH($A93,SR_mission_minutes!$A$2:$A$43)),"-")</f>
        <v>33739.333333333336</v>
      </c>
      <c r="G93" s="128">
        <f>IFERROR(INDEX(lifespans_all!G$80:G$126,MATCH($A93,lifespans_all!$A$80:$A$126,0))*INDEX(SR_mission_minutes!G$2:G$43,MATCH($A93,SR_mission_minutes!$A$2:$A$43)),"-")</f>
        <v>33739.333333333336</v>
      </c>
      <c r="H93" s="128">
        <f>IFERROR(INDEX(lifespans_all!H$80:H$126,MATCH($A93,lifespans_all!$A$80:$A$126,0))*INDEX(SR_mission_minutes!H$2:H$43,MATCH($A93,SR_mission_minutes!$A$2:$A$43)),"-")</f>
        <v>33739.333333333336</v>
      </c>
      <c r="I93" s="128">
        <f>IFERROR(INDEX(lifespans_all!I$80:I$126,MATCH($A93,lifespans_all!$A$80:$A$126,0))*INDEX(SR_mission_minutes!I$2:I$43,MATCH($A93,SR_mission_minutes!$A$2:$A$43)),"-")</f>
        <v>33739.333333333336</v>
      </c>
      <c r="J93" s="128">
        <f>IFERROR(INDEX(lifespans_all!J$80:J$126,MATCH($A93,lifespans_all!$A$80:$A$126,0))*INDEX(SR_mission_minutes!J$2:J$43,MATCH($A93,SR_mission_minutes!$A$2:$A$43)),"-")</f>
        <v>33739.333333333336</v>
      </c>
      <c r="K93" s="128">
        <f>IFERROR(INDEX(lifespans_all!K$80:K$126,MATCH($A93,lifespans_all!$A$80:$A$126,0))*INDEX(SR_mission_minutes!K$2:K$43,MATCH($A93,SR_mission_minutes!$A$2:$A$43)),"-")</f>
        <v>33739.333333333336</v>
      </c>
      <c r="L93" s="128">
        <f>IFERROR(INDEX(lifespans_all!L$80:L$126,MATCH($A93,lifespans_all!$A$80:$A$126,0))*INDEX(SR_mission_minutes!L$2:L$43,MATCH($A93,SR_mission_minutes!$A$2:$A$43)),"-")</f>
        <v>33739.333333333336</v>
      </c>
      <c r="M93" s="128">
        <f>IFERROR(INDEX(lifespans_all!M$80:M$126,MATCH($A93,lifespans_all!$A$80:$A$126,0))*INDEX(SR_mission_minutes!M$2:M$43,MATCH($A93,SR_mission_minutes!$A$2:$A$43)),"-")</f>
        <v>33739.333333333336</v>
      </c>
      <c r="N93" s="128">
        <f>IFERROR(INDEX(lifespans_all!N$80:N$126,MATCH($A93,lifespans_all!$A$80:$A$126,0))*INDEX(SR_mission_minutes!N$2:N$43,MATCH($A93,SR_mission_minutes!$A$2:$A$43)),"-")</f>
        <v>33739.333333333336</v>
      </c>
      <c r="O93" s="128">
        <f>IFERROR(INDEX(lifespans_all!O$80:O$126,MATCH($A93,lifespans_all!$A$80:$A$126,0))*INDEX(SR_mission_minutes!O$2:O$43,MATCH($A93,SR_mission_minutes!$A$2:$A$43)),"-")</f>
        <v>33739.333333333336</v>
      </c>
      <c r="P93" s="128">
        <f>IFERROR(INDEX(lifespans_all!P$80:P$126,MATCH($A93,lifespans_all!$A$80:$A$126,0))*INDEX(SR_mission_minutes!P$2:P$43,MATCH($A93,SR_mission_minutes!$A$2:$A$43)),"-")</f>
        <v>33739.333333333336</v>
      </c>
      <c r="Q93" s="128">
        <f>IFERROR(INDEX(lifespans_all!Q$80:Q$126,MATCH($A93,lifespans_all!$A$80:$A$126,0))*INDEX(SR_mission_minutes!Q$2:Q$43,MATCH($A93,SR_mission_minutes!$A$2:$A$43)),"-")</f>
        <v>33739.333333333336</v>
      </c>
      <c r="R93" s="128">
        <f>IFERROR(INDEX(lifespans_all!R$80:R$126,MATCH($A93,lifespans_all!$A$80:$A$126,0))*INDEX(SR_mission_minutes!R$2:R$43,MATCH($A93,SR_mission_minutes!$A$2:$A$43)),"-")</f>
        <v>33739.333333333336</v>
      </c>
      <c r="S93" s="128">
        <f>IFERROR(INDEX(lifespans_all!S$80:S$126,MATCH($A93,lifespans_all!$A$80:$A$126,0))*INDEX(SR_mission_minutes!S$2:S$43,MATCH($A93,SR_mission_minutes!$A$2:$A$43)),"-")</f>
        <v>33739.333333333336</v>
      </c>
      <c r="T93" s="128">
        <f>IFERROR(INDEX(lifespans_all!T$80:T$126,MATCH($A93,lifespans_all!$A$80:$A$126,0))*INDEX(SR_mission_minutes!T$2:T$43,MATCH($A93,SR_mission_minutes!$A$2:$A$43)),"-")</f>
        <v>33739.333333333336</v>
      </c>
      <c r="U93" s="128">
        <f>IFERROR(INDEX(lifespans_all!U$80:U$126,MATCH($A93,lifespans_all!$A$80:$A$126,0))*INDEX(SR_mission_minutes!U$2:U$43,MATCH($A93,SR_mission_minutes!$A$2:$A$43)),"-")</f>
        <v>33739.333333333336</v>
      </c>
      <c r="V93" s="128">
        <f>IFERROR(INDEX(lifespans_all!V$80:V$126,MATCH($A93,lifespans_all!$A$80:$A$126,0))*INDEX(SR_mission_minutes!V$2:V$43,MATCH($A93,SR_mission_minutes!$A$2:$A$43)),"-")</f>
        <v>33739.333333333336</v>
      </c>
      <c r="W93" s="128">
        <f>IFERROR(INDEX(lifespans_all!W$80:W$126,MATCH($A93,lifespans_all!$A$80:$A$126,0))*INDEX(SR_mission_minutes!W$2:W$43,MATCH($A93,SR_mission_minutes!$A$2:$A$43)),"-")</f>
        <v>33739.333333333336</v>
      </c>
    </row>
    <row r="94" spans="1:23" x14ac:dyDescent="0.25">
      <c r="A94" s="46" t="s">
        <v>77</v>
      </c>
      <c r="B94" s="46" t="s">
        <v>58</v>
      </c>
      <c r="C94" s="135"/>
      <c r="D94" s="128">
        <f>IFERROR(INDEX(lifespans_all!D$80:D$126,MATCH($A94,lifespans_all!$A$80:$A$126,0))*INDEX(SR_mission_minutes!D$2:D$43,MATCH($A94,SR_mission_minutes!$A$2:$A$43)),"-")</f>
        <v>2294</v>
      </c>
      <c r="E94" s="128">
        <f>IFERROR(INDEX(lifespans_all!E$80:E$126,MATCH($A94,lifespans_all!$A$80:$A$126,0))*INDEX(SR_mission_minutes!E$2:E$43,MATCH($A94,SR_mission_minutes!$A$2:$A$43)),"-")</f>
        <v>2294</v>
      </c>
      <c r="F94" s="128">
        <f>IFERROR(INDEX(lifespans_all!F$80:F$126,MATCH($A94,lifespans_all!$A$80:$A$126,0))*INDEX(SR_mission_minutes!F$2:F$43,MATCH($A94,SR_mission_minutes!$A$2:$A$43)),"-")</f>
        <v>2294</v>
      </c>
      <c r="G94" s="128">
        <f>IFERROR(INDEX(lifespans_all!G$80:G$126,MATCH($A94,lifespans_all!$A$80:$A$126,0))*INDEX(SR_mission_minutes!G$2:G$43,MATCH($A94,SR_mission_minutes!$A$2:$A$43)),"-")</f>
        <v>2294</v>
      </c>
      <c r="H94" s="128">
        <f>IFERROR(INDEX(lifespans_all!H$80:H$126,MATCH($A94,lifespans_all!$A$80:$A$126,0))*INDEX(SR_mission_minutes!H$2:H$43,MATCH($A94,SR_mission_minutes!$A$2:$A$43)),"-")</f>
        <v>2294</v>
      </c>
      <c r="I94" s="128">
        <f>IFERROR(INDEX(lifespans_all!I$80:I$126,MATCH($A94,lifespans_all!$A$80:$A$126,0))*INDEX(SR_mission_minutes!I$2:I$43,MATCH($A94,SR_mission_minutes!$A$2:$A$43)),"-")</f>
        <v>2294</v>
      </c>
      <c r="J94" s="128">
        <f>IFERROR(INDEX(lifespans_all!J$80:J$126,MATCH($A94,lifespans_all!$A$80:$A$126,0))*INDEX(SR_mission_minutes!J$2:J$43,MATCH($A94,SR_mission_minutes!$A$2:$A$43)),"-")</f>
        <v>2294</v>
      </c>
      <c r="K94" s="128">
        <f>IFERROR(INDEX(lifespans_all!K$80:K$126,MATCH($A94,lifespans_all!$A$80:$A$126,0))*INDEX(SR_mission_minutes!K$2:K$43,MATCH($A94,SR_mission_minutes!$A$2:$A$43)),"-")</f>
        <v>2294</v>
      </c>
      <c r="L94" s="128">
        <f>IFERROR(INDEX(lifespans_all!L$80:L$126,MATCH($A94,lifespans_all!$A$80:$A$126,0))*INDEX(SR_mission_minutes!L$2:L$43,MATCH($A94,SR_mission_minutes!$A$2:$A$43)),"-")</f>
        <v>2294</v>
      </c>
      <c r="M94" s="128">
        <f>IFERROR(INDEX(lifespans_all!M$80:M$126,MATCH($A94,lifespans_all!$A$80:$A$126,0))*INDEX(SR_mission_minutes!M$2:M$43,MATCH($A94,SR_mission_minutes!$A$2:$A$43)),"-")</f>
        <v>2294</v>
      </c>
      <c r="N94" s="128">
        <f>IFERROR(INDEX(lifespans_all!N$80:N$126,MATCH($A94,lifespans_all!$A$80:$A$126,0))*INDEX(SR_mission_minutes!N$2:N$43,MATCH($A94,SR_mission_minutes!$A$2:$A$43)),"-")</f>
        <v>2294</v>
      </c>
      <c r="O94" s="128">
        <f>IFERROR(INDEX(lifespans_all!O$80:O$126,MATCH($A94,lifespans_all!$A$80:$A$126,0))*INDEX(SR_mission_minutes!O$2:O$43,MATCH($A94,SR_mission_minutes!$A$2:$A$43)),"-")</f>
        <v>2294</v>
      </c>
      <c r="P94" s="128">
        <f>IFERROR(INDEX(lifespans_all!P$80:P$126,MATCH($A94,lifespans_all!$A$80:$A$126,0))*INDEX(SR_mission_minutes!P$2:P$43,MATCH($A94,SR_mission_minutes!$A$2:$A$43)),"-")</f>
        <v>2294</v>
      </c>
      <c r="Q94" s="128">
        <f>IFERROR(INDEX(lifespans_all!Q$80:Q$126,MATCH($A94,lifespans_all!$A$80:$A$126,0))*INDEX(SR_mission_minutes!Q$2:Q$43,MATCH($A94,SR_mission_minutes!$A$2:$A$43)),"-")</f>
        <v>2294</v>
      </c>
      <c r="R94" s="128">
        <f>IFERROR(INDEX(lifespans_all!R$80:R$126,MATCH($A94,lifespans_all!$A$80:$A$126,0))*INDEX(SR_mission_minutes!R$2:R$43,MATCH($A94,SR_mission_minutes!$A$2:$A$43)),"-")</f>
        <v>2294</v>
      </c>
      <c r="S94" s="128">
        <f>IFERROR(INDEX(lifespans_all!S$80:S$126,MATCH($A94,lifespans_all!$A$80:$A$126,0))*INDEX(SR_mission_minutes!S$2:S$43,MATCH($A94,SR_mission_minutes!$A$2:$A$43)),"-")</f>
        <v>2294</v>
      </c>
      <c r="T94" s="128">
        <f>IFERROR(INDEX(lifespans_all!T$80:T$126,MATCH($A94,lifespans_all!$A$80:$A$126,0))*INDEX(SR_mission_minutes!T$2:T$43,MATCH($A94,SR_mission_minutes!$A$2:$A$43)),"-")</f>
        <v>2294</v>
      </c>
      <c r="U94" s="128">
        <f>IFERROR(INDEX(lifespans_all!U$80:U$126,MATCH($A94,lifespans_all!$A$80:$A$126,0))*INDEX(SR_mission_minutes!U$2:U$43,MATCH($A94,SR_mission_minutes!$A$2:$A$43)),"-")</f>
        <v>2294</v>
      </c>
      <c r="V94" s="128">
        <f>IFERROR(INDEX(lifespans_all!V$80:V$126,MATCH($A94,lifespans_all!$A$80:$A$126,0))*INDEX(SR_mission_minutes!V$2:V$43,MATCH($A94,SR_mission_minutes!$A$2:$A$43)),"-")</f>
        <v>2294</v>
      </c>
      <c r="W94" s="128">
        <f>IFERROR(INDEX(lifespans_all!W$80:W$126,MATCH($A94,lifespans_all!$A$80:$A$126,0))*INDEX(SR_mission_minutes!W$2:W$43,MATCH($A94,SR_mission_minutes!$A$2:$A$43)),"-")</f>
        <v>2294</v>
      </c>
    </row>
    <row r="95" spans="1:23" x14ac:dyDescent="0.25">
      <c r="A95" s="46" t="s">
        <v>135</v>
      </c>
      <c r="B95" s="46" t="s">
        <v>56</v>
      </c>
      <c r="C95" s="135"/>
      <c r="D95" s="128" t="str">
        <f>IFERROR(INDEX(lifespans_all!D$80:D$126,MATCH($A95,lifespans_all!$A$80:$A$126,0))*INDEX(SR_mission_minutes!D$2:D$43,MATCH($A95,SR_mission_minutes!$A$2:$A$43)),"-")</f>
        <v>-</v>
      </c>
      <c r="E95" s="128" t="str">
        <f>IFERROR(INDEX(lifespans_all!E$80:E$126,MATCH($A95,lifespans_all!$A$80:$A$126,0))*INDEX(SR_mission_minutes!E$2:E$43,MATCH($A95,SR_mission_minutes!$A$2:$A$43)),"-")</f>
        <v>-</v>
      </c>
      <c r="F95" s="128" t="str">
        <f>IFERROR(INDEX(lifespans_all!F$80:F$126,MATCH($A95,lifespans_all!$A$80:$A$126,0))*INDEX(SR_mission_minutes!F$2:F$43,MATCH($A95,SR_mission_minutes!$A$2:$A$43)),"-")</f>
        <v>-</v>
      </c>
      <c r="G95" s="128" t="str">
        <f>IFERROR(INDEX(lifespans_all!G$80:G$126,MATCH($A95,lifespans_all!$A$80:$A$126,0))*INDEX(SR_mission_minutes!G$2:G$43,MATCH($A95,SR_mission_minutes!$A$2:$A$43)),"-")</f>
        <v>-</v>
      </c>
      <c r="H95" s="128" t="str">
        <f>IFERROR(INDEX(lifespans_all!H$80:H$126,MATCH($A95,lifespans_all!$A$80:$A$126,0))*INDEX(SR_mission_minutes!H$2:H$43,MATCH($A95,SR_mission_minutes!$A$2:$A$43)),"-")</f>
        <v>-</v>
      </c>
      <c r="I95" s="128" t="str">
        <f>IFERROR(INDEX(lifespans_all!I$80:I$126,MATCH($A95,lifespans_all!$A$80:$A$126,0))*INDEX(SR_mission_minutes!I$2:I$43,MATCH($A95,SR_mission_minutes!$A$2:$A$43)),"-")</f>
        <v>-</v>
      </c>
      <c r="J95" s="128" t="str">
        <f>IFERROR(INDEX(lifespans_all!J$80:J$126,MATCH($A95,lifespans_all!$A$80:$A$126,0))*INDEX(SR_mission_minutes!J$2:J$43,MATCH($A95,SR_mission_minutes!$A$2:$A$43)),"-")</f>
        <v>-</v>
      </c>
      <c r="K95" s="128" t="str">
        <f>IFERROR(INDEX(lifespans_all!K$80:K$126,MATCH($A95,lifespans_all!$A$80:$A$126,0))*INDEX(SR_mission_minutes!K$2:K$43,MATCH($A95,SR_mission_minutes!$A$2:$A$43)),"-")</f>
        <v>-</v>
      </c>
      <c r="L95" s="128" t="str">
        <f>IFERROR(INDEX(lifespans_all!L$80:L$126,MATCH($A95,lifespans_all!$A$80:$A$126,0))*INDEX(SR_mission_minutes!L$2:L$43,MATCH($A95,SR_mission_minutes!$A$2:$A$43)),"-")</f>
        <v>-</v>
      </c>
      <c r="M95" s="128" t="str">
        <f>IFERROR(INDEX(lifespans_all!M$80:M$126,MATCH($A95,lifespans_all!$A$80:$A$126,0))*INDEX(SR_mission_minutes!M$2:M$43,MATCH($A95,SR_mission_minutes!$A$2:$A$43)),"-")</f>
        <v>-</v>
      </c>
      <c r="N95" s="128" t="str">
        <f>IFERROR(INDEX(lifespans_all!N$80:N$126,MATCH($A95,lifespans_all!$A$80:$A$126,0))*INDEX(SR_mission_minutes!N$2:N$43,MATCH($A95,SR_mission_minutes!$A$2:$A$43)),"-")</f>
        <v>-</v>
      </c>
      <c r="O95" s="128" t="str">
        <f>IFERROR(INDEX(lifespans_all!O$80:O$126,MATCH($A95,lifespans_all!$A$80:$A$126,0))*INDEX(SR_mission_minutes!O$2:O$43,MATCH($A95,SR_mission_minutes!$A$2:$A$43)),"-")</f>
        <v>-</v>
      </c>
      <c r="P95" s="128" t="str">
        <f>IFERROR(INDEX(lifespans_all!P$80:P$126,MATCH($A95,lifespans_all!$A$80:$A$126,0))*INDEX(SR_mission_minutes!P$2:P$43,MATCH($A95,SR_mission_minutes!$A$2:$A$43)),"-")</f>
        <v>-</v>
      </c>
      <c r="Q95" s="128" t="str">
        <f>IFERROR(INDEX(lifespans_all!Q$80:Q$126,MATCH($A95,lifespans_all!$A$80:$A$126,0))*INDEX(SR_mission_minutes!Q$2:Q$43,MATCH($A95,SR_mission_minutes!$A$2:$A$43)),"-")</f>
        <v>-</v>
      </c>
      <c r="R95" s="128" t="str">
        <f>IFERROR(INDEX(lifespans_all!R$80:R$126,MATCH($A95,lifespans_all!$A$80:$A$126,0))*INDEX(SR_mission_minutes!R$2:R$43,MATCH($A95,SR_mission_minutes!$A$2:$A$43)),"-")</f>
        <v>-</v>
      </c>
      <c r="S95" s="128" t="str">
        <f>IFERROR(INDEX(lifespans_all!S$80:S$126,MATCH($A95,lifespans_all!$A$80:$A$126,0))*INDEX(SR_mission_minutes!S$2:S$43,MATCH($A95,SR_mission_minutes!$A$2:$A$43)),"-")</f>
        <v>-</v>
      </c>
      <c r="T95" s="128" t="str">
        <f>IFERROR(INDEX(lifespans_all!T$80:T$126,MATCH($A95,lifespans_all!$A$80:$A$126,0))*INDEX(SR_mission_minutes!T$2:T$43,MATCH($A95,SR_mission_minutes!$A$2:$A$43)),"-")</f>
        <v>-</v>
      </c>
      <c r="U95" s="128" t="str">
        <f>IFERROR(INDEX(lifespans_all!U$80:U$126,MATCH($A95,lifespans_all!$A$80:$A$126,0))*INDEX(SR_mission_minutes!U$2:U$43,MATCH($A95,SR_mission_minutes!$A$2:$A$43)),"-")</f>
        <v>-</v>
      </c>
      <c r="V95" s="128" t="str">
        <f>IFERROR(INDEX(lifespans_all!V$80:V$126,MATCH($A95,lifespans_all!$A$80:$A$126,0))*INDEX(SR_mission_minutes!V$2:V$43,MATCH($A95,SR_mission_minutes!$A$2:$A$43)),"-")</f>
        <v>-</v>
      </c>
      <c r="W95" s="128" t="str">
        <f>IFERROR(INDEX(lifespans_all!W$80:W$126,MATCH($A95,lifespans_all!$A$80:$A$126,0))*INDEX(SR_mission_minutes!W$2:W$43,MATCH($A95,SR_mission_minutes!$A$2:$A$43)),"-")</f>
        <v>-</v>
      </c>
    </row>
    <row r="96" spans="1:23" x14ac:dyDescent="0.25">
      <c r="A96" s="46" t="s">
        <v>136</v>
      </c>
      <c r="B96" s="46" t="s">
        <v>56</v>
      </c>
      <c r="C96" s="135"/>
      <c r="D96" s="128" t="str">
        <f>IFERROR(INDEX(lifespans_all!D$80:D$126,MATCH($A96,lifespans_all!$A$80:$A$126,0))*INDEX(SR_mission_minutes!D$2:D$43,MATCH($A96,SR_mission_minutes!$A$2:$A$43)),"-")</f>
        <v>-</v>
      </c>
      <c r="E96" s="128" t="str">
        <f>IFERROR(INDEX(lifespans_all!E$80:E$126,MATCH($A96,lifespans_all!$A$80:$A$126,0))*INDEX(SR_mission_minutes!E$2:E$43,MATCH($A96,SR_mission_minutes!$A$2:$A$43)),"-")</f>
        <v>-</v>
      </c>
      <c r="F96" s="128" t="str">
        <f>IFERROR(INDEX(lifespans_all!F$80:F$126,MATCH($A96,lifespans_all!$A$80:$A$126,0))*INDEX(SR_mission_minutes!F$2:F$43,MATCH($A96,SR_mission_minutes!$A$2:$A$43)),"-")</f>
        <v>-</v>
      </c>
      <c r="G96" s="128" t="str">
        <f>IFERROR(INDEX(lifespans_all!G$80:G$126,MATCH($A96,lifespans_all!$A$80:$A$126,0))*INDEX(SR_mission_minutes!G$2:G$43,MATCH($A96,SR_mission_minutes!$A$2:$A$43)),"-")</f>
        <v>-</v>
      </c>
      <c r="H96" s="128" t="str">
        <f>IFERROR(INDEX(lifespans_all!H$80:H$126,MATCH($A96,lifespans_all!$A$80:$A$126,0))*INDEX(SR_mission_minutes!H$2:H$43,MATCH($A96,SR_mission_minutes!$A$2:$A$43)),"-")</f>
        <v>-</v>
      </c>
      <c r="I96" s="128" t="str">
        <f>IFERROR(INDEX(lifespans_all!I$80:I$126,MATCH($A96,lifespans_all!$A$80:$A$126,0))*INDEX(SR_mission_minutes!I$2:I$43,MATCH($A96,SR_mission_minutes!$A$2:$A$43)),"-")</f>
        <v>-</v>
      </c>
      <c r="J96" s="128" t="str">
        <f>IFERROR(INDEX(lifespans_all!J$80:J$126,MATCH($A96,lifespans_all!$A$80:$A$126,0))*INDEX(SR_mission_minutes!J$2:J$43,MATCH($A96,SR_mission_minutes!$A$2:$A$43)),"-")</f>
        <v>-</v>
      </c>
      <c r="K96" s="128" t="str">
        <f>IFERROR(INDEX(lifespans_all!K$80:K$126,MATCH($A96,lifespans_all!$A$80:$A$126,0))*INDEX(SR_mission_minutes!K$2:K$43,MATCH($A96,SR_mission_minutes!$A$2:$A$43)),"-")</f>
        <v>-</v>
      </c>
      <c r="L96" s="128" t="str">
        <f>IFERROR(INDEX(lifespans_all!L$80:L$126,MATCH($A96,lifespans_all!$A$80:$A$126,0))*INDEX(SR_mission_minutes!L$2:L$43,MATCH($A96,SR_mission_minutes!$A$2:$A$43)),"-")</f>
        <v>-</v>
      </c>
      <c r="M96" s="128" t="str">
        <f>IFERROR(INDEX(lifespans_all!M$80:M$126,MATCH($A96,lifespans_all!$A$80:$A$126,0))*INDEX(SR_mission_minutes!M$2:M$43,MATCH($A96,SR_mission_minutes!$A$2:$A$43)),"-")</f>
        <v>-</v>
      </c>
      <c r="N96" s="128" t="str">
        <f>IFERROR(INDEX(lifespans_all!N$80:N$126,MATCH($A96,lifespans_all!$A$80:$A$126,0))*INDEX(SR_mission_minutes!N$2:N$43,MATCH($A96,SR_mission_minutes!$A$2:$A$43)),"-")</f>
        <v>-</v>
      </c>
      <c r="O96" s="128" t="str">
        <f>IFERROR(INDEX(lifespans_all!O$80:O$126,MATCH($A96,lifespans_all!$A$80:$A$126,0))*INDEX(SR_mission_minutes!O$2:O$43,MATCH($A96,SR_mission_minutes!$A$2:$A$43)),"-")</f>
        <v>-</v>
      </c>
      <c r="P96" s="128" t="str">
        <f>IFERROR(INDEX(lifespans_all!P$80:P$126,MATCH($A96,lifespans_all!$A$80:$A$126,0))*INDEX(SR_mission_minutes!P$2:P$43,MATCH($A96,SR_mission_minutes!$A$2:$A$43)),"-")</f>
        <v>-</v>
      </c>
      <c r="Q96" s="128" t="str">
        <f>IFERROR(INDEX(lifespans_all!Q$80:Q$126,MATCH($A96,lifespans_all!$A$80:$A$126,0))*INDEX(SR_mission_minutes!Q$2:Q$43,MATCH($A96,SR_mission_minutes!$A$2:$A$43)),"-")</f>
        <v>-</v>
      </c>
      <c r="R96" s="128" t="str">
        <f>IFERROR(INDEX(lifespans_all!R$80:R$126,MATCH($A96,lifespans_all!$A$80:$A$126,0))*INDEX(SR_mission_minutes!R$2:R$43,MATCH($A96,SR_mission_minutes!$A$2:$A$43)),"-")</f>
        <v>-</v>
      </c>
      <c r="S96" s="128" t="str">
        <f>IFERROR(INDEX(lifespans_all!S$80:S$126,MATCH($A96,lifespans_all!$A$80:$A$126,0))*INDEX(SR_mission_minutes!S$2:S$43,MATCH($A96,SR_mission_minutes!$A$2:$A$43)),"-")</f>
        <v>-</v>
      </c>
      <c r="T96" s="128" t="str">
        <f>IFERROR(INDEX(lifespans_all!T$80:T$126,MATCH($A96,lifespans_all!$A$80:$A$126,0))*INDEX(SR_mission_minutes!T$2:T$43,MATCH($A96,SR_mission_minutes!$A$2:$A$43)),"-")</f>
        <v>-</v>
      </c>
      <c r="U96" s="128" t="str">
        <f>IFERROR(INDEX(lifespans_all!U$80:U$126,MATCH($A96,lifespans_all!$A$80:$A$126,0))*INDEX(SR_mission_minutes!U$2:U$43,MATCH($A96,SR_mission_minutes!$A$2:$A$43)),"-")</f>
        <v>-</v>
      </c>
      <c r="V96" s="128" t="str">
        <f>IFERROR(INDEX(lifespans_all!V$80:V$126,MATCH($A96,lifespans_all!$A$80:$A$126,0))*INDEX(SR_mission_minutes!V$2:V$43,MATCH($A96,SR_mission_minutes!$A$2:$A$43)),"-")</f>
        <v>-</v>
      </c>
      <c r="W96" s="128" t="str">
        <f>IFERROR(INDEX(lifespans_all!W$80:W$126,MATCH($A96,lifespans_all!$A$80:$A$126,0))*INDEX(SR_mission_minutes!W$2:W$43,MATCH($A96,SR_mission_minutes!$A$2:$A$43)),"-")</f>
        <v>-</v>
      </c>
    </row>
    <row r="97" spans="1:23" x14ac:dyDescent="0.25">
      <c r="A97" s="46" t="s">
        <v>137</v>
      </c>
      <c r="B97" s="46" t="s">
        <v>56</v>
      </c>
      <c r="C97" s="135"/>
      <c r="D97" s="128" t="str">
        <f>IFERROR(INDEX(lifespans_all!D$80:D$126,MATCH($A97,lifespans_all!$A$80:$A$126,0))*INDEX(SR_mission_minutes!D$2:D$43,MATCH($A97,SR_mission_minutes!$A$2:$A$43)),"-")</f>
        <v>-</v>
      </c>
      <c r="E97" s="128" t="str">
        <f>IFERROR(INDEX(lifespans_all!E$80:E$126,MATCH($A97,lifespans_all!$A$80:$A$126,0))*INDEX(SR_mission_minutes!E$2:E$43,MATCH($A97,SR_mission_minutes!$A$2:$A$43)),"-")</f>
        <v>-</v>
      </c>
      <c r="F97" s="128" t="str">
        <f>IFERROR(INDEX(lifespans_all!F$80:F$126,MATCH($A97,lifespans_all!$A$80:$A$126,0))*INDEX(SR_mission_minutes!F$2:F$43,MATCH($A97,SR_mission_minutes!$A$2:$A$43)),"-")</f>
        <v>-</v>
      </c>
      <c r="G97" s="128" t="str">
        <f>IFERROR(INDEX(lifespans_all!G$80:G$126,MATCH($A97,lifespans_all!$A$80:$A$126,0))*INDEX(SR_mission_minutes!G$2:G$43,MATCH($A97,SR_mission_minutes!$A$2:$A$43)),"-")</f>
        <v>-</v>
      </c>
      <c r="H97" s="128" t="str">
        <f>IFERROR(INDEX(lifespans_all!H$80:H$126,MATCH($A97,lifespans_all!$A$80:$A$126,0))*INDEX(SR_mission_minutes!H$2:H$43,MATCH($A97,SR_mission_minutes!$A$2:$A$43)),"-")</f>
        <v>-</v>
      </c>
      <c r="I97" s="128" t="str">
        <f>IFERROR(INDEX(lifespans_all!I$80:I$126,MATCH($A97,lifespans_all!$A$80:$A$126,0))*INDEX(SR_mission_minutes!I$2:I$43,MATCH($A97,SR_mission_minutes!$A$2:$A$43)),"-")</f>
        <v>-</v>
      </c>
      <c r="J97" s="128" t="str">
        <f>IFERROR(INDEX(lifespans_all!J$80:J$126,MATCH($A97,lifespans_all!$A$80:$A$126,0))*INDEX(SR_mission_minutes!J$2:J$43,MATCH($A97,SR_mission_minutes!$A$2:$A$43)),"-")</f>
        <v>-</v>
      </c>
      <c r="K97" s="128" t="str">
        <f>IFERROR(INDEX(lifespans_all!K$80:K$126,MATCH($A97,lifespans_all!$A$80:$A$126,0))*INDEX(SR_mission_minutes!K$2:K$43,MATCH($A97,SR_mission_minutes!$A$2:$A$43)),"-")</f>
        <v>-</v>
      </c>
      <c r="L97" s="128" t="str">
        <f>IFERROR(INDEX(lifespans_all!L$80:L$126,MATCH($A97,lifespans_all!$A$80:$A$126,0))*INDEX(SR_mission_minutes!L$2:L$43,MATCH($A97,SR_mission_minutes!$A$2:$A$43)),"-")</f>
        <v>-</v>
      </c>
      <c r="M97" s="128" t="str">
        <f>IFERROR(INDEX(lifespans_all!M$80:M$126,MATCH($A97,lifespans_all!$A$80:$A$126,0))*INDEX(SR_mission_minutes!M$2:M$43,MATCH($A97,SR_mission_minutes!$A$2:$A$43)),"-")</f>
        <v>-</v>
      </c>
      <c r="N97" s="128" t="str">
        <f>IFERROR(INDEX(lifespans_all!N$80:N$126,MATCH($A97,lifespans_all!$A$80:$A$126,0))*INDEX(SR_mission_minutes!N$2:N$43,MATCH($A97,SR_mission_minutes!$A$2:$A$43)),"-")</f>
        <v>-</v>
      </c>
      <c r="O97" s="128" t="str">
        <f>IFERROR(INDEX(lifespans_all!O$80:O$126,MATCH($A97,lifespans_all!$A$80:$A$126,0))*INDEX(SR_mission_minutes!O$2:O$43,MATCH($A97,SR_mission_minutes!$A$2:$A$43)),"-")</f>
        <v>-</v>
      </c>
      <c r="P97" s="128" t="str">
        <f>IFERROR(INDEX(lifespans_all!P$80:P$126,MATCH($A97,lifespans_all!$A$80:$A$126,0))*INDEX(SR_mission_minutes!P$2:P$43,MATCH($A97,SR_mission_minutes!$A$2:$A$43)),"-")</f>
        <v>-</v>
      </c>
      <c r="Q97" s="128" t="str">
        <f>IFERROR(INDEX(lifespans_all!Q$80:Q$126,MATCH($A97,lifespans_all!$A$80:$A$126,0))*INDEX(SR_mission_minutes!Q$2:Q$43,MATCH($A97,SR_mission_minutes!$A$2:$A$43)),"-")</f>
        <v>-</v>
      </c>
      <c r="R97" s="128" t="str">
        <f>IFERROR(INDEX(lifespans_all!R$80:R$126,MATCH($A97,lifespans_all!$A$80:$A$126,0))*INDEX(SR_mission_minutes!R$2:R$43,MATCH($A97,SR_mission_minutes!$A$2:$A$43)),"-")</f>
        <v>-</v>
      </c>
      <c r="S97" s="128" t="str">
        <f>IFERROR(INDEX(lifespans_all!S$80:S$126,MATCH($A97,lifespans_all!$A$80:$A$126,0))*INDEX(SR_mission_minutes!S$2:S$43,MATCH($A97,SR_mission_minutes!$A$2:$A$43)),"-")</f>
        <v>-</v>
      </c>
      <c r="T97" s="128" t="str">
        <f>IFERROR(INDEX(lifespans_all!T$80:T$126,MATCH($A97,lifespans_all!$A$80:$A$126,0))*INDEX(SR_mission_minutes!T$2:T$43,MATCH($A97,SR_mission_minutes!$A$2:$A$43)),"-")</f>
        <v>-</v>
      </c>
      <c r="U97" s="128" t="str">
        <f>IFERROR(INDEX(lifespans_all!U$80:U$126,MATCH($A97,lifespans_all!$A$80:$A$126,0))*INDEX(SR_mission_minutes!U$2:U$43,MATCH($A97,SR_mission_minutes!$A$2:$A$43)),"-")</f>
        <v>-</v>
      </c>
      <c r="V97" s="128" t="str">
        <f>IFERROR(INDEX(lifespans_all!V$80:V$126,MATCH($A97,lifespans_all!$A$80:$A$126,0))*INDEX(SR_mission_minutes!V$2:V$43,MATCH($A97,SR_mission_minutes!$A$2:$A$43)),"-")</f>
        <v>-</v>
      </c>
      <c r="W97" s="128" t="str">
        <f>IFERROR(INDEX(lifespans_all!W$80:W$126,MATCH($A97,lifespans_all!$A$80:$A$126,0))*INDEX(SR_mission_minutes!W$2:W$43,MATCH($A97,SR_mission_minutes!$A$2:$A$43)),"-")</f>
        <v>-</v>
      </c>
    </row>
    <row r="98" spans="1:23" x14ac:dyDescent="0.25">
      <c r="A98" s="46" t="s">
        <v>138</v>
      </c>
      <c r="B98" s="46" t="s">
        <v>56</v>
      </c>
      <c r="C98" s="135"/>
      <c r="D98" s="128" t="str">
        <f>IFERROR(INDEX(lifespans_all!D$80:D$126,MATCH($A98,lifespans_all!$A$80:$A$126,0))*INDEX(SR_mission_minutes!D$2:D$43,MATCH($A98,SR_mission_minutes!$A$2:$A$43)),"-")</f>
        <v>-</v>
      </c>
      <c r="E98" s="128" t="str">
        <f>IFERROR(INDEX(lifespans_all!E$80:E$126,MATCH($A98,lifespans_all!$A$80:$A$126,0))*INDEX(SR_mission_minutes!E$2:E$43,MATCH($A98,SR_mission_minutes!$A$2:$A$43)),"-")</f>
        <v>-</v>
      </c>
      <c r="F98" s="128" t="str">
        <f>IFERROR(INDEX(lifespans_all!F$80:F$126,MATCH($A98,lifespans_all!$A$80:$A$126,0))*INDEX(SR_mission_minutes!F$2:F$43,MATCH($A98,SR_mission_minutes!$A$2:$A$43)),"-")</f>
        <v>-</v>
      </c>
      <c r="G98" s="128" t="str">
        <f>IFERROR(INDEX(lifespans_all!G$80:G$126,MATCH($A98,lifespans_all!$A$80:$A$126,0))*INDEX(SR_mission_minutes!G$2:G$43,MATCH($A98,SR_mission_minutes!$A$2:$A$43)),"-")</f>
        <v>-</v>
      </c>
      <c r="H98" s="128" t="str">
        <f>IFERROR(INDEX(lifespans_all!H$80:H$126,MATCH($A98,lifespans_all!$A$80:$A$126,0))*INDEX(SR_mission_minutes!H$2:H$43,MATCH($A98,SR_mission_minutes!$A$2:$A$43)),"-")</f>
        <v>-</v>
      </c>
      <c r="I98" s="128" t="str">
        <f>IFERROR(INDEX(lifespans_all!I$80:I$126,MATCH($A98,lifespans_all!$A$80:$A$126,0))*INDEX(SR_mission_minutes!I$2:I$43,MATCH($A98,SR_mission_minutes!$A$2:$A$43)),"-")</f>
        <v>-</v>
      </c>
      <c r="J98" s="128" t="str">
        <f>IFERROR(INDEX(lifespans_all!J$80:J$126,MATCH($A98,lifespans_all!$A$80:$A$126,0))*INDEX(SR_mission_minutes!J$2:J$43,MATCH($A98,SR_mission_minutes!$A$2:$A$43)),"-")</f>
        <v>-</v>
      </c>
      <c r="K98" s="128" t="str">
        <f>IFERROR(INDEX(lifespans_all!K$80:K$126,MATCH($A98,lifespans_all!$A$80:$A$126,0))*INDEX(SR_mission_minutes!K$2:K$43,MATCH($A98,SR_mission_minutes!$A$2:$A$43)),"-")</f>
        <v>-</v>
      </c>
      <c r="L98" s="128" t="str">
        <f>IFERROR(INDEX(lifespans_all!L$80:L$126,MATCH($A98,lifespans_all!$A$80:$A$126,0))*INDEX(SR_mission_minutes!L$2:L$43,MATCH($A98,SR_mission_minutes!$A$2:$A$43)),"-")</f>
        <v>-</v>
      </c>
      <c r="M98" s="128" t="str">
        <f>IFERROR(INDEX(lifespans_all!M$80:M$126,MATCH($A98,lifespans_all!$A$80:$A$126,0))*INDEX(SR_mission_minutes!M$2:M$43,MATCH($A98,SR_mission_minutes!$A$2:$A$43)),"-")</f>
        <v>-</v>
      </c>
      <c r="N98" s="128" t="str">
        <f>IFERROR(INDEX(lifespans_all!N$80:N$126,MATCH($A98,lifespans_all!$A$80:$A$126,0))*INDEX(SR_mission_minutes!N$2:N$43,MATCH($A98,SR_mission_minutes!$A$2:$A$43)),"-")</f>
        <v>-</v>
      </c>
      <c r="O98" s="128" t="str">
        <f>IFERROR(INDEX(lifespans_all!O$80:O$126,MATCH($A98,lifespans_all!$A$80:$A$126,0))*INDEX(SR_mission_minutes!O$2:O$43,MATCH($A98,SR_mission_minutes!$A$2:$A$43)),"-")</f>
        <v>-</v>
      </c>
      <c r="P98" s="128" t="str">
        <f>IFERROR(INDEX(lifespans_all!P$80:P$126,MATCH($A98,lifespans_all!$A$80:$A$126,0))*INDEX(SR_mission_minutes!P$2:P$43,MATCH($A98,SR_mission_minutes!$A$2:$A$43)),"-")</f>
        <v>-</v>
      </c>
      <c r="Q98" s="128" t="str">
        <f>IFERROR(INDEX(lifespans_all!Q$80:Q$126,MATCH($A98,lifespans_all!$A$80:$A$126,0))*INDEX(SR_mission_minutes!Q$2:Q$43,MATCH($A98,SR_mission_minutes!$A$2:$A$43)),"-")</f>
        <v>-</v>
      </c>
      <c r="R98" s="128" t="str">
        <f>IFERROR(INDEX(lifespans_all!R$80:R$126,MATCH($A98,lifespans_all!$A$80:$A$126,0))*INDEX(SR_mission_minutes!R$2:R$43,MATCH($A98,SR_mission_minutes!$A$2:$A$43)),"-")</f>
        <v>-</v>
      </c>
      <c r="S98" s="128" t="str">
        <f>IFERROR(INDEX(lifespans_all!S$80:S$126,MATCH($A98,lifespans_all!$A$80:$A$126,0))*INDEX(SR_mission_minutes!S$2:S$43,MATCH($A98,SR_mission_minutes!$A$2:$A$43)),"-")</f>
        <v>-</v>
      </c>
      <c r="T98" s="128" t="str">
        <f>IFERROR(INDEX(lifespans_all!T$80:T$126,MATCH($A98,lifespans_all!$A$80:$A$126,0))*INDEX(SR_mission_minutes!T$2:T$43,MATCH($A98,SR_mission_minutes!$A$2:$A$43)),"-")</f>
        <v>-</v>
      </c>
      <c r="U98" s="128" t="str">
        <f>IFERROR(INDEX(lifespans_all!U$80:U$126,MATCH($A98,lifespans_all!$A$80:$A$126,0))*INDEX(SR_mission_minutes!U$2:U$43,MATCH($A98,SR_mission_minutes!$A$2:$A$43)),"-")</f>
        <v>-</v>
      </c>
      <c r="V98" s="128" t="str">
        <f>IFERROR(INDEX(lifespans_all!V$80:V$126,MATCH($A98,lifespans_all!$A$80:$A$126,0))*INDEX(SR_mission_minutes!V$2:V$43,MATCH($A98,SR_mission_minutes!$A$2:$A$43)),"-")</f>
        <v>-</v>
      </c>
      <c r="W98" s="128" t="str">
        <f>IFERROR(INDEX(lifespans_all!W$80:W$126,MATCH($A98,lifespans_all!$A$80:$A$126,0))*INDEX(SR_mission_minutes!W$2:W$43,MATCH($A98,SR_mission_minutes!$A$2:$A$43)),"-")</f>
        <v>-</v>
      </c>
    </row>
    <row r="99" spans="1:23" x14ac:dyDescent="0.25">
      <c r="A99" s="46" t="s">
        <v>43</v>
      </c>
      <c r="B99" s="46" t="s">
        <v>61</v>
      </c>
      <c r="C99" s="135"/>
      <c r="D99" s="128">
        <f>IFERROR(INDEX(lifespans_all!D$80:D$126,MATCH($A99,lifespans_all!$A$80:$A$126,0))*INDEX(SR_mission_minutes!D$2:D$43,MATCH($A99,SR_mission_minutes!$A$2:$A$43)),"-")</f>
        <v>33739.333333333336</v>
      </c>
      <c r="E99" s="128">
        <f>IFERROR(INDEX(lifespans_all!E$80:E$126,MATCH($A99,lifespans_all!$A$80:$A$126,0))*INDEX(SR_mission_minutes!E$2:E$43,MATCH($A99,SR_mission_minutes!$A$2:$A$43)),"-")</f>
        <v>0</v>
      </c>
      <c r="F99" s="128">
        <f>IFERROR(INDEX(lifespans_all!F$80:F$126,MATCH($A99,lifespans_all!$A$80:$A$126,0))*INDEX(SR_mission_minutes!F$2:F$43,MATCH($A99,SR_mission_minutes!$A$2:$A$43)),"-")</f>
        <v>0</v>
      </c>
      <c r="G99" s="128">
        <f>IFERROR(INDEX(lifespans_all!G$80:G$126,MATCH($A99,lifespans_all!$A$80:$A$126,0))*INDEX(SR_mission_minutes!G$2:G$43,MATCH($A99,SR_mission_minutes!$A$2:$A$43)),"-")</f>
        <v>0</v>
      </c>
      <c r="H99" s="128">
        <f>IFERROR(INDEX(lifespans_all!H$80:H$126,MATCH($A99,lifespans_all!$A$80:$A$126,0))*INDEX(SR_mission_minutes!H$2:H$43,MATCH($A99,SR_mission_minutes!$A$2:$A$43)),"-")</f>
        <v>0</v>
      </c>
      <c r="I99" s="128">
        <f>IFERROR(INDEX(lifespans_all!I$80:I$126,MATCH($A99,lifespans_all!$A$80:$A$126,0))*INDEX(SR_mission_minutes!I$2:I$43,MATCH($A99,SR_mission_minutes!$A$2:$A$43)),"-")</f>
        <v>0</v>
      </c>
      <c r="J99" s="128">
        <f>IFERROR(INDEX(lifespans_all!J$80:J$126,MATCH($A99,lifespans_all!$A$80:$A$126,0))*INDEX(SR_mission_minutes!J$2:J$43,MATCH($A99,SR_mission_minutes!$A$2:$A$43)),"-")</f>
        <v>0</v>
      </c>
      <c r="K99" s="128">
        <f>IFERROR(INDEX(lifespans_all!K$80:K$126,MATCH($A99,lifespans_all!$A$80:$A$126,0))*INDEX(SR_mission_minutes!K$2:K$43,MATCH($A99,SR_mission_minutes!$A$2:$A$43)),"-")</f>
        <v>0</v>
      </c>
      <c r="L99" s="128">
        <f>IFERROR(INDEX(lifespans_all!L$80:L$126,MATCH($A99,lifespans_all!$A$80:$A$126,0))*INDEX(SR_mission_minutes!L$2:L$43,MATCH($A99,SR_mission_minutes!$A$2:$A$43)),"-")</f>
        <v>0</v>
      </c>
      <c r="M99" s="128">
        <f>IFERROR(INDEX(lifespans_all!M$80:M$126,MATCH($A99,lifespans_all!$A$80:$A$126,0))*INDEX(SR_mission_minutes!M$2:M$43,MATCH($A99,SR_mission_minutes!$A$2:$A$43)),"-")</f>
        <v>0</v>
      </c>
      <c r="N99" s="128">
        <f>IFERROR(INDEX(lifespans_all!N$80:N$126,MATCH($A99,lifespans_all!$A$80:$A$126,0))*INDEX(SR_mission_minutes!N$2:N$43,MATCH($A99,SR_mission_minutes!$A$2:$A$43)),"-")</f>
        <v>0</v>
      </c>
      <c r="O99" s="128">
        <f>IFERROR(INDEX(lifespans_all!O$80:O$126,MATCH($A99,lifespans_all!$A$80:$A$126,0))*INDEX(SR_mission_minutes!O$2:O$43,MATCH($A99,SR_mission_minutes!$A$2:$A$43)),"-")</f>
        <v>0</v>
      </c>
      <c r="P99" s="128">
        <f>IFERROR(INDEX(lifespans_all!P$80:P$126,MATCH($A99,lifespans_all!$A$80:$A$126,0))*INDEX(SR_mission_minutes!P$2:P$43,MATCH($A99,SR_mission_minutes!$A$2:$A$43)),"-")</f>
        <v>0</v>
      </c>
      <c r="Q99" s="128">
        <f>IFERROR(INDEX(lifespans_all!Q$80:Q$126,MATCH($A99,lifespans_all!$A$80:$A$126,0))*INDEX(SR_mission_minutes!Q$2:Q$43,MATCH($A99,SR_mission_minutes!$A$2:$A$43)),"-")</f>
        <v>0</v>
      </c>
      <c r="R99" s="128">
        <f>IFERROR(INDEX(lifespans_all!R$80:R$126,MATCH($A99,lifespans_all!$A$80:$A$126,0))*INDEX(SR_mission_minutes!R$2:R$43,MATCH($A99,SR_mission_minutes!$A$2:$A$43)),"-")</f>
        <v>0</v>
      </c>
      <c r="S99" s="128">
        <f>IFERROR(INDEX(lifespans_all!S$80:S$126,MATCH($A99,lifespans_all!$A$80:$A$126,0))*INDEX(SR_mission_minutes!S$2:S$43,MATCH($A99,SR_mission_minutes!$A$2:$A$43)),"-")</f>
        <v>0</v>
      </c>
      <c r="T99" s="128">
        <f>IFERROR(INDEX(lifespans_all!T$80:T$126,MATCH($A99,lifespans_all!$A$80:$A$126,0))*INDEX(SR_mission_minutes!T$2:T$43,MATCH($A99,SR_mission_minutes!$A$2:$A$43)),"-")</f>
        <v>0</v>
      </c>
      <c r="U99" s="128">
        <f>IFERROR(INDEX(lifespans_all!U$80:U$126,MATCH($A99,lifespans_all!$A$80:$A$126,0))*INDEX(SR_mission_minutes!U$2:U$43,MATCH($A99,SR_mission_minutes!$A$2:$A$43)),"-")</f>
        <v>0</v>
      </c>
      <c r="V99" s="128">
        <f>IFERROR(INDEX(lifespans_all!V$80:V$126,MATCH($A99,lifespans_all!$A$80:$A$126,0))*INDEX(SR_mission_minutes!V$2:V$43,MATCH($A99,SR_mission_minutes!$A$2:$A$43)),"-")</f>
        <v>0</v>
      </c>
      <c r="W99" s="128">
        <f>IFERROR(INDEX(lifespans_all!W$80:W$126,MATCH($A99,lifespans_all!$A$80:$A$126,0))*INDEX(SR_mission_minutes!W$2:W$43,MATCH($A99,SR_mission_minutes!$A$2:$A$43)),"-")</f>
        <v>0</v>
      </c>
    </row>
    <row r="100" spans="1:23" x14ac:dyDescent="0.25">
      <c r="A100" s="46" t="s">
        <v>44</v>
      </c>
      <c r="B100" s="46" t="s">
        <v>57</v>
      </c>
      <c r="C100" s="135"/>
      <c r="D100" s="128">
        <f>IFERROR(INDEX(lifespans_all!D$80:D$126,MATCH($A100,lifespans_all!$A$80:$A$126,0))*INDEX(SR_mission_minutes!D$2:D$43,MATCH($A100,SR_mission_minutes!$A$2:$A$43)),"-")</f>
        <v>66700.388888888891</v>
      </c>
      <c r="E100" s="128">
        <f>IFERROR(INDEX(lifespans_all!E$80:E$126,MATCH($A100,lifespans_all!$A$80:$A$126,0))*INDEX(SR_mission_minutes!E$2:E$43,MATCH($A100,SR_mission_minutes!$A$2:$A$43)),"-")</f>
        <v>0</v>
      </c>
      <c r="F100" s="128">
        <f>IFERROR(INDEX(lifespans_all!F$80:F$126,MATCH($A100,lifespans_all!$A$80:$A$126,0))*INDEX(SR_mission_minutes!F$2:F$43,MATCH($A100,SR_mission_minutes!$A$2:$A$43)),"-")</f>
        <v>0</v>
      </c>
      <c r="G100" s="128">
        <f>IFERROR(INDEX(lifespans_all!G$80:G$126,MATCH($A100,lifespans_all!$A$80:$A$126,0))*INDEX(SR_mission_minutes!G$2:G$43,MATCH($A100,SR_mission_minutes!$A$2:$A$43)),"-")</f>
        <v>0</v>
      </c>
      <c r="H100" s="128">
        <f>IFERROR(INDEX(lifespans_all!H$80:H$126,MATCH($A100,lifespans_all!$A$80:$A$126,0))*INDEX(SR_mission_minutes!H$2:H$43,MATCH($A100,SR_mission_minutes!$A$2:$A$43)),"-")</f>
        <v>0</v>
      </c>
      <c r="I100" s="128">
        <f>IFERROR(INDEX(lifespans_all!I$80:I$126,MATCH($A100,lifespans_all!$A$80:$A$126,0))*INDEX(SR_mission_minutes!I$2:I$43,MATCH($A100,SR_mission_minutes!$A$2:$A$43)),"-")</f>
        <v>0</v>
      </c>
      <c r="J100" s="128">
        <f>IFERROR(INDEX(lifespans_all!J$80:J$126,MATCH($A100,lifespans_all!$A$80:$A$126,0))*INDEX(SR_mission_minutes!J$2:J$43,MATCH($A100,SR_mission_minutes!$A$2:$A$43)),"-")</f>
        <v>0</v>
      </c>
      <c r="K100" s="128">
        <f>IFERROR(INDEX(lifespans_all!K$80:K$126,MATCH($A100,lifespans_all!$A$80:$A$126,0))*INDEX(SR_mission_minutes!K$2:K$43,MATCH($A100,SR_mission_minutes!$A$2:$A$43)),"-")</f>
        <v>0</v>
      </c>
      <c r="L100" s="128">
        <f>IFERROR(INDEX(lifespans_all!L$80:L$126,MATCH($A100,lifespans_all!$A$80:$A$126,0))*INDEX(SR_mission_minutes!L$2:L$43,MATCH($A100,SR_mission_minutes!$A$2:$A$43)),"-")</f>
        <v>0</v>
      </c>
      <c r="M100" s="128">
        <f>IFERROR(INDEX(lifespans_all!M$80:M$126,MATCH($A100,lifespans_all!$A$80:$A$126,0))*INDEX(SR_mission_minutes!M$2:M$43,MATCH($A100,SR_mission_minutes!$A$2:$A$43)),"-")</f>
        <v>0</v>
      </c>
      <c r="N100" s="128">
        <f>IFERROR(INDEX(lifespans_all!N$80:N$126,MATCH($A100,lifespans_all!$A$80:$A$126,0))*INDEX(SR_mission_minutes!N$2:N$43,MATCH($A100,SR_mission_minutes!$A$2:$A$43)),"-")</f>
        <v>0</v>
      </c>
      <c r="O100" s="128">
        <f>IFERROR(INDEX(lifespans_all!O$80:O$126,MATCH($A100,lifespans_all!$A$80:$A$126,0))*INDEX(SR_mission_minutes!O$2:O$43,MATCH($A100,SR_mission_minutes!$A$2:$A$43)),"-")</f>
        <v>0</v>
      </c>
      <c r="P100" s="128">
        <f>IFERROR(INDEX(lifespans_all!P$80:P$126,MATCH($A100,lifespans_all!$A$80:$A$126,0))*INDEX(SR_mission_minutes!P$2:P$43,MATCH($A100,SR_mission_minutes!$A$2:$A$43)),"-")</f>
        <v>0</v>
      </c>
      <c r="Q100" s="128">
        <f>IFERROR(INDEX(lifespans_all!Q$80:Q$126,MATCH($A100,lifespans_all!$A$80:$A$126,0))*INDEX(SR_mission_minutes!Q$2:Q$43,MATCH($A100,SR_mission_minutes!$A$2:$A$43)),"-")</f>
        <v>0</v>
      </c>
      <c r="R100" s="128">
        <f>IFERROR(INDEX(lifespans_all!R$80:R$126,MATCH($A100,lifespans_all!$A$80:$A$126,0))*INDEX(SR_mission_minutes!R$2:R$43,MATCH($A100,SR_mission_minutes!$A$2:$A$43)),"-")</f>
        <v>0</v>
      </c>
      <c r="S100" s="128">
        <f>IFERROR(INDEX(lifespans_all!S$80:S$126,MATCH($A100,lifespans_all!$A$80:$A$126,0))*INDEX(SR_mission_minutes!S$2:S$43,MATCH($A100,SR_mission_minutes!$A$2:$A$43)),"-")</f>
        <v>0</v>
      </c>
      <c r="T100" s="128">
        <f>IFERROR(INDEX(lifespans_all!T$80:T$126,MATCH($A100,lifespans_all!$A$80:$A$126,0))*INDEX(SR_mission_minutes!T$2:T$43,MATCH($A100,SR_mission_minutes!$A$2:$A$43)),"-")</f>
        <v>0</v>
      </c>
      <c r="U100" s="128">
        <f>IFERROR(INDEX(lifespans_all!U$80:U$126,MATCH($A100,lifespans_all!$A$80:$A$126,0))*INDEX(SR_mission_minutes!U$2:U$43,MATCH($A100,SR_mission_minutes!$A$2:$A$43)),"-")</f>
        <v>0</v>
      </c>
      <c r="V100" s="128">
        <f>IFERROR(INDEX(lifespans_all!V$80:V$126,MATCH($A100,lifespans_all!$A$80:$A$126,0))*INDEX(SR_mission_minutes!V$2:V$43,MATCH($A100,SR_mission_minutes!$A$2:$A$43)),"-")</f>
        <v>0</v>
      </c>
      <c r="W100" s="128">
        <f>IFERROR(INDEX(lifespans_all!W$80:W$126,MATCH($A100,lifespans_all!$A$80:$A$126,0))*INDEX(SR_mission_minutes!W$2:W$43,MATCH($A100,SR_mission_minutes!$A$2:$A$43)),"-")</f>
        <v>0</v>
      </c>
    </row>
    <row r="101" spans="1:23" x14ac:dyDescent="0.25">
      <c r="A101" s="46" t="s">
        <v>78</v>
      </c>
      <c r="B101" s="46" t="s">
        <v>57</v>
      </c>
      <c r="C101" s="135"/>
      <c r="D101" s="128">
        <f>IFERROR(INDEX(lifespans_all!D$80:D$126,MATCH($A101,lifespans_all!$A$80:$A$126,0))*INDEX(SR_mission_minutes!D$2:D$43,MATCH($A101,SR_mission_minutes!$A$2:$A$43)),"-")</f>
        <v>66700.388888888891</v>
      </c>
      <c r="E101" s="128">
        <f>IFERROR(INDEX(lifespans_all!E$80:E$126,MATCH($A101,lifespans_all!$A$80:$A$126,0))*INDEX(SR_mission_minutes!E$2:E$43,MATCH($A101,SR_mission_minutes!$A$2:$A$43)),"-")</f>
        <v>66700.388888888891</v>
      </c>
      <c r="F101" s="128">
        <f>IFERROR(INDEX(lifespans_all!F$80:F$126,MATCH($A101,lifespans_all!$A$80:$A$126,0))*INDEX(SR_mission_minutes!F$2:F$43,MATCH($A101,SR_mission_minutes!$A$2:$A$43)),"-")</f>
        <v>66700.388888888891</v>
      </c>
      <c r="G101" s="128">
        <f>IFERROR(INDEX(lifespans_all!G$80:G$126,MATCH($A101,lifespans_all!$A$80:$A$126,0))*INDEX(SR_mission_minutes!G$2:G$43,MATCH($A101,SR_mission_minutes!$A$2:$A$43)),"-")</f>
        <v>66700.388888888891</v>
      </c>
      <c r="H101" s="128">
        <f>IFERROR(INDEX(lifespans_all!H$80:H$126,MATCH($A101,lifespans_all!$A$80:$A$126,0))*INDEX(SR_mission_minutes!H$2:H$43,MATCH($A101,SR_mission_minutes!$A$2:$A$43)),"-")</f>
        <v>66700.388888888891</v>
      </c>
      <c r="I101" s="128">
        <f>IFERROR(INDEX(lifespans_all!I$80:I$126,MATCH($A101,lifespans_all!$A$80:$A$126,0))*INDEX(SR_mission_minutes!I$2:I$43,MATCH($A101,SR_mission_minutes!$A$2:$A$43)),"-")</f>
        <v>0</v>
      </c>
      <c r="J101" s="128">
        <f>IFERROR(INDEX(lifespans_all!J$80:J$126,MATCH($A101,lifespans_all!$A$80:$A$126,0))*INDEX(SR_mission_minutes!J$2:J$43,MATCH($A101,SR_mission_minutes!$A$2:$A$43)),"-")</f>
        <v>0</v>
      </c>
      <c r="K101" s="128">
        <f>IFERROR(INDEX(lifespans_all!K$80:K$126,MATCH($A101,lifespans_all!$A$80:$A$126,0))*INDEX(SR_mission_minutes!K$2:K$43,MATCH($A101,SR_mission_minutes!$A$2:$A$43)),"-")</f>
        <v>0</v>
      </c>
      <c r="L101" s="128">
        <f>IFERROR(INDEX(lifespans_all!L$80:L$126,MATCH($A101,lifespans_all!$A$80:$A$126,0))*INDEX(SR_mission_minutes!L$2:L$43,MATCH($A101,SR_mission_minutes!$A$2:$A$43)),"-")</f>
        <v>0</v>
      </c>
      <c r="M101" s="128">
        <f>IFERROR(INDEX(lifespans_all!M$80:M$126,MATCH($A101,lifespans_all!$A$80:$A$126,0))*INDEX(SR_mission_minutes!M$2:M$43,MATCH($A101,SR_mission_minutes!$A$2:$A$43)),"-")</f>
        <v>0</v>
      </c>
      <c r="N101" s="128">
        <f>IFERROR(INDEX(lifespans_all!N$80:N$126,MATCH($A101,lifespans_all!$A$80:$A$126,0))*INDEX(SR_mission_minutes!N$2:N$43,MATCH($A101,SR_mission_minutes!$A$2:$A$43)),"-")</f>
        <v>0</v>
      </c>
      <c r="O101" s="128">
        <f>IFERROR(INDEX(lifespans_all!O$80:O$126,MATCH($A101,lifespans_all!$A$80:$A$126,0))*INDEX(SR_mission_minutes!O$2:O$43,MATCH($A101,SR_mission_minutes!$A$2:$A$43)),"-")</f>
        <v>0</v>
      </c>
      <c r="P101" s="128">
        <f>IFERROR(INDEX(lifespans_all!P$80:P$126,MATCH($A101,lifespans_all!$A$80:$A$126,0))*INDEX(SR_mission_minutes!P$2:P$43,MATCH($A101,SR_mission_minutes!$A$2:$A$43)),"-")</f>
        <v>0</v>
      </c>
      <c r="Q101" s="128">
        <f>IFERROR(INDEX(lifespans_all!Q$80:Q$126,MATCH($A101,lifespans_all!$A$80:$A$126,0))*INDEX(SR_mission_minutes!Q$2:Q$43,MATCH($A101,SR_mission_minutes!$A$2:$A$43)),"-")</f>
        <v>0</v>
      </c>
      <c r="R101" s="128">
        <f>IFERROR(INDEX(lifespans_all!R$80:R$126,MATCH($A101,lifespans_all!$A$80:$A$126,0))*INDEX(SR_mission_minutes!R$2:R$43,MATCH($A101,SR_mission_minutes!$A$2:$A$43)),"-")</f>
        <v>0</v>
      </c>
      <c r="S101" s="128">
        <f>IFERROR(INDEX(lifespans_all!S$80:S$126,MATCH($A101,lifespans_all!$A$80:$A$126,0))*INDEX(SR_mission_minutes!S$2:S$43,MATCH($A101,SR_mission_minutes!$A$2:$A$43)),"-")</f>
        <v>0</v>
      </c>
      <c r="T101" s="128">
        <f>IFERROR(INDEX(lifespans_all!T$80:T$126,MATCH($A101,lifespans_all!$A$80:$A$126,0))*INDEX(SR_mission_minutes!T$2:T$43,MATCH($A101,SR_mission_minutes!$A$2:$A$43)),"-")</f>
        <v>0</v>
      </c>
      <c r="U101" s="128">
        <f>IFERROR(INDEX(lifespans_all!U$80:U$126,MATCH($A101,lifespans_all!$A$80:$A$126,0))*INDEX(SR_mission_minutes!U$2:U$43,MATCH($A101,SR_mission_minutes!$A$2:$A$43)),"-")</f>
        <v>0</v>
      </c>
      <c r="V101" s="128">
        <f>IFERROR(INDEX(lifespans_all!V$80:V$126,MATCH($A101,lifespans_all!$A$80:$A$126,0))*INDEX(SR_mission_minutes!V$2:V$43,MATCH($A101,SR_mission_minutes!$A$2:$A$43)),"-")</f>
        <v>0</v>
      </c>
      <c r="W101" s="128">
        <f>IFERROR(INDEX(lifespans_all!W$80:W$126,MATCH($A101,lifespans_all!$A$80:$A$126,0))*INDEX(SR_mission_minutes!W$2:W$43,MATCH($A101,SR_mission_minutes!$A$2:$A$43)),"-")</f>
        <v>0</v>
      </c>
    </row>
    <row r="102" spans="1:23" x14ac:dyDescent="0.25">
      <c r="A102" s="46" t="s">
        <v>45</v>
      </c>
      <c r="B102" s="46" t="s">
        <v>57</v>
      </c>
      <c r="C102" s="135"/>
      <c r="D102" s="128">
        <f>IFERROR(INDEX(lifespans_all!D$80:D$126,MATCH($A102,lifespans_all!$A$80:$A$126,0))*INDEX(SR_mission_minutes!D$2:D$43,MATCH($A102,SR_mission_minutes!$A$2:$A$43)),"-")</f>
        <v>66700.388888888891</v>
      </c>
      <c r="E102" s="128">
        <f>IFERROR(INDEX(lifespans_all!E$80:E$126,MATCH($A102,lifespans_all!$A$80:$A$126,0))*INDEX(SR_mission_minutes!E$2:E$43,MATCH($A102,SR_mission_minutes!$A$2:$A$43)),"-")</f>
        <v>66700.388888888891</v>
      </c>
      <c r="F102" s="128">
        <f>IFERROR(INDEX(lifespans_all!F$80:F$126,MATCH($A102,lifespans_all!$A$80:$A$126,0))*INDEX(SR_mission_minutes!F$2:F$43,MATCH($A102,SR_mission_minutes!$A$2:$A$43)),"-")</f>
        <v>66700.388888888891</v>
      </c>
      <c r="G102" s="128">
        <f>IFERROR(INDEX(lifespans_all!G$80:G$126,MATCH($A102,lifespans_all!$A$80:$A$126,0))*INDEX(SR_mission_minutes!G$2:G$43,MATCH($A102,SR_mission_minutes!$A$2:$A$43)),"-")</f>
        <v>0</v>
      </c>
      <c r="H102" s="128">
        <f>IFERROR(INDEX(lifespans_all!H$80:H$126,MATCH($A102,lifespans_all!$A$80:$A$126,0))*INDEX(SR_mission_minutes!H$2:H$43,MATCH($A102,SR_mission_minutes!$A$2:$A$43)),"-")</f>
        <v>0</v>
      </c>
      <c r="I102" s="128">
        <f>IFERROR(INDEX(lifespans_all!I$80:I$126,MATCH($A102,lifespans_all!$A$80:$A$126,0))*INDEX(SR_mission_minutes!I$2:I$43,MATCH($A102,SR_mission_minutes!$A$2:$A$43)),"-")</f>
        <v>0</v>
      </c>
      <c r="J102" s="128">
        <f>IFERROR(INDEX(lifespans_all!J$80:J$126,MATCH($A102,lifespans_all!$A$80:$A$126,0))*INDEX(SR_mission_minutes!J$2:J$43,MATCH($A102,SR_mission_minutes!$A$2:$A$43)),"-")</f>
        <v>0</v>
      </c>
      <c r="K102" s="128">
        <f>IFERROR(INDEX(lifespans_all!K$80:K$126,MATCH($A102,lifespans_all!$A$80:$A$126,0))*INDEX(SR_mission_minutes!K$2:K$43,MATCH($A102,SR_mission_minutes!$A$2:$A$43)),"-")</f>
        <v>0</v>
      </c>
      <c r="L102" s="128">
        <f>IFERROR(INDEX(lifespans_all!L$80:L$126,MATCH($A102,lifespans_all!$A$80:$A$126,0))*INDEX(SR_mission_minutes!L$2:L$43,MATCH($A102,SR_mission_minutes!$A$2:$A$43)),"-")</f>
        <v>0</v>
      </c>
      <c r="M102" s="128">
        <f>IFERROR(INDEX(lifespans_all!M$80:M$126,MATCH($A102,lifespans_all!$A$80:$A$126,0))*INDEX(SR_mission_minutes!M$2:M$43,MATCH($A102,SR_mission_minutes!$A$2:$A$43)),"-")</f>
        <v>0</v>
      </c>
      <c r="N102" s="128">
        <f>IFERROR(INDEX(lifespans_all!N$80:N$126,MATCH($A102,lifespans_all!$A$80:$A$126,0))*INDEX(SR_mission_minutes!N$2:N$43,MATCH($A102,SR_mission_minutes!$A$2:$A$43)),"-")</f>
        <v>0</v>
      </c>
      <c r="O102" s="128">
        <f>IFERROR(INDEX(lifespans_all!O$80:O$126,MATCH($A102,lifespans_all!$A$80:$A$126,0))*INDEX(SR_mission_minutes!O$2:O$43,MATCH($A102,SR_mission_minutes!$A$2:$A$43)),"-")</f>
        <v>0</v>
      </c>
      <c r="P102" s="128">
        <f>IFERROR(INDEX(lifespans_all!P$80:P$126,MATCH($A102,lifespans_all!$A$80:$A$126,0))*INDEX(SR_mission_minutes!P$2:P$43,MATCH($A102,SR_mission_minutes!$A$2:$A$43)),"-")</f>
        <v>0</v>
      </c>
      <c r="Q102" s="128">
        <f>IFERROR(INDEX(lifespans_all!Q$80:Q$126,MATCH($A102,lifespans_all!$A$80:$A$126,0))*INDEX(SR_mission_minutes!Q$2:Q$43,MATCH($A102,SR_mission_minutes!$A$2:$A$43)),"-")</f>
        <v>0</v>
      </c>
      <c r="R102" s="128">
        <f>IFERROR(INDEX(lifespans_all!R$80:R$126,MATCH($A102,lifespans_all!$A$80:$A$126,0))*INDEX(SR_mission_minutes!R$2:R$43,MATCH($A102,SR_mission_minutes!$A$2:$A$43)),"-")</f>
        <v>0</v>
      </c>
      <c r="S102" s="128">
        <f>IFERROR(INDEX(lifespans_all!S$80:S$126,MATCH($A102,lifespans_all!$A$80:$A$126,0))*INDEX(SR_mission_minutes!S$2:S$43,MATCH($A102,SR_mission_minutes!$A$2:$A$43)),"-")</f>
        <v>0</v>
      </c>
      <c r="T102" s="128">
        <f>IFERROR(INDEX(lifespans_all!T$80:T$126,MATCH($A102,lifespans_all!$A$80:$A$126,0))*INDEX(SR_mission_minutes!T$2:T$43,MATCH($A102,SR_mission_minutes!$A$2:$A$43)),"-")</f>
        <v>0</v>
      </c>
      <c r="U102" s="128">
        <f>IFERROR(INDEX(lifespans_all!U$80:U$126,MATCH($A102,lifespans_all!$A$80:$A$126,0))*INDEX(SR_mission_minutes!U$2:U$43,MATCH($A102,SR_mission_minutes!$A$2:$A$43)),"-")</f>
        <v>0</v>
      </c>
      <c r="V102" s="128">
        <f>IFERROR(INDEX(lifespans_all!V$80:V$126,MATCH($A102,lifespans_all!$A$80:$A$126,0))*INDEX(SR_mission_minutes!V$2:V$43,MATCH($A102,SR_mission_minutes!$A$2:$A$43)),"-")</f>
        <v>0</v>
      </c>
      <c r="W102" s="128">
        <f>IFERROR(INDEX(lifespans_all!W$80:W$126,MATCH($A102,lifespans_all!$A$80:$A$126,0))*INDEX(SR_mission_minutes!W$2:W$43,MATCH($A102,SR_mission_minutes!$A$2:$A$43)),"-")</f>
        <v>0</v>
      </c>
    </row>
    <row r="103" spans="1:23" x14ac:dyDescent="0.25">
      <c r="A103" s="46" t="s">
        <v>46</v>
      </c>
      <c r="B103" s="46" t="s">
        <v>59</v>
      </c>
      <c r="C103" s="135"/>
      <c r="D103" s="128">
        <f>IFERROR(INDEX(lifespans_all!D$80:D$126,MATCH($A103,lifespans_all!$A$80:$A$126,0))*INDEX(SR_mission_minutes!D$2:D$43,MATCH($A103,SR_mission_minutes!$A$2:$A$43)),"-")</f>
        <v>114879</v>
      </c>
      <c r="E103" s="128">
        <f>IFERROR(INDEX(lifespans_all!E$80:E$126,MATCH($A103,lifespans_all!$A$80:$A$126,0))*INDEX(SR_mission_minutes!E$2:E$43,MATCH($A103,SR_mission_minutes!$A$2:$A$43)),"-")</f>
        <v>114879</v>
      </c>
      <c r="F103" s="128">
        <f>IFERROR(INDEX(lifespans_all!F$80:F$126,MATCH($A103,lifespans_all!$A$80:$A$126,0))*INDEX(SR_mission_minutes!F$2:F$43,MATCH($A103,SR_mission_minutes!$A$2:$A$43)),"-")</f>
        <v>114879</v>
      </c>
      <c r="G103" s="128">
        <f>IFERROR(INDEX(lifespans_all!G$80:G$126,MATCH($A103,lifespans_all!$A$80:$A$126,0))*INDEX(SR_mission_minutes!G$2:G$43,MATCH($A103,SR_mission_minutes!$A$2:$A$43)),"-")</f>
        <v>114879</v>
      </c>
      <c r="H103" s="128">
        <f>IFERROR(INDEX(lifespans_all!H$80:H$126,MATCH($A103,lifespans_all!$A$80:$A$126,0))*INDEX(SR_mission_minutes!H$2:H$43,MATCH($A103,SR_mission_minutes!$A$2:$A$43)),"-")</f>
        <v>114879</v>
      </c>
      <c r="I103" s="128">
        <f>IFERROR(INDEX(lifespans_all!I$80:I$126,MATCH($A103,lifespans_all!$A$80:$A$126,0))*INDEX(SR_mission_minutes!I$2:I$43,MATCH($A103,SR_mission_minutes!$A$2:$A$43)),"-")</f>
        <v>114879</v>
      </c>
      <c r="J103" s="128">
        <f>IFERROR(INDEX(lifespans_all!J$80:J$126,MATCH($A103,lifespans_all!$A$80:$A$126,0))*INDEX(SR_mission_minutes!J$2:J$43,MATCH($A103,SR_mission_minutes!$A$2:$A$43)),"-")</f>
        <v>114879</v>
      </c>
      <c r="K103" s="128">
        <f>IFERROR(INDEX(lifespans_all!K$80:K$126,MATCH($A103,lifespans_all!$A$80:$A$126,0))*INDEX(SR_mission_minutes!K$2:K$43,MATCH($A103,SR_mission_minutes!$A$2:$A$43)),"-")</f>
        <v>114879</v>
      </c>
      <c r="L103" s="128">
        <f>IFERROR(INDEX(lifespans_all!L$80:L$126,MATCH($A103,lifespans_all!$A$80:$A$126,0))*INDEX(SR_mission_minutes!L$2:L$43,MATCH($A103,SR_mission_minutes!$A$2:$A$43)),"-")</f>
        <v>114879</v>
      </c>
      <c r="M103" s="128">
        <f>IFERROR(INDEX(lifespans_all!M$80:M$126,MATCH($A103,lifespans_all!$A$80:$A$126,0))*INDEX(SR_mission_minutes!M$2:M$43,MATCH($A103,SR_mission_minutes!$A$2:$A$43)),"-")</f>
        <v>114879</v>
      </c>
      <c r="N103" s="128">
        <f>IFERROR(INDEX(lifespans_all!N$80:N$126,MATCH($A103,lifespans_all!$A$80:$A$126,0))*INDEX(SR_mission_minutes!N$2:N$43,MATCH($A103,SR_mission_minutes!$A$2:$A$43)),"-")</f>
        <v>114879</v>
      </c>
      <c r="O103" s="128">
        <f>IFERROR(INDEX(lifespans_all!O$80:O$126,MATCH($A103,lifespans_all!$A$80:$A$126,0))*INDEX(SR_mission_minutes!O$2:O$43,MATCH($A103,SR_mission_minutes!$A$2:$A$43)),"-")</f>
        <v>114879</v>
      </c>
      <c r="P103" s="128">
        <f>IFERROR(INDEX(lifespans_all!P$80:P$126,MATCH($A103,lifespans_all!$A$80:$A$126,0))*INDEX(SR_mission_minutes!P$2:P$43,MATCH($A103,SR_mission_minutes!$A$2:$A$43)),"-")</f>
        <v>114879</v>
      </c>
      <c r="Q103" s="128">
        <f>IFERROR(INDEX(lifespans_all!Q$80:Q$126,MATCH($A103,lifespans_all!$A$80:$A$126,0))*INDEX(SR_mission_minutes!Q$2:Q$43,MATCH($A103,SR_mission_minutes!$A$2:$A$43)),"-")</f>
        <v>114879</v>
      </c>
      <c r="R103" s="128">
        <f>IFERROR(INDEX(lifespans_all!R$80:R$126,MATCH($A103,lifespans_all!$A$80:$A$126,0))*INDEX(SR_mission_minutes!R$2:R$43,MATCH($A103,SR_mission_minutes!$A$2:$A$43)),"-")</f>
        <v>114879</v>
      </c>
      <c r="S103" s="128">
        <f>IFERROR(INDEX(lifespans_all!S$80:S$126,MATCH($A103,lifespans_all!$A$80:$A$126,0))*INDEX(SR_mission_minutes!S$2:S$43,MATCH($A103,SR_mission_minutes!$A$2:$A$43)),"-")</f>
        <v>114879</v>
      </c>
      <c r="T103" s="128">
        <f>IFERROR(INDEX(lifespans_all!T$80:T$126,MATCH($A103,lifespans_all!$A$80:$A$126,0))*INDEX(SR_mission_minutes!T$2:T$43,MATCH($A103,SR_mission_minutes!$A$2:$A$43)),"-")</f>
        <v>114879</v>
      </c>
      <c r="U103" s="128">
        <f>IFERROR(INDEX(lifespans_all!U$80:U$126,MATCH($A103,lifespans_all!$A$80:$A$126,0))*INDEX(SR_mission_minutes!U$2:U$43,MATCH($A103,SR_mission_minutes!$A$2:$A$43)),"-")</f>
        <v>114879</v>
      </c>
      <c r="V103" s="128">
        <f>IFERROR(INDEX(lifespans_all!V$80:V$126,MATCH($A103,lifespans_all!$A$80:$A$126,0))*INDEX(SR_mission_minutes!V$2:V$43,MATCH($A103,SR_mission_minutes!$A$2:$A$43)),"-")</f>
        <v>114879</v>
      </c>
      <c r="W103" s="128">
        <f>IFERROR(INDEX(lifespans_all!W$80:W$126,MATCH($A103,lifespans_all!$A$80:$A$126,0))*INDEX(SR_mission_minutes!W$2:W$43,MATCH($A103,SR_mission_minutes!$A$2:$A$43)),"-")</f>
        <v>114879</v>
      </c>
    </row>
    <row r="104" spans="1:23" x14ac:dyDescent="0.25">
      <c r="A104" s="46" t="s">
        <v>70</v>
      </c>
      <c r="B104" s="46" t="s">
        <v>59</v>
      </c>
      <c r="C104" s="135"/>
      <c r="D104" s="128" t="str">
        <f>IFERROR(INDEX(lifespans_all!D$80:D$126,MATCH($A104,lifespans_all!$A$80:$A$126,0))*INDEX(SR_mission_minutes!D$2:D$43,MATCH($A104,SR_mission_minutes!$A$2:$A$43)),"-")</f>
        <v>-</v>
      </c>
      <c r="E104" s="128" t="str">
        <f>IFERROR(INDEX(lifespans_all!E$80:E$126,MATCH($A104,lifespans_all!$A$80:$A$126,0))*INDEX(SR_mission_minutes!E$2:E$43,MATCH($A104,SR_mission_minutes!$A$2:$A$43)),"-")</f>
        <v>-</v>
      </c>
      <c r="F104" s="128" t="str">
        <f>IFERROR(INDEX(lifespans_all!F$80:F$126,MATCH($A104,lifespans_all!$A$80:$A$126,0))*INDEX(SR_mission_minutes!F$2:F$43,MATCH($A104,SR_mission_minutes!$A$2:$A$43)),"-")</f>
        <v>-</v>
      </c>
      <c r="G104" s="128" t="str">
        <f>IFERROR(INDEX(lifespans_all!G$80:G$126,MATCH($A104,lifespans_all!$A$80:$A$126,0))*INDEX(SR_mission_minutes!G$2:G$43,MATCH($A104,SR_mission_minutes!$A$2:$A$43)),"-")</f>
        <v>-</v>
      </c>
      <c r="H104" s="128" t="str">
        <f>IFERROR(INDEX(lifespans_all!H$80:H$126,MATCH($A104,lifespans_all!$A$80:$A$126,0))*INDEX(SR_mission_minutes!H$2:H$43,MATCH($A104,SR_mission_minutes!$A$2:$A$43)),"-")</f>
        <v>-</v>
      </c>
      <c r="I104" s="128" t="str">
        <f>IFERROR(INDEX(lifespans_all!I$80:I$126,MATCH($A104,lifespans_all!$A$80:$A$126,0))*INDEX(SR_mission_minutes!I$2:I$43,MATCH($A104,SR_mission_minutes!$A$2:$A$43)),"-")</f>
        <v>-</v>
      </c>
      <c r="J104" s="128" t="str">
        <f>IFERROR(INDEX(lifespans_all!J$80:J$126,MATCH($A104,lifespans_all!$A$80:$A$126,0))*INDEX(SR_mission_minutes!J$2:J$43,MATCH($A104,SR_mission_minutes!$A$2:$A$43)),"-")</f>
        <v>-</v>
      </c>
      <c r="K104" s="128" t="str">
        <f>IFERROR(INDEX(lifespans_all!K$80:K$126,MATCH($A104,lifespans_all!$A$80:$A$126,0))*INDEX(SR_mission_minutes!K$2:K$43,MATCH($A104,SR_mission_minutes!$A$2:$A$43)),"-")</f>
        <v>-</v>
      </c>
      <c r="L104" s="128" t="str">
        <f>IFERROR(INDEX(lifespans_all!L$80:L$126,MATCH($A104,lifespans_all!$A$80:$A$126,0))*INDEX(SR_mission_minutes!L$2:L$43,MATCH($A104,SR_mission_minutes!$A$2:$A$43)),"-")</f>
        <v>-</v>
      </c>
      <c r="M104" s="128" t="str">
        <f>IFERROR(INDEX(lifespans_all!M$80:M$126,MATCH($A104,lifespans_all!$A$80:$A$126,0))*INDEX(SR_mission_minutes!M$2:M$43,MATCH($A104,SR_mission_minutes!$A$2:$A$43)),"-")</f>
        <v>-</v>
      </c>
      <c r="N104" s="128" t="str">
        <f>IFERROR(INDEX(lifespans_all!N$80:N$126,MATCH($A104,lifespans_all!$A$80:$A$126,0))*INDEX(SR_mission_minutes!N$2:N$43,MATCH($A104,SR_mission_minutes!$A$2:$A$43)),"-")</f>
        <v>-</v>
      </c>
      <c r="O104" s="128" t="str">
        <f>IFERROR(INDEX(lifespans_all!O$80:O$126,MATCH($A104,lifespans_all!$A$80:$A$126,0))*INDEX(SR_mission_minutes!O$2:O$43,MATCH($A104,SR_mission_minutes!$A$2:$A$43)),"-")</f>
        <v>-</v>
      </c>
      <c r="P104" s="128" t="str">
        <f>IFERROR(INDEX(lifespans_all!P$80:P$126,MATCH($A104,lifespans_all!$A$80:$A$126,0))*INDEX(SR_mission_minutes!P$2:P$43,MATCH($A104,SR_mission_minutes!$A$2:$A$43)),"-")</f>
        <v>-</v>
      </c>
      <c r="Q104" s="128" t="str">
        <f>IFERROR(INDEX(lifespans_all!Q$80:Q$126,MATCH($A104,lifespans_all!$A$80:$A$126,0))*INDEX(SR_mission_minutes!Q$2:Q$43,MATCH($A104,SR_mission_minutes!$A$2:$A$43)),"-")</f>
        <v>-</v>
      </c>
      <c r="R104" s="128" t="str">
        <f>IFERROR(INDEX(lifespans_all!R$80:R$126,MATCH($A104,lifespans_all!$A$80:$A$126,0))*INDEX(SR_mission_minutes!R$2:R$43,MATCH($A104,SR_mission_minutes!$A$2:$A$43)),"-")</f>
        <v>-</v>
      </c>
      <c r="S104" s="128" t="str">
        <f>IFERROR(INDEX(lifespans_all!S$80:S$126,MATCH($A104,lifespans_all!$A$80:$A$126,0))*INDEX(SR_mission_minutes!S$2:S$43,MATCH($A104,SR_mission_minutes!$A$2:$A$43)),"-")</f>
        <v>-</v>
      </c>
      <c r="T104" s="128" t="str">
        <f>IFERROR(INDEX(lifespans_all!T$80:T$126,MATCH($A104,lifespans_all!$A$80:$A$126,0))*INDEX(SR_mission_minutes!T$2:T$43,MATCH($A104,SR_mission_minutes!$A$2:$A$43)),"-")</f>
        <v>-</v>
      </c>
      <c r="U104" s="128" t="str">
        <f>IFERROR(INDEX(lifespans_all!U$80:U$126,MATCH($A104,lifespans_all!$A$80:$A$126,0))*INDEX(SR_mission_minutes!U$2:U$43,MATCH($A104,SR_mission_minutes!$A$2:$A$43)),"-")</f>
        <v>-</v>
      </c>
      <c r="V104" s="128" t="str">
        <f>IFERROR(INDEX(lifespans_all!V$80:V$126,MATCH($A104,lifespans_all!$A$80:$A$126,0))*INDEX(SR_mission_minutes!V$2:V$43,MATCH($A104,SR_mission_minutes!$A$2:$A$43)),"-")</f>
        <v>-</v>
      </c>
      <c r="W104" s="128" t="str">
        <f>IFERROR(INDEX(lifespans_all!W$80:W$126,MATCH($A104,lifespans_all!$A$80:$A$126,0))*INDEX(SR_mission_minutes!W$2:W$43,MATCH($A104,SR_mission_minutes!$A$2:$A$43)),"-")</f>
        <v>-</v>
      </c>
    </row>
    <row r="105" spans="1:23" x14ac:dyDescent="0.25">
      <c r="A105" s="46" t="s">
        <v>47</v>
      </c>
      <c r="B105" s="46" t="s">
        <v>64</v>
      </c>
      <c r="C105" s="135"/>
      <c r="D105" s="128" t="str">
        <f>IFERROR(INDEX(lifespans_all!D$80:D$126,MATCH($A105,lifespans_all!$A$80:$A$126,0))*INDEX(SR_mission_minutes!D$2:D$43,MATCH($A105,SR_mission_minutes!$A$2:$A$43)),"-")</f>
        <v>-</v>
      </c>
      <c r="E105" s="128" t="str">
        <f>IFERROR(INDEX(lifespans_all!E$80:E$126,MATCH($A105,lifespans_all!$A$80:$A$126,0))*INDEX(SR_mission_minutes!E$2:E$43,MATCH($A105,SR_mission_minutes!$A$2:$A$43)),"-")</f>
        <v>-</v>
      </c>
      <c r="F105" s="128" t="str">
        <f>IFERROR(INDEX(lifespans_all!F$80:F$126,MATCH($A105,lifespans_all!$A$80:$A$126,0))*INDEX(SR_mission_minutes!F$2:F$43,MATCH($A105,SR_mission_minutes!$A$2:$A$43)),"-")</f>
        <v>-</v>
      </c>
      <c r="G105" s="128" t="str">
        <f>IFERROR(INDEX(lifespans_all!G$80:G$126,MATCH($A105,lifespans_all!$A$80:$A$126,0))*INDEX(SR_mission_minutes!G$2:G$43,MATCH($A105,SR_mission_minutes!$A$2:$A$43)),"-")</f>
        <v>-</v>
      </c>
      <c r="H105" s="128" t="str">
        <f>IFERROR(INDEX(lifespans_all!H$80:H$126,MATCH($A105,lifespans_all!$A$80:$A$126,0))*INDEX(SR_mission_minutes!H$2:H$43,MATCH($A105,SR_mission_minutes!$A$2:$A$43)),"-")</f>
        <v>-</v>
      </c>
      <c r="I105" s="128" t="str">
        <f>IFERROR(INDEX(lifespans_all!I$80:I$126,MATCH($A105,lifespans_all!$A$80:$A$126,0))*INDEX(SR_mission_minutes!I$2:I$43,MATCH($A105,SR_mission_minutes!$A$2:$A$43)),"-")</f>
        <v>-</v>
      </c>
      <c r="J105" s="128" t="str">
        <f>IFERROR(INDEX(lifespans_all!J$80:J$126,MATCH($A105,lifespans_all!$A$80:$A$126,0))*INDEX(SR_mission_minutes!J$2:J$43,MATCH($A105,SR_mission_minutes!$A$2:$A$43)),"-")</f>
        <v>-</v>
      </c>
      <c r="K105" s="128" t="str">
        <f>IFERROR(INDEX(lifespans_all!K$80:K$126,MATCH($A105,lifespans_all!$A$80:$A$126,0))*INDEX(SR_mission_minutes!K$2:K$43,MATCH($A105,SR_mission_minutes!$A$2:$A$43)),"-")</f>
        <v>-</v>
      </c>
      <c r="L105" s="128" t="str">
        <f>IFERROR(INDEX(lifespans_all!L$80:L$126,MATCH($A105,lifespans_all!$A$80:$A$126,0))*INDEX(SR_mission_minutes!L$2:L$43,MATCH($A105,SR_mission_minutes!$A$2:$A$43)),"-")</f>
        <v>-</v>
      </c>
      <c r="M105" s="128" t="str">
        <f>IFERROR(INDEX(lifespans_all!M$80:M$126,MATCH($A105,lifespans_all!$A$80:$A$126,0))*INDEX(SR_mission_minutes!M$2:M$43,MATCH($A105,SR_mission_minutes!$A$2:$A$43)),"-")</f>
        <v>-</v>
      </c>
      <c r="N105" s="128" t="str">
        <f>IFERROR(INDEX(lifespans_all!N$80:N$126,MATCH($A105,lifespans_all!$A$80:$A$126,0))*INDEX(SR_mission_minutes!N$2:N$43,MATCH($A105,SR_mission_minutes!$A$2:$A$43)),"-")</f>
        <v>-</v>
      </c>
      <c r="O105" s="128" t="str">
        <f>IFERROR(INDEX(lifespans_all!O$80:O$126,MATCH($A105,lifespans_all!$A$80:$A$126,0))*INDEX(SR_mission_minutes!O$2:O$43,MATCH($A105,SR_mission_minutes!$A$2:$A$43)),"-")</f>
        <v>-</v>
      </c>
      <c r="P105" s="128" t="str">
        <f>IFERROR(INDEX(lifespans_all!P$80:P$126,MATCH($A105,lifespans_all!$A$80:$A$126,0))*INDEX(SR_mission_minutes!P$2:P$43,MATCH($A105,SR_mission_minutes!$A$2:$A$43)),"-")</f>
        <v>-</v>
      </c>
      <c r="Q105" s="128" t="str">
        <f>IFERROR(INDEX(lifespans_all!Q$80:Q$126,MATCH($A105,lifespans_all!$A$80:$A$126,0))*INDEX(SR_mission_minutes!Q$2:Q$43,MATCH($A105,SR_mission_minutes!$A$2:$A$43)),"-")</f>
        <v>-</v>
      </c>
      <c r="R105" s="128" t="str">
        <f>IFERROR(INDEX(lifespans_all!R$80:R$126,MATCH($A105,lifespans_all!$A$80:$A$126,0))*INDEX(SR_mission_minutes!R$2:R$43,MATCH($A105,SR_mission_minutes!$A$2:$A$43)),"-")</f>
        <v>-</v>
      </c>
      <c r="S105" s="128" t="str">
        <f>IFERROR(INDEX(lifespans_all!S$80:S$126,MATCH($A105,lifespans_all!$A$80:$A$126,0))*INDEX(SR_mission_minutes!S$2:S$43,MATCH($A105,SR_mission_minutes!$A$2:$A$43)),"-")</f>
        <v>-</v>
      </c>
      <c r="T105" s="128" t="str">
        <f>IFERROR(INDEX(lifespans_all!T$80:T$126,MATCH($A105,lifespans_all!$A$80:$A$126,0))*INDEX(SR_mission_minutes!T$2:T$43,MATCH($A105,SR_mission_minutes!$A$2:$A$43)),"-")</f>
        <v>-</v>
      </c>
      <c r="U105" s="128" t="str">
        <f>IFERROR(INDEX(lifespans_all!U$80:U$126,MATCH($A105,lifespans_all!$A$80:$A$126,0))*INDEX(SR_mission_minutes!U$2:U$43,MATCH($A105,SR_mission_minutes!$A$2:$A$43)),"-")</f>
        <v>-</v>
      </c>
      <c r="V105" s="128" t="str">
        <f>IFERROR(INDEX(lifespans_all!V$80:V$126,MATCH($A105,lifespans_all!$A$80:$A$126,0))*INDEX(SR_mission_minutes!V$2:V$43,MATCH($A105,SR_mission_minutes!$A$2:$A$43)),"-")</f>
        <v>-</v>
      </c>
      <c r="W105" s="128" t="str">
        <f>IFERROR(INDEX(lifespans_all!W$80:W$126,MATCH($A105,lifespans_all!$A$80:$A$126,0))*INDEX(SR_mission_minutes!W$2:W$43,MATCH($A105,SR_mission_minutes!$A$2:$A$43)),"-")</f>
        <v>-</v>
      </c>
    </row>
    <row r="106" spans="1:23" x14ac:dyDescent="0.25">
      <c r="A106" s="46" t="s">
        <v>48</v>
      </c>
      <c r="B106" s="46" t="s">
        <v>64</v>
      </c>
      <c r="C106" s="135"/>
      <c r="D106" s="128" t="str">
        <f>IFERROR(INDEX(lifespans_all!D$80:D$126,MATCH($A106,lifespans_all!$A$80:$A$126,0))*INDEX(SR_mission_minutes!D$2:D$43,MATCH($A106,SR_mission_minutes!$A$2:$A$43)),"-")</f>
        <v>-</v>
      </c>
      <c r="E106" s="128" t="str">
        <f>IFERROR(INDEX(lifespans_all!E$80:E$126,MATCH($A106,lifespans_all!$A$80:$A$126,0))*INDEX(SR_mission_minutes!E$2:E$43,MATCH($A106,SR_mission_minutes!$A$2:$A$43)),"-")</f>
        <v>-</v>
      </c>
      <c r="F106" s="128" t="str">
        <f>IFERROR(INDEX(lifespans_all!F$80:F$126,MATCH($A106,lifespans_all!$A$80:$A$126,0))*INDEX(SR_mission_minutes!F$2:F$43,MATCH($A106,SR_mission_minutes!$A$2:$A$43)),"-")</f>
        <v>-</v>
      </c>
      <c r="G106" s="128" t="str">
        <f>IFERROR(INDEX(lifespans_all!G$80:G$126,MATCH($A106,lifespans_all!$A$80:$A$126,0))*INDEX(SR_mission_minutes!G$2:G$43,MATCH($A106,SR_mission_minutes!$A$2:$A$43)),"-")</f>
        <v>-</v>
      </c>
      <c r="H106" s="128" t="str">
        <f>IFERROR(INDEX(lifespans_all!H$80:H$126,MATCH($A106,lifespans_all!$A$80:$A$126,0))*INDEX(SR_mission_minutes!H$2:H$43,MATCH($A106,SR_mission_minutes!$A$2:$A$43)),"-")</f>
        <v>-</v>
      </c>
      <c r="I106" s="128" t="str">
        <f>IFERROR(INDEX(lifespans_all!I$80:I$126,MATCH($A106,lifespans_all!$A$80:$A$126,0))*INDEX(SR_mission_minutes!I$2:I$43,MATCH($A106,SR_mission_minutes!$A$2:$A$43)),"-")</f>
        <v>-</v>
      </c>
      <c r="J106" s="128" t="str">
        <f>IFERROR(INDEX(lifespans_all!J$80:J$126,MATCH($A106,lifespans_all!$A$80:$A$126,0))*INDEX(SR_mission_minutes!J$2:J$43,MATCH($A106,SR_mission_minutes!$A$2:$A$43)),"-")</f>
        <v>-</v>
      </c>
      <c r="K106" s="128" t="str">
        <f>IFERROR(INDEX(lifespans_all!K$80:K$126,MATCH($A106,lifespans_all!$A$80:$A$126,0))*INDEX(SR_mission_minutes!K$2:K$43,MATCH($A106,SR_mission_minutes!$A$2:$A$43)),"-")</f>
        <v>-</v>
      </c>
      <c r="L106" s="128" t="str">
        <f>IFERROR(INDEX(lifespans_all!L$80:L$126,MATCH($A106,lifespans_all!$A$80:$A$126,0))*INDEX(SR_mission_minutes!L$2:L$43,MATCH($A106,SR_mission_minutes!$A$2:$A$43)),"-")</f>
        <v>-</v>
      </c>
      <c r="M106" s="128" t="str">
        <f>IFERROR(INDEX(lifespans_all!M$80:M$126,MATCH($A106,lifespans_all!$A$80:$A$126,0))*INDEX(SR_mission_minutes!M$2:M$43,MATCH($A106,SR_mission_minutes!$A$2:$A$43)),"-")</f>
        <v>-</v>
      </c>
      <c r="N106" s="128" t="str">
        <f>IFERROR(INDEX(lifespans_all!N$80:N$126,MATCH($A106,lifespans_all!$A$80:$A$126,0))*INDEX(SR_mission_minutes!N$2:N$43,MATCH($A106,SR_mission_minutes!$A$2:$A$43)),"-")</f>
        <v>-</v>
      </c>
      <c r="O106" s="128" t="str">
        <f>IFERROR(INDEX(lifespans_all!O$80:O$126,MATCH($A106,lifespans_all!$A$80:$A$126,0))*INDEX(SR_mission_minutes!O$2:O$43,MATCH($A106,SR_mission_minutes!$A$2:$A$43)),"-")</f>
        <v>-</v>
      </c>
      <c r="P106" s="128" t="str">
        <f>IFERROR(INDEX(lifespans_all!P$80:P$126,MATCH($A106,lifespans_all!$A$80:$A$126,0))*INDEX(SR_mission_minutes!P$2:P$43,MATCH($A106,SR_mission_minutes!$A$2:$A$43)),"-")</f>
        <v>-</v>
      </c>
      <c r="Q106" s="128" t="str">
        <f>IFERROR(INDEX(lifespans_all!Q$80:Q$126,MATCH($A106,lifespans_all!$A$80:$A$126,0))*INDEX(SR_mission_minutes!Q$2:Q$43,MATCH($A106,SR_mission_minutes!$A$2:$A$43)),"-")</f>
        <v>-</v>
      </c>
      <c r="R106" s="128" t="str">
        <f>IFERROR(INDEX(lifespans_all!R$80:R$126,MATCH($A106,lifespans_all!$A$80:$A$126,0))*INDEX(SR_mission_minutes!R$2:R$43,MATCH($A106,SR_mission_minutes!$A$2:$A$43)),"-")</f>
        <v>-</v>
      </c>
      <c r="S106" s="128" t="str">
        <f>IFERROR(INDEX(lifespans_all!S$80:S$126,MATCH($A106,lifespans_all!$A$80:$A$126,0))*INDEX(SR_mission_minutes!S$2:S$43,MATCH($A106,SR_mission_minutes!$A$2:$A$43)),"-")</f>
        <v>-</v>
      </c>
      <c r="T106" s="128" t="str">
        <f>IFERROR(INDEX(lifespans_all!T$80:T$126,MATCH($A106,lifespans_all!$A$80:$A$126,0))*INDEX(SR_mission_minutes!T$2:T$43,MATCH($A106,SR_mission_minutes!$A$2:$A$43)),"-")</f>
        <v>-</v>
      </c>
      <c r="U106" s="128" t="str">
        <f>IFERROR(INDEX(lifespans_all!U$80:U$126,MATCH($A106,lifespans_all!$A$80:$A$126,0))*INDEX(SR_mission_minutes!U$2:U$43,MATCH($A106,SR_mission_minutes!$A$2:$A$43)),"-")</f>
        <v>-</v>
      </c>
      <c r="V106" s="128" t="str">
        <f>IFERROR(INDEX(lifespans_all!V$80:V$126,MATCH($A106,lifespans_all!$A$80:$A$126,0))*INDEX(SR_mission_minutes!V$2:V$43,MATCH($A106,SR_mission_minutes!$A$2:$A$43)),"-")</f>
        <v>-</v>
      </c>
      <c r="W106" s="128" t="str">
        <f>IFERROR(INDEX(lifespans_all!W$80:W$126,MATCH($A106,lifespans_all!$A$80:$A$126,0))*INDEX(SR_mission_minutes!W$2:W$43,MATCH($A106,SR_mission_minutes!$A$2:$A$43)),"-")</f>
        <v>-</v>
      </c>
    </row>
    <row r="107" spans="1:23" x14ac:dyDescent="0.25">
      <c r="A107" s="46" t="s">
        <v>49</v>
      </c>
      <c r="B107" s="46" t="s">
        <v>57</v>
      </c>
      <c r="C107" s="135"/>
      <c r="D107" s="128">
        <f>IFERROR(INDEX(lifespans_all!D$80:D$126,MATCH($A107,lifespans_all!$A$80:$A$126,0))*INDEX(SR_mission_minutes!D$2:D$43,MATCH($A107,SR_mission_minutes!$A$2:$A$43)),"-")</f>
        <v>0</v>
      </c>
      <c r="E107" s="128">
        <f>IFERROR(INDEX(lifespans_all!E$80:E$126,MATCH($A107,lifespans_all!$A$80:$A$126,0))*INDEX(SR_mission_minutes!E$2:E$43,MATCH($A107,SR_mission_minutes!$A$2:$A$43)),"-")</f>
        <v>0</v>
      </c>
      <c r="F107" s="128">
        <f>IFERROR(INDEX(lifespans_all!F$80:F$126,MATCH($A107,lifespans_all!$A$80:$A$126,0))*INDEX(SR_mission_minutes!F$2:F$43,MATCH($A107,SR_mission_minutes!$A$2:$A$43)),"-")</f>
        <v>0</v>
      </c>
      <c r="G107" s="128">
        <f>IFERROR(INDEX(lifespans_all!G$80:G$126,MATCH($A107,lifespans_all!$A$80:$A$126,0))*INDEX(SR_mission_minutes!G$2:G$43,MATCH($A107,SR_mission_minutes!$A$2:$A$43)),"-")</f>
        <v>0</v>
      </c>
      <c r="H107" s="128">
        <f>IFERROR(INDEX(lifespans_all!H$80:H$126,MATCH($A107,lifespans_all!$A$80:$A$126,0))*INDEX(SR_mission_minutes!H$2:H$43,MATCH($A107,SR_mission_minutes!$A$2:$A$43)),"-")</f>
        <v>0</v>
      </c>
      <c r="I107" s="128">
        <f>IFERROR(INDEX(lifespans_all!I$80:I$126,MATCH($A107,lifespans_all!$A$80:$A$126,0))*INDEX(SR_mission_minutes!I$2:I$43,MATCH($A107,SR_mission_minutes!$A$2:$A$43)),"-")</f>
        <v>0</v>
      </c>
      <c r="J107" s="128">
        <f>IFERROR(INDEX(lifespans_all!J$80:J$126,MATCH($A107,lifespans_all!$A$80:$A$126,0))*INDEX(SR_mission_minutes!J$2:J$43,MATCH($A107,SR_mission_minutes!$A$2:$A$43)),"-")</f>
        <v>0</v>
      </c>
      <c r="K107" s="128">
        <f>IFERROR(INDEX(lifespans_all!K$80:K$126,MATCH($A107,lifespans_all!$A$80:$A$126,0))*INDEX(SR_mission_minutes!K$2:K$43,MATCH($A107,SR_mission_minutes!$A$2:$A$43)),"-")</f>
        <v>0</v>
      </c>
      <c r="L107" s="128">
        <f>IFERROR(INDEX(lifespans_all!L$80:L$126,MATCH($A107,lifespans_all!$A$80:$A$126,0))*INDEX(SR_mission_minutes!L$2:L$43,MATCH($A107,SR_mission_minutes!$A$2:$A$43)),"-")</f>
        <v>0</v>
      </c>
      <c r="M107" s="128">
        <f>IFERROR(INDEX(lifespans_all!M$80:M$126,MATCH($A107,lifespans_all!$A$80:$A$126,0))*INDEX(SR_mission_minutes!M$2:M$43,MATCH($A107,SR_mission_minutes!$A$2:$A$43)),"-")</f>
        <v>0</v>
      </c>
      <c r="N107" s="128">
        <f>IFERROR(INDEX(lifespans_all!N$80:N$126,MATCH($A107,lifespans_all!$A$80:$A$126,0))*INDEX(SR_mission_minutes!N$2:N$43,MATCH($A107,SR_mission_minutes!$A$2:$A$43)),"-")</f>
        <v>0</v>
      </c>
      <c r="O107" s="128">
        <f>IFERROR(INDEX(lifespans_all!O$80:O$126,MATCH($A107,lifespans_all!$A$80:$A$126,0))*INDEX(SR_mission_minutes!O$2:O$43,MATCH($A107,SR_mission_minutes!$A$2:$A$43)),"-")</f>
        <v>0</v>
      </c>
      <c r="P107" s="128">
        <f>IFERROR(INDEX(lifespans_all!P$80:P$126,MATCH($A107,lifespans_all!$A$80:$A$126,0))*INDEX(SR_mission_minutes!P$2:P$43,MATCH($A107,SR_mission_minutes!$A$2:$A$43)),"-")</f>
        <v>0</v>
      </c>
      <c r="Q107" s="128">
        <f>IFERROR(INDEX(lifespans_all!Q$80:Q$126,MATCH($A107,lifespans_all!$A$80:$A$126,0))*INDEX(SR_mission_minutes!Q$2:Q$43,MATCH($A107,SR_mission_minutes!$A$2:$A$43)),"-")</f>
        <v>0</v>
      </c>
      <c r="R107" s="128">
        <f>IFERROR(INDEX(lifespans_all!R$80:R$126,MATCH($A107,lifespans_all!$A$80:$A$126,0))*INDEX(SR_mission_minutes!R$2:R$43,MATCH($A107,SR_mission_minutes!$A$2:$A$43)),"-")</f>
        <v>0</v>
      </c>
      <c r="S107" s="128">
        <f>IFERROR(INDEX(lifespans_all!S$80:S$126,MATCH($A107,lifespans_all!$A$80:$A$126,0))*INDEX(SR_mission_minutes!S$2:S$43,MATCH($A107,SR_mission_minutes!$A$2:$A$43)),"-")</f>
        <v>0</v>
      </c>
      <c r="T107" s="128">
        <f>IFERROR(INDEX(lifespans_all!T$80:T$126,MATCH($A107,lifespans_all!$A$80:$A$126,0))*INDEX(SR_mission_minutes!T$2:T$43,MATCH($A107,SR_mission_minutes!$A$2:$A$43)),"-")</f>
        <v>0</v>
      </c>
      <c r="U107" s="128">
        <f>IFERROR(INDEX(lifespans_all!U$80:U$126,MATCH($A107,lifespans_all!$A$80:$A$126,0))*INDEX(SR_mission_minutes!U$2:U$43,MATCH($A107,SR_mission_minutes!$A$2:$A$43)),"-")</f>
        <v>0</v>
      </c>
      <c r="V107" s="128">
        <f>IFERROR(INDEX(lifespans_all!V$80:V$126,MATCH($A107,lifespans_all!$A$80:$A$126,0))*INDEX(SR_mission_minutes!V$2:V$43,MATCH($A107,SR_mission_minutes!$A$2:$A$43)),"-")</f>
        <v>0</v>
      </c>
      <c r="W107" s="128">
        <f>IFERROR(INDEX(lifespans_all!W$80:W$126,MATCH($A107,lifespans_all!$A$80:$A$126,0))*INDEX(SR_mission_minutes!W$2:W$43,MATCH($A107,SR_mission_minutes!$A$2:$A$43)),"-")</f>
        <v>0</v>
      </c>
    </row>
    <row r="108" spans="1:23" x14ac:dyDescent="0.25">
      <c r="A108" s="46" t="s">
        <v>50</v>
      </c>
      <c r="B108" s="46" t="s">
        <v>61</v>
      </c>
      <c r="C108" s="135"/>
      <c r="D108" s="128">
        <f>IFERROR(INDEX(lifespans_all!D$80:D$126,MATCH($A108,lifespans_all!$A$80:$A$126,0))*INDEX(SR_mission_minutes!D$2:D$43,MATCH($A108,SR_mission_minutes!$A$2:$A$43)),"-")</f>
        <v>33739.333333333336</v>
      </c>
      <c r="E108" s="128">
        <f>IFERROR(INDEX(lifespans_all!E$80:E$126,MATCH($A108,lifespans_all!$A$80:$A$126,0))*INDEX(SR_mission_minutes!E$2:E$43,MATCH($A108,SR_mission_minutes!$A$2:$A$43)),"-")</f>
        <v>33739.333333333336</v>
      </c>
      <c r="F108" s="128">
        <f>IFERROR(INDEX(lifespans_all!F$80:F$126,MATCH($A108,lifespans_all!$A$80:$A$126,0))*INDEX(SR_mission_minutes!F$2:F$43,MATCH($A108,SR_mission_minutes!$A$2:$A$43)),"-")</f>
        <v>33739.333333333336</v>
      </c>
      <c r="G108" s="128">
        <f>IFERROR(INDEX(lifespans_all!G$80:G$126,MATCH($A108,lifespans_all!$A$80:$A$126,0))*INDEX(SR_mission_minutes!G$2:G$43,MATCH($A108,SR_mission_minutes!$A$2:$A$43)),"-")</f>
        <v>33739.333333333336</v>
      </c>
      <c r="H108" s="128">
        <f>IFERROR(INDEX(lifespans_all!H$80:H$126,MATCH($A108,lifespans_all!$A$80:$A$126,0))*INDEX(SR_mission_minutes!H$2:H$43,MATCH($A108,SR_mission_minutes!$A$2:$A$43)),"-")</f>
        <v>33739.333333333336</v>
      </c>
      <c r="I108" s="128">
        <f>IFERROR(INDEX(lifespans_all!I$80:I$126,MATCH($A108,lifespans_all!$A$80:$A$126,0))*INDEX(SR_mission_minutes!I$2:I$43,MATCH($A108,SR_mission_minutes!$A$2:$A$43)),"-")</f>
        <v>0</v>
      </c>
      <c r="J108" s="128">
        <f>IFERROR(INDEX(lifespans_all!J$80:J$126,MATCH($A108,lifespans_all!$A$80:$A$126,0))*INDEX(SR_mission_minutes!J$2:J$43,MATCH($A108,SR_mission_minutes!$A$2:$A$43)),"-")</f>
        <v>0</v>
      </c>
      <c r="K108" s="128">
        <f>IFERROR(INDEX(lifespans_all!K$80:K$126,MATCH($A108,lifespans_all!$A$80:$A$126,0))*INDEX(SR_mission_minutes!K$2:K$43,MATCH($A108,SR_mission_minutes!$A$2:$A$43)),"-")</f>
        <v>0</v>
      </c>
      <c r="L108" s="128">
        <f>IFERROR(INDEX(lifespans_all!L$80:L$126,MATCH($A108,lifespans_all!$A$80:$A$126,0))*INDEX(SR_mission_minutes!L$2:L$43,MATCH($A108,SR_mission_minutes!$A$2:$A$43)),"-")</f>
        <v>0</v>
      </c>
      <c r="M108" s="128">
        <f>IFERROR(INDEX(lifespans_all!M$80:M$126,MATCH($A108,lifespans_all!$A$80:$A$126,0))*INDEX(SR_mission_minutes!M$2:M$43,MATCH($A108,SR_mission_minutes!$A$2:$A$43)),"-")</f>
        <v>0</v>
      </c>
      <c r="N108" s="128">
        <f>IFERROR(INDEX(lifespans_all!N$80:N$126,MATCH($A108,lifespans_all!$A$80:$A$126,0))*INDEX(SR_mission_minutes!N$2:N$43,MATCH($A108,SR_mission_minutes!$A$2:$A$43)),"-")</f>
        <v>0</v>
      </c>
      <c r="O108" s="128">
        <f>IFERROR(INDEX(lifespans_all!O$80:O$126,MATCH($A108,lifespans_all!$A$80:$A$126,0))*INDEX(SR_mission_minutes!O$2:O$43,MATCH($A108,SR_mission_minutes!$A$2:$A$43)),"-")</f>
        <v>0</v>
      </c>
      <c r="P108" s="128">
        <f>IFERROR(INDEX(lifespans_all!P$80:P$126,MATCH($A108,lifespans_all!$A$80:$A$126,0))*INDEX(SR_mission_minutes!P$2:P$43,MATCH($A108,SR_mission_minutes!$A$2:$A$43)),"-")</f>
        <v>0</v>
      </c>
      <c r="Q108" s="128">
        <f>IFERROR(INDEX(lifespans_all!Q$80:Q$126,MATCH($A108,lifespans_all!$A$80:$A$126,0))*INDEX(SR_mission_minutes!Q$2:Q$43,MATCH($A108,SR_mission_minutes!$A$2:$A$43)),"-")</f>
        <v>0</v>
      </c>
      <c r="R108" s="128">
        <f>IFERROR(INDEX(lifespans_all!R$80:R$126,MATCH($A108,lifespans_all!$A$80:$A$126,0))*INDEX(SR_mission_minutes!R$2:R$43,MATCH($A108,SR_mission_minutes!$A$2:$A$43)),"-")</f>
        <v>0</v>
      </c>
      <c r="S108" s="128">
        <f>IFERROR(INDEX(lifespans_all!S$80:S$126,MATCH($A108,lifespans_all!$A$80:$A$126,0))*INDEX(SR_mission_minutes!S$2:S$43,MATCH($A108,SR_mission_minutes!$A$2:$A$43)),"-")</f>
        <v>0</v>
      </c>
      <c r="T108" s="128">
        <f>IFERROR(INDEX(lifespans_all!T$80:T$126,MATCH($A108,lifespans_all!$A$80:$A$126,0))*INDEX(SR_mission_minutes!T$2:T$43,MATCH($A108,SR_mission_minutes!$A$2:$A$43)),"-")</f>
        <v>0</v>
      </c>
      <c r="U108" s="128">
        <f>IFERROR(INDEX(lifespans_all!U$80:U$126,MATCH($A108,lifespans_all!$A$80:$A$126,0))*INDEX(SR_mission_minutes!U$2:U$43,MATCH($A108,SR_mission_minutes!$A$2:$A$43)),"-")</f>
        <v>0</v>
      </c>
      <c r="V108" s="128">
        <f>IFERROR(INDEX(lifespans_all!V$80:V$126,MATCH($A108,lifespans_all!$A$80:$A$126,0))*INDEX(SR_mission_minutes!V$2:V$43,MATCH($A108,SR_mission_minutes!$A$2:$A$43)),"-")</f>
        <v>0</v>
      </c>
      <c r="W108" s="128">
        <f>IFERROR(INDEX(lifespans_all!W$80:W$126,MATCH($A108,lifespans_all!$A$80:$A$126,0))*INDEX(SR_mission_minutes!W$2:W$43,MATCH($A108,SR_mission_minutes!$A$2:$A$43)),"-")</f>
        <v>0</v>
      </c>
    </row>
    <row r="109" spans="1:23" x14ac:dyDescent="0.25">
      <c r="A109" s="46" t="s">
        <v>79</v>
      </c>
      <c r="B109" s="46" t="s">
        <v>59</v>
      </c>
      <c r="C109" s="135"/>
      <c r="D109" s="128">
        <f>IFERROR(INDEX(lifespans_all!D$80:D$126,MATCH($A109,lifespans_all!$A$80:$A$126,0))*INDEX(SR_mission_minutes!D$2:D$43,MATCH($A109,SR_mission_minutes!$A$2:$A$43)),"-")</f>
        <v>114879</v>
      </c>
      <c r="E109" s="128">
        <f>IFERROR(INDEX(lifespans_all!E$80:E$126,MATCH($A109,lifespans_all!$A$80:$A$126,0))*INDEX(SR_mission_minutes!E$2:E$43,MATCH($A109,SR_mission_minutes!$A$2:$A$43)),"-")</f>
        <v>114879</v>
      </c>
      <c r="F109" s="128">
        <f>IFERROR(INDEX(lifespans_all!F$80:F$126,MATCH($A109,lifespans_all!$A$80:$A$126,0))*INDEX(SR_mission_minutes!F$2:F$43,MATCH($A109,SR_mission_minutes!$A$2:$A$43)),"-")</f>
        <v>114879</v>
      </c>
      <c r="G109" s="128">
        <f>IFERROR(INDEX(lifespans_all!G$80:G$126,MATCH($A109,lifespans_all!$A$80:$A$126,0))*INDEX(SR_mission_minutes!G$2:G$43,MATCH($A109,SR_mission_minutes!$A$2:$A$43)),"-")</f>
        <v>114879</v>
      </c>
      <c r="H109" s="128">
        <f>IFERROR(INDEX(lifespans_all!H$80:H$126,MATCH($A109,lifespans_all!$A$80:$A$126,0))*INDEX(SR_mission_minutes!H$2:H$43,MATCH($A109,SR_mission_minutes!$A$2:$A$43)),"-")</f>
        <v>114879</v>
      </c>
      <c r="I109" s="128">
        <f>IFERROR(INDEX(lifespans_all!I$80:I$126,MATCH($A109,lifespans_all!$A$80:$A$126,0))*INDEX(SR_mission_minutes!I$2:I$43,MATCH($A109,SR_mission_minutes!$A$2:$A$43)),"-")</f>
        <v>114879</v>
      </c>
      <c r="J109" s="128">
        <f>IFERROR(INDEX(lifespans_all!J$80:J$126,MATCH($A109,lifespans_all!$A$80:$A$126,0))*INDEX(SR_mission_minutes!J$2:J$43,MATCH($A109,SR_mission_minutes!$A$2:$A$43)),"-")</f>
        <v>114879</v>
      </c>
      <c r="K109" s="128">
        <f>IFERROR(INDEX(lifespans_all!K$80:K$126,MATCH($A109,lifespans_all!$A$80:$A$126,0))*INDEX(SR_mission_minutes!K$2:K$43,MATCH($A109,SR_mission_minutes!$A$2:$A$43)),"-")</f>
        <v>114879</v>
      </c>
      <c r="L109" s="128">
        <f>IFERROR(INDEX(lifespans_all!L$80:L$126,MATCH($A109,lifespans_all!$A$80:$A$126,0))*INDEX(SR_mission_minutes!L$2:L$43,MATCH($A109,SR_mission_minutes!$A$2:$A$43)),"-")</f>
        <v>114879</v>
      </c>
      <c r="M109" s="128">
        <f>IFERROR(INDEX(lifespans_all!M$80:M$126,MATCH($A109,lifespans_all!$A$80:$A$126,0))*INDEX(SR_mission_minutes!M$2:M$43,MATCH($A109,SR_mission_minutes!$A$2:$A$43)),"-")</f>
        <v>114879</v>
      </c>
      <c r="N109" s="128">
        <f>IFERROR(INDEX(lifespans_all!N$80:N$126,MATCH($A109,lifespans_all!$A$80:$A$126,0))*INDEX(SR_mission_minutes!N$2:N$43,MATCH($A109,SR_mission_minutes!$A$2:$A$43)),"-")</f>
        <v>114879</v>
      </c>
      <c r="O109" s="128">
        <f>IFERROR(INDEX(lifespans_all!O$80:O$126,MATCH($A109,lifespans_all!$A$80:$A$126,0))*INDEX(SR_mission_minutes!O$2:O$43,MATCH($A109,SR_mission_minutes!$A$2:$A$43)),"-")</f>
        <v>114879</v>
      </c>
      <c r="P109" s="128">
        <f>IFERROR(INDEX(lifespans_all!P$80:P$126,MATCH($A109,lifespans_all!$A$80:$A$126,0))*INDEX(SR_mission_minutes!P$2:P$43,MATCH($A109,SR_mission_minutes!$A$2:$A$43)),"-")</f>
        <v>114879</v>
      </c>
      <c r="Q109" s="128">
        <f>IFERROR(INDEX(lifespans_all!Q$80:Q$126,MATCH($A109,lifespans_all!$A$80:$A$126,0))*INDEX(SR_mission_minutes!Q$2:Q$43,MATCH($A109,SR_mission_minutes!$A$2:$A$43)),"-")</f>
        <v>114879</v>
      </c>
      <c r="R109" s="128">
        <f>IFERROR(INDEX(lifespans_all!R$80:R$126,MATCH($A109,lifespans_all!$A$80:$A$126,0))*INDEX(SR_mission_minutes!R$2:R$43,MATCH($A109,SR_mission_minutes!$A$2:$A$43)),"-")</f>
        <v>114879</v>
      </c>
      <c r="S109" s="128">
        <f>IFERROR(INDEX(lifespans_all!S$80:S$126,MATCH($A109,lifespans_all!$A$80:$A$126,0))*INDEX(SR_mission_minutes!S$2:S$43,MATCH($A109,SR_mission_minutes!$A$2:$A$43)),"-")</f>
        <v>114879</v>
      </c>
      <c r="T109" s="128">
        <f>IFERROR(INDEX(lifespans_all!T$80:T$126,MATCH($A109,lifespans_all!$A$80:$A$126,0))*INDEX(SR_mission_minutes!T$2:T$43,MATCH($A109,SR_mission_minutes!$A$2:$A$43)),"-")</f>
        <v>114879</v>
      </c>
      <c r="U109" s="128">
        <f>IFERROR(INDEX(lifespans_all!U$80:U$126,MATCH($A109,lifespans_all!$A$80:$A$126,0))*INDEX(SR_mission_minutes!U$2:U$43,MATCH($A109,SR_mission_minutes!$A$2:$A$43)),"-")</f>
        <v>114879</v>
      </c>
      <c r="V109" s="128">
        <f>IFERROR(INDEX(lifespans_all!V$80:V$126,MATCH($A109,lifespans_all!$A$80:$A$126,0))*INDEX(SR_mission_minutes!V$2:V$43,MATCH($A109,SR_mission_minutes!$A$2:$A$43)),"-")</f>
        <v>114879</v>
      </c>
      <c r="W109" s="128">
        <f>IFERROR(INDEX(lifespans_all!W$80:W$126,MATCH($A109,lifespans_all!$A$80:$A$126,0))*INDEX(SR_mission_minutes!W$2:W$43,MATCH($A109,SR_mission_minutes!$A$2:$A$43)),"-")</f>
        <v>114879</v>
      </c>
    </row>
    <row r="110" spans="1:23" x14ac:dyDescent="0.25">
      <c r="A110" s="46" t="s">
        <v>80</v>
      </c>
      <c r="B110" s="46" t="s">
        <v>62</v>
      </c>
      <c r="C110" s="135"/>
      <c r="D110" s="128" t="str">
        <f>IFERROR(INDEX(lifespans_all!D$80:D$126,MATCH($A110,lifespans_all!$A$80:$A$126,0))*INDEX(SR_mission_minutes!D$2:D$43,MATCH($A110,SR_mission_minutes!$A$2:$A$43)),"-")</f>
        <v>-</v>
      </c>
      <c r="E110" s="128" t="str">
        <f>IFERROR(INDEX(lifespans_all!E$80:E$126,MATCH($A110,lifespans_all!$A$80:$A$126,0))*INDEX(SR_mission_minutes!E$2:E$43,MATCH($A110,SR_mission_minutes!$A$2:$A$43)),"-")</f>
        <v>-</v>
      </c>
      <c r="F110" s="128" t="str">
        <f>IFERROR(INDEX(lifespans_all!F$80:F$126,MATCH($A110,lifespans_all!$A$80:$A$126,0))*INDEX(SR_mission_minutes!F$2:F$43,MATCH($A110,SR_mission_minutes!$A$2:$A$43)),"-")</f>
        <v>-</v>
      </c>
      <c r="G110" s="128" t="str">
        <f>IFERROR(INDEX(lifespans_all!G$80:G$126,MATCH($A110,lifespans_all!$A$80:$A$126,0))*INDEX(SR_mission_minutes!G$2:G$43,MATCH($A110,SR_mission_minutes!$A$2:$A$43)),"-")</f>
        <v>-</v>
      </c>
      <c r="H110" s="128" t="str">
        <f>IFERROR(INDEX(lifespans_all!H$80:H$126,MATCH($A110,lifespans_all!$A$80:$A$126,0))*INDEX(SR_mission_minutes!H$2:H$43,MATCH($A110,SR_mission_minutes!$A$2:$A$43)),"-")</f>
        <v>-</v>
      </c>
      <c r="I110" s="128" t="str">
        <f>IFERROR(INDEX(lifespans_all!I$80:I$126,MATCH($A110,lifespans_all!$A$80:$A$126,0))*INDEX(SR_mission_minutes!I$2:I$43,MATCH($A110,SR_mission_minutes!$A$2:$A$43)),"-")</f>
        <v>-</v>
      </c>
      <c r="J110" s="128" t="str">
        <f>IFERROR(INDEX(lifespans_all!J$80:J$126,MATCH($A110,lifespans_all!$A$80:$A$126,0))*INDEX(SR_mission_minutes!J$2:J$43,MATCH($A110,SR_mission_minutes!$A$2:$A$43)),"-")</f>
        <v>-</v>
      </c>
      <c r="K110" s="128" t="str">
        <f>IFERROR(INDEX(lifespans_all!K$80:K$126,MATCH($A110,lifespans_all!$A$80:$A$126,0))*INDEX(SR_mission_minutes!K$2:K$43,MATCH($A110,SR_mission_minutes!$A$2:$A$43)),"-")</f>
        <v>-</v>
      </c>
      <c r="L110" s="128" t="str">
        <f>IFERROR(INDEX(lifespans_all!L$80:L$126,MATCH($A110,lifespans_all!$A$80:$A$126,0))*INDEX(SR_mission_minutes!L$2:L$43,MATCH($A110,SR_mission_minutes!$A$2:$A$43)),"-")</f>
        <v>-</v>
      </c>
      <c r="M110" s="128" t="str">
        <f>IFERROR(INDEX(lifespans_all!M$80:M$126,MATCH($A110,lifespans_all!$A$80:$A$126,0))*INDEX(SR_mission_minutes!M$2:M$43,MATCH($A110,SR_mission_minutes!$A$2:$A$43)),"-")</f>
        <v>-</v>
      </c>
      <c r="N110" s="128" t="str">
        <f>IFERROR(INDEX(lifespans_all!N$80:N$126,MATCH($A110,lifespans_all!$A$80:$A$126,0))*INDEX(SR_mission_minutes!N$2:N$43,MATCH($A110,SR_mission_minutes!$A$2:$A$43)),"-")</f>
        <v>-</v>
      </c>
      <c r="O110" s="128" t="str">
        <f>IFERROR(INDEX(lifespans_all!O$80:O$126,MATCH($A110,lifespans_all!$A$80:$A$126,0))*INDEX(SR_mission_minutes!O$2:O$43,MATCH($A110,SR_mission_minutes!$A$2:$A$43)),"-")</f>
        <v>-</v>
      </c>
      <c r="P110" s="128" t="str">
        <f>IFERROR(INDEX(lifespans_all!P$80:P$126,MATCH($A110,lifespans_all!$A$80:$A$126,0))*INDEX(SR_mission_minutes!P$2:P$43,MATCH($A110,SR_mission_minutes!$A$2:$A$43)),"-")</f>
        <v>-</v>
      </c>
      <c r="Q110" s="128" t="str">
        <f>IFERROR(INDEX(lifespans_all!Q$80:Q$126,MATCH($A110,lifespans_all!$A$80:$A$126,0))*INDEX(SR_mission_minutes!Q$2:Q$43,MATCH($A110,SR_mission_minutes!$A$2:$A$43)),"-")</f>
        <v>-</v>
      </c>
      <c r="R110" s="128" t="str">
        <f>IFERROR(INDEX(lifespans_all!R$80:R$126,MATCH($A110,lifespans_all!$A$80:$A$126,0))*INDEX(SR_mission_minutes!R$2:R$43,MATCH($A110,SR_mission_minutes!$A$2:$A$43)),"-")</f>
        <v>-</v>
      </c>
      <c r="S110" s="128" t="str">
        <f>IFERROR(INDEX(lifespans_all!S$80:S$126,MATCH($A110,lifespans_all!$A$80:$A$126,0))*INDEX(SR_mission_minutes!S$2:S$43,MATCH($A110,SR_mission_minutes!$A$2:$A$43)),"-")</f>
        <v>-</v>
      </c>
      <c r="T110" s="128" t="str">
        <f>IFERROR(INDEX(lifespans_all!T$80:T$126,MATCH($A110,lifespans_all!$A$80:$A$126,0))*INDEX(SR_mission_minutes!T$2:T$43,MATCH($A110,SR_mission_minutes!$A$2:$A$43)),"-")</f>
        <v>-</v>
      </c>
      <c r="U110" s="128" t="str">
        <f>IFERROR(INDEX(lifespans_all!U$80:U$126,MATCH($A110,lifespans_all!$A$80:$A$126,0))*INDEX(SR_mission_minutes!U$2:U$43,MATCH($A110,SR_mission_minutes!$A$2:$A$43)),"-")</f>
        <v>-</v>
      </c>
      <c r="V110" s="128" t="str">
        <f>IFERROR(INDEX(lifespans_all!V$80:V$126,MATCH($A110,lifespans_all!$A$80:$A$126,0))*INDEX(SR_mission_minutes!V$2:V$43,MATCH($A110,SR_mission_minutes!$A$2:$A$43)),"-")</f>
        <v>-</v>
      </c>
      <c r="W110" s="128" t="str">
        <f>IFERROR(INDEX(lifespans_all!W$80:W$126,MATCH($A110,lifespans_all!$A$80:$A$126,0))*INDEX(SR_mission_minutes!W$2:W$43,MATCH($A110,SR_mission_minutes!$A$2:$A$43)),"-")</f>
        <v>-</v>
      </c>
    </row>
    <row r="111" spans="1:23" x14ac:dyDescent="0.25">
      <c r="A111" s="46" t="s">
        <v>81</v>
      </c>
      <c r="B111" s="46" t="s">
        <v>57</v>
      </c>
      <c r="C111" s="135"/>
      <c r="D111" s="128">
        <f>IFERROR(INDEX(lifespans_all!D$80:D$126,MATCH($A111,lifespans_all!$A$80:$A$126,0))*INDEX(SR_mission_minutes!D$2:D$43,MATCH($A111,SR_mission_minutes!$A$2:$A$43)),"-")</f>
        <v>66700.388888888891</v>
      </c>
      <c r="E111" s="128">
        <f>IFERROR(INDEX(lifespans_all!E$80:E$126,MATCH($A111,lifespans_all!$A$80:$A$126,0))*INDEX(SR_mission_minutes!E$2:E$43,MATCH($A111,SR_mission_minutes!$A$2:$A$43)),"-")</f>
        <v>66700.388888888891</v>
      </c>
      <c r="F111" s="128">
        <f>IFERROR(INDEX(lifespans_all!F$80:F$126,MATCH($A111,lifespans_all!$A$80:$A$126,0))*INDEX(SR_mission_minutes!F$2:F$43,MATCH($A111,SR_mission_minutes!$A$2:$A$43)),"-")</f>
        <v>66700.388888888891</v>
      </c>
      <c r="G111" s="128">
        <f>IFERROR(INDEX(lifespans_all!G$80:G$126,MATCH($A111,lifespans_all!$A$80:$A$126,0))*INDEX(SR_mission_minutes!G$2:G$43,MATCH($A111,SR_mission_minutes!$A$2:$A$43)),"-")</f>
        <v>66700.388888888891</v>
      </c>
      <c r="H111" s="128">
        <f>IFERROR(INDEX(lifespans_all!H$80:H$126,MATCH($A111,lifespans_all!$A$80:$A$126,0))*INDEX(SR_mission_minutes!H$2:H$43,MATCH($A111,SR_mission_minutes!$A$2:$A$43)),"-")</f>
        <v>66700.388888888891</v>
      </c>
      <c r="I111" s="128">
        <f>IFERROR(INDEX(lifespans_all!I$80:I$126,MATCH($A111,lifespans_all!$A$80:$A$126,0))*INDEX(SR_mission_minutes!I$2:I$43,MATCH($A111,SR_mission_minutes!$A$2:$A$43)),"-")</f>
        <v>66700.388888888891</v>
      </c>
      <c r="J111" s="128">
        <f>IFERROR(INDEX(lifespans_all!J$80:J$126,MATCH($A111,lifespans_all!$A$80:$A$126,0))*INDEX(SR_mission_minutes!J$2:J$43,MATCH($A111,SR_mission_minutes!$A$2:$A$43)),"-")</f>
        <v>66700.388888888891</v>
      </c>
      <c r="K111" s="128">
        <f>IFERROR(INDEX(lifespans_all!K$80:K$126,MATCH($A111,lifespans_all!$A$80:$A$126,0))*INDEX(SR_mission_minutes!K$2:K$43,MATCH($A111,SR_mission_minutes!$A$2:$A$43)),"-")</f>
        <v>0</v>
      </c>
      <c r="L111" s="128">
        <f>IFERROR(INDEX(lifespans_all!L$80:L$126,MATCH($A111,lifespans_all!$A$80:$A$126,0))*INDEX(SR_mission_minutes!L$2:L$43,MATCH($A111,SR_mission_minutes!$A$2:$A$43)),"-")</f>
        <v>0</v>
      </c>
      <c r="M111" s="128">
        <f>IFERROR(INDEX(lifespans_all!M$80:M$126,MATCH($A111,lifespans_all!$A$80:$A$126,0))*INDEX(SR_mission_minutes!M$2:M$43,MATCH($A111,SR_mission_minutes!$A$2:$A$43)),"-")</f>
        <v>0</v>
      </c>
      <c r="N111" s="128">
        <f>IFERROR(INDEX(lifespans_all!N$80:N$126,MATCH($A111,lifespans_all!$A$80:$A$126,0))*INDEX(SR_mission_minutes!N$2:N$43,MATCH($A111,SR_mission_minutes!$A$2:$A$43)),"-")</f>
        <v>0</v>
      </c>
      <c r="O111" s="128">
        <f>IFERROR(INDEX(lifespans_all!O$80:O$126,MATCH($A111,lifespans_all!$A$80:$A$126,0))*INDEX(SR_mission_minutes!O$2:O$43,MATCH($A111,SR_mission_minutes!$A$2:$A$43)),"-")</f>
        <v>0</v>
      </c>
      <c r="P111" s="128">
        <f>IFERROR(INDEX(lifespans_all!P$80:P$126,MATCH($A111,lifespans_all!$A$80:$A$126,0))*INDEX(SR_mission_minutes!P$2:P$43,MATCH($A111,SR_mission_minutes!$A$2:$A$43)),"-")</f>
        <v>0</v>
      </c>
      <c r="Q111" s="128">
        <f>IFERROR(INDEX(lifespans_all!Q$80:Q$126,MATCH($A111,lifespans_all!$A$80:$A$126,0))*INDEX(SR_mission_minutes!Q$2:Q$43,MATCH($A111,SR_mission_minutes!$A$2:$A$43)),"-")</f>
        <v>0</v>
      </c>
      <c r="R111" s="128">
        <f>IFERROR(INDEX(lifespans_all!R$80:R$126,MATCH($A111,lifespans_all!$A$80:$A$126,0))*INDEX(SR_mission_minutes!R$2:R$43,MATCH($A111,SR_mission_minutes!$A$2:$A$43)),"-")</f>
        <v>0</v>
      </c>
      <c r="S111" s="128">
        <f>IFERROR(INDEX(lifespans_all!S$80:S$126,MATCH($A111,lifespans_all!$A$80:$A$126,0))*INDEX(SR_mission_minutes!S$2:S$43,MATCH($A111,SR_mission_minutes!$A$2:$A$43)),"-")</f>
        <v>0</v>
      </c>
      <c r="T111" s="128">
        <f>IFERROR(INDEX(lifespans_all!T$80:T$126,MATCH($A111,lifespans_all!$A$80:$A$126,0))*INDEX(SR_mission_minutes!T$2:T$43,MATCH($A111,SR_mission_minutes!$A$2:$A$43)),"-")</f>
        <v>0</v>
      </c>
      <c r="U111" s="128">
        <f>IFERROR(INDEX(lifespans_all!U$80:U$126,MATCH($A111,lifespans_all!$A$80:$A$126,0))*INDEX(SR_mission_minutes!U$2:U$43,MATCH($A111,SR_mission_minutes!$A$2:$A$43)),"-")</f>
        <v>0</v>
      </c>
      <c r="V111" s="128">
        <f>IFERROR(INDEX(lifespans_all!V$80:V$126,MATCH($A111,lifespans_all!$A$80:$A$126,0))*INDEX(SR_mission_minutes!V$2:V$43,MATCH($A111,SR_mission_minutes!$A$2:$A$43)),"-")</f>
        <v>0</v>
      </c>
      <c r="W111" s="128">
        <f>IFERROR(INDEX(lifespans_all!W$80:W$126,MATCH($A111,lifespans_all!$A$80:$A$126,0))*INDEX(SR_mission_minutes!W$2:W$43,MATCH($A111,SR_mission_minutes!$A$2:$A$43)),"-")</f>
        <v>0</v>
      </c>
    </row>
    <row r="112" spans="1:23" x14ac:dyDescent="0.25">
      <c r="A112" s="46" t="s">
        <v>51</v>
      </c>
      <c r="B112" s="46" t="s">
        <v>56</v>
      </c>
      <c r="C112" s="135"/>
      <c r="D112" s="128">
        <f>IFERROR(INDEX(lifespans_all!D$80:D$126,MATCH($A112,lifespans_all!$A$80:$A$126,0))*INDEX(SR_mission_minutes!D$2:D$43,MATCH($A112,SR_mission_minutes!$A$2:$A$43)),"-")</f>
        <v>2364.2857142857142</v>
      </c>
      <c r="E112" s="128">
        <f>IFERROR(INDEX(lifespans_all!E$80:E$126,MATCH($A112,lifespans_all!$A$80:$A$126,0))*INDEX(SR_mission_minutes!E$2:E$43,MATCH($A112,SR_mission_minutes!$A$2:$A$43)),"-")</f>
        <v>2364.2857142857142</v>
      </c>
      <c r="F112" s="128">
        <f>IFERROR(INDEX(lifespans_all!F$80:F$126,MATCH($A112,lifespans_all!$A$80:$A$126,0))*INDEX(SR_mission_minutes!F$2:F$43,MATCH($A112,SR_mission_minutes!$A$2:$A$43)),"-")</f>
        <v>0</v>
      </c>
      <c r="G112" s="128">
        <f>IFERROR(INDEX(lifespans_all!G$80:G$126,MATCH($A112,lifespans_all!$A$80:$A$126,0))*INDEX(SR_mission_minutes!G$2:G$43,MATCH($A112,SR_mission_minutes!$A$2:$A$43)),"-")</f>
        <v>0</v>
      </c>
      <c r="H112" s="128">
        <f>IFERROR(INDEX(lifespans_all!H$80:H$126,MATCH($A112,lifespans_all!$A$80:$A$126,0))*INDEX(SR_mission_minutes!H$2:H$43,MATCH($A112,SR_mission_minutes!$A$2:$A$43)),"-")</f>
        <v>0</v>
      </c>
      <c r="I112" s="128">
        <f>IFERROR(INDEX(lifespans_all!I$80:I$126,MATCH($A112,lifespans_all!$A$80:$A$126,0))*INDEX(SR_mission_minutes!I$2:I$43,MATCH($A112,SR_mission_minutes!$A$2:$A$43)),"-")</f>
        <v>0</v>
      </c>
      <c r="J112" s="128">
        <f>IFERROR(INDEX(lifespans_all!J$80:J$126,MATCH($A112,lifespans_all!$A$80:$A$126,0))*INDEX(SR_mission_minutes!J$2:J$43,MATCH($A112,SR_mission_minutes!$A$2:$A$43)),"-")</f>
        <v>0</v>
      </c>
      <c r="K112" s="128">
        <f>IFERROR(INDEX(lifespans_all!K$80:K$126,MATCH($A112,lifespans_all!$A$80:$A$126,0))*INDEX(SR_mission_minutes!K$2:K$43,MATCH($A112,SR_mission_minutes!$A$2:$A$43)),"-")</f>
        <v>0</v>
      </c>
      <c r="L112" s="128">
        <f>IFERROR(INDEX(lifespans_all!L$80:L$126,MATCH($A112,lifespans_all!$A$80:$A$126,0))*INDEX(SR_mission_minutes!L$2:L$43,MATCH($A112,SR_mission_minutes!$A$2:$A$43)),"-")</f>
        <v>0</v>
      </c>
      <c r="M112" s="128">
        <f>IFERROR(INDEX(lifespans_all!M$80:M$126,MATCH($A112,lifespans_all!$A$80:$A$126,0))*INDEX(SR_mission_minutes!M$2:M$43,MATCH($A112,SR_mission_minutes!$A$2:$A$43)),"-")</f>
        <v>0</v>
      </c>
      <c r="N112" s="128">
        <f>IFERROR(INDEX(lifespans_all!N$80:N$126,MATCH($A112,lifespans_all!$A$80:$A$126,0))*INDEX(SR_mission_minutes!N$2:N$43,MATCH($A112,SR_mission_minutes!$A$2:$A$43)),"-")</f>
        <v>0</v>
      </c>
      <c r="O112" s="128">
        <f>IFERROR(INDEX(lifespans_all!O$80:O$126,MATCH($A112,lifespans_all!$A$80:$A$126,0))*INDEX(SR_mission_minutes!O$2:O$43,MATCH($A112,SR_mission_minutes!$A$2:$A$43)),"-")</f>
        <v>0</v>
      </c>
      <c r="P112" s="128">
        <f>IFERROR(INDEX(lifespans_all!P$80:P$126,MATCH($A112,lifespans_all!$A$80:$A$126,0))*INDEX(SR_mission_minutes!P$2:P$43,MATCH($A112,SR_mission_minutes!$A$2:$A$43)),"-")</f>
        <v>0</v>
      </c>
      <c r="Q112" s="128">
        <f>IFERROR(INDEX(lifespans_all!Q$80:Q$126,MATCH($A112,lifespans_all!$A$80:$A$126,0))*INDEX(SR_mission_minutes!Q$2:Q$43,MATCH($A112,SR_mission_minutes!$A$2:$A$43)),"-")</f>
        <v>0</v>
      </c>
      <c r="R112" s="128">
        <f>IFERROR(INDEX(lifespans_all!R$80:R$126,MATCH($A112,lifespans_all!$A$80:$A$126,0))*INDEX(SR_mission_minutes!R$2:R$43,MATCH($A112,SR_mission_minutes!$A$2:$A$43)),"-")</f>
        <v>0</v>
      </c>
      <c r="S112" s="128">
        <f>IFERROR(INDEX(lifespans_all!S$80:S$126,MATCH($A112,lifespans_all!$A$80:$A$126,0))*INDEX(SR_mission_minutes!S$2:S$43,MATCH($A112,SR_mission_minutes!$A$2:$A$43)),"-")</f>
        <v>0</v>
      </c>
      <c r="T112" s="128">
        <f>IFERROR(INDEX(lifespans_all!T$80:T$126,MATCH($A112,lifespans_all!$A$80:$A$126,0))*INDEX(SR_mission_minutes!T$2:T$43,MATCH($A112,SR_mission_minutes!$A$2:$A$43)),"-")</f>
        <v>0</v>
      </c>
      <c r="U112" s="128">
        <f>IFERROR(INDEX(lifespans_all!U$80:U$126,MATCH($A112,lifespans_all!$A$80:$A$126,0))*INDEX(SR_mission_minutes!U$2:U$43,MATCH($A112,SR_mission_minutes!$A$2:$A$43)),"-")</f>
        <v>0</v>
      </c>
      <c r="V112" s="128">
        <f>IFERROR(INDEX(lifespans_all!V$80:V$126,MATCH($A112,lifespans_all!$A$80:$A$126,0))*INDEX(SR_mission_minutes!V$2:V$43,MATCH($A112,SR_mission_minutes!$A$2:$A$43)),"-")</f>
        <v>0</v>
      </c>
      <c r="W112" s="128">
        <f>IFERROR(INDEX(lifespans_all!W$80:W$126,MATCH($A112,lifespans_all!$A$80:$A$126,0))*INDEX(SR_mission_minutes!W$2:W$43,MATCH($A112,SR_mission_minutes!$A$2:$A$43)),"-")</f>
        <v>0</v>
      </c>
    </row>
    <row r="113" spans="1:23" x14ac:dyDescent="0.25">
      <c r="A113" s="46" t="s">
        <v>52</v>
      </c>
      <c r="B113" s="46" t="s">
        <v>56</v>
      </c>
      <c r="C113" s="135"/>
      <c r="D113" s="128">
        <f>IFERROR(INDEX(lifespans_all!D$80:D$126,MATCH($A113,lifespans_all!$A$80:$A$126,0))*INDEX(SR_mission_minutes!D$2:D$43,MATCH($A113,SR_mission_minutes!$A$2:$A$43)),"-")</f>
        <v>2364.2857142857142</v>
      </c>
      <c r="E113" s="128">
        <f>IFERROR(INDEX(lifespans_all!E$80:E$126,MATCH($A113,lifespans_all!$A$80:$A$126,0))*INDEX(SR_mission_minutes!E$2:E$43,MATCH($A113,SR_mission_minutes!$A$2:$A$43)),"-")</f>
        <v>2364.2857142857142</v>
      </c>
      <c r="F113" s="128">
        <f>IFERROR(INDEX(lifespans_all!F$80:F$126,MATCH($A113,lifespans_all!$A$80:$A$126,0))*INDEX(SR_mission_minutes!F$2:F$43,MATCH($A113,SR_mission_minutes!$A$2:$A$43)),"-")</f>
        <v>0</v>
      </c>
      <c r="G113" s="128">
        <f>IFERROR(INDEX(lifespans_all!G$80:G$126,MATCH($A113,lifespans_all!$A$80:$A$126,0))*INDEX(SR_mission_minutes!G$2:G$43,MATCH($A113,SR_mission_minutes!$A$2:$A$43)),"-")</f>
        <v>0</v>
      </c>
      <c r="H113" s="128">
        <f>IFERROR(INDEX(lifespans_all!H$80:H$126,MATCH($A113,lifespans_all!$A$80:$A$126,0))*INDEX(SR_mission_minutes!H$2:H$43,MATCH($A113,SR_mission_minutes!$A$2:$A$43)),"-")</f>
        <v>0</v>
      </c>
      <c r="I113" s="128">
        <f>IFERROR(INDEX(lifespans_all!I$80:I$126,MATCH($A113,lifespans_all!$A$80:$A$126,0))*INDEX(SR_mission_minutes!I$2:I$43,MATCH($A113,SR_mission_minutes!$A$2:$A$43)),"-")</f>
        <v>0</v>
      </c>
      <c r="J113" s="128">
        <f>IFERROR(INDEX(lifespans_all!J$80:J$126,MATCH($A113,lifespans_all!$A$80:$A$126,0))*INDEX(SR_mission_minutes!J$2:J$43,MATCH($A113,SR_mission_minutes!$A$2:$A$43)),"-")</f>
        <v>0</v>
      </c>
      <c r="K113" s="128">
        <f>IFERROR(INDEX(lifespans_all!K$80:K$126,MATCH($A113,lifespans_all!$A$80:$A$126,0))*INDEX(SR_mission_minutes!K$2:K$43,MATCH($A113,SR_mission_minutes!$A$2:$A$43)),"-")</f>
        <v>0</v>
      </c>
      <c r="L113" s="128">
        <f>IFERROR(INDEX(lifespans_all!L$80:L$126,MATCH($A113,lifespans_all!$A$80:$A$126,0))*INDEX(SR_mission_minutes!L$2:L$43,MATCH($A113,SR_mission_minutes!$A$2:$A$43)),"-")</f>
        <v>0</v>
      </c>
      <c r="M113" s="128">
        <f>IFERROR(INDEX(lifespans_all!M$80:M$126,MATCH($A113,lifespans_all!$A$80:$A$126,0))*INDEX(SR_mission_minutes!M$2:M$43,MATCH($A113,SR_mission_minutes!$A$2:$A$43)),"-")</f>
        <v>0</v>
      </c>
      <c r="N113" s="128">
        <f>IFERROR(INDEX(lifespans_all!N$80:N$126,MATCH($A113,lifespans_all!$A$80:$A$126,0))*INDEX(SR_mission_minutes!N$2:N$43,MATCH($A113,SR_mission_minutes!$A$2:$A$43)),"-")</f>
        <v>0</v>
      </c>
      <c r="O113" s="128">
        <f>IFERROR(INDEX(lifespans_all!O$80:O$126,MATCH($A113,lifespans_all!$A$80:$A$126,0))*INDEX(SR_mission_minutes!O$2:O$43,MATCH($A113,SR_mission_minutes!$A$2:$A$43)),"-")</f>
        <v>0</v>
      </c>
      <c r="P113" s="128">
        <f>IFERROR(INDEX(lifespans_all!P$80:P$126,MATCH($A113,lifespans_all!$A$80:$A$126,0))*INDEX(SR_mission_minutes!P$2:P$43,MATCH($A113,SR_mission_minutes!$A$2:$A$43)),"-")</f>
        <v>0</v>
      </c>
      <c r="Q113" s="128">
        <f>IFERROR(INDEX(lifespans_all!Q$80:Q$126,MATCH($A113,lifespans_all!$A$80:$A$126,0))*INDEX(SR_mission_minutes!Q$2:Q$43,MATCH($A113,SR_mission_minutes!$A$2:$A$43)),"-")</f>
        <v>0</v>
      </c>
      <c r="R113" s="128">
        <f>IFERROR(INDEX(lifespans_all!R$80:R$126,MATCH($A113,lifespans_all!$A$80:$A$126,0))*INDEX(SR_mission_minutes!R$2:R$43,MATCH($A113,SR_mission_minutes!$A$2:$A$43)),"-")</f>
        <v>0</v>
      </c>
      <c r="S113" s="128">
        <f>IFERROR(INDEX(lifespans_all!S$80:S$126,MATCH($A113,lifespans_all!$A$80:$A$126,0))*INDEX(SR_mission_minutes!S$2:S$43,MATCH($A113,SR_mission_minutes!$A$2:$A$43)),"-")</f>
        <v>0</v>
      </c>
      <c r="T113" s="128">
        <f>IFERROR(INDEX(lifespans_all!T$80:T$126,MATCH($A113,lifespans_all!$A$80:$A$126,0))*INDEX(SR_mission_minutes!T$2:T$43,MATCH($A113,SR_mission_minutes!$A$2:$A$43)),"-")</f>
        <v>0</v>
      </c>
      <c r="U113" s="128">
        <f>IFERROR(INDEX(lifespans_all!U$80:U$126,MATCH($A113,lifespans_all!$A$80:$A$126,0))*INDEX(SR_mission_minutes!U$2:U$43,MATCH($A113,SR_mission_minutes!$A$2:$A$43)),"-")</f>
        <v>0</v>
      </c>
      <c r="V113" s="128">
        <f>IFERROR(INDEX(lifespans_all!V$80:V$126,MATCH($A113,lifespans_all!$A$80:$A$126,0))*INDEX(SR_mission_minutes!V$2:V$43,MATCH($A113,SR_mission_minutes!$A$2:$A$43)),"-")</f>
        <v>0</v>
      </c>
      <c r="W113" s="128">
        <f>IFERROR(INDEX(lifespans_all!W$80:W$126,MATCH($A113,lifespans_all!$A$80:$A$126,0))*INDEX(SR_mission_minutes!W$2:W$43,MATCH($A113,SR_mission_minutes!$A$2:$A$43)),"-")</f>
        <v>0</v>
      </c>
    </row>
    <row r="114" spans="1:23" x14ac:dyDescent="0.25">
      <c r="A114" s="46" t="s">
        <v>53</v>
      </c>
      <c r="B114" s="46" t="s">
        <v>56</v>
      </c>
      <c r="C114" s="135"/>
      <c r="D114" s="128">
        <f>IFERROR(INDEX(lifespans_all!D$80:D$126,MATCH($A114,lifespans_all!$A$80:$A$126,0))*INDEX(SR_mission_minutes!D$2:D$43,MATCH($A114,SR_mission_minutes!$A$2:$A$43)),"-")</f>
        <v>2364.2857142857142</v>
      </c>
      <c r="E114" s="128">
        <f>IFERROR(INDEX(lifespans_all!E$80:E$126,MATCH($A114,lifespans_all!$A$80:$A$126,0))*INDEX(SR_mission_minutes!E$2:E$43,MATCH($A114,SR_mission_minutes!$A$2:$A$43)),"-")</f>
        <v>2364.2857142857142</v>
      </c>
      <c r="F114" s="128">
        <f>IFERROR(INDEX(lifespans_all!F$80:F$126,MATCH($A114,lifespans_all!$A$80:$A$126,0))*INDEX(SR_mission_minutes!F$2:F$43,MATCH($A114,SR_mission_minutes!$A$2:$A$43)),"-")</f>
        <v>0</v>
      </c>
      <c r="G114" s="128">
        <f>IFERROR(INDEX(lifespans_all!G$80:G$126,MATCH($A114,lifespans_all!$A$80:$A$126,0))*INDEX(SR_mission_minutes!G$2:G$43,MATCH($A114,SR_mission_minutes!$A$2:$A$43)),"-")</f>
        <v>0</v>
      </c>
      <c r="H114" s="128">
        <f>IFERROR(INDEX(lifespans_all!H$80:H$126,MATCH($A114,lifespans_all!$A$80:$A$126,0))*INDEX(SR_mission_minutes!H$2:H$43,MATCH($A114,SR_mission_minutes!$A$2:$A$43)),"-")</f>
        <v>0</v>
      </c>
      <c r="I114" s="128">
        <f>IFERROR(INDEX(lifespans_all!I$80:I$126,MATCH($A114,lifespans_all!$A$80:$A$126,0))*INDEX(SR_mission_minutes!I$2:I$43,MATCH($A114,SR_mission_minutes!$A$2:$A$43)),"-")</f>
        <v>0</v>
      </c>
      <c r="J114" s="128">
        <f>IFERROR(INDEX(lifespans_all!J$80:J$126,MATCH($A114,lifespans_all!$A$80:$A$126,0))*INDEX(SR_mission_minutes!J$2:J$43,MATCH($A114,SR_mission_minutes!$A$2:$A$43)),"-")</f>
        <v>0</v>
      </c>
      <c r="K114" s="128">
        <f>IFERROR(INDEX(lifespans_all!K$80:K$126,MATCH($A114,lifespans_all!$A$80:$A$126,0))*INDEX(SR_mission_minutes!K$2:K$43,MATCH($A114,SR_mission_minutes!$A$2:$A$43)),"-")</f>
        <v>0</v>
      </c>
      <c r="L114" s="128">
        <f>IFERROR(INDEX(lifespans_all!L$80:L$126,MATCH($A114,lifespans_all!$A$80:$A$126,0))*INDEX(SR_mission_minutes!L$2:L$43,MATCH($A114,SR_mission_minutes!$A$2:$A$43)),"-")</f>
        <v>0</v>
      </c>
      <c r="M114" s="128">
        <f>IFERROR(INDEX(lifespans_all!M$80:M$126,MATCH($A114,lifespans_all!$A$80:$A$126,0))*INDEX(SR_mission_minutes!M$2:M$43,MATCH($A114,SR_mission_minutes!$A$2:$A$43)),"-")</f>
        <v>0</v>
      </c>
      <c r="N114" s="128">
        <f>IFERROR(INDEX(lifespans_all!N$80:N$126,MATCH($A114,lifespans_all!$A$80:$A$126,0))*INDEX(SR_mission_minutes!N$2:N$43,MATCH($A114,SR_mission_minutes!$A$2:$A$43)),"-")</f>
        <v>0</v>
      </c>
      <c r="O114" s="128">
        <f>IFERROR(INDEX(lifespans_all!O$80:O$126,MATCH($A114,lifespans_all!$A$80:$A$126,0))*INDEX(SR_mission_minutes!O$2:O$43,MATCH($A114,SR_mission_minutes!$A$2:$A$43)),"-")</f>
        <v>0</v>
      </c>
      <c r="P114" s="128">
        <f>IFERROR(INDEX(lifespans_all!P$80:P$126,MATCH($A114,lifespans_all!$A$80:$A$126,0))*INDEX(SR_mission_minutes!P$2:P$43,MATCH($A114,SR_mission_minutes!$A$2:$A$43)),"-")</f>
        <v>0</v>
      </c>
      <c r="Q114" s="128">
        <f>IFERROR(INDEX(lifespans_all!Q$80:Q$126,MATCH($A114,lifespans_all!$A$80:$A$126,0))*INDEX(SR_mission_minutes!Q$2:Q$43,MATCH($A114,SR_mission_minutes!$A$2:$A$43)),"-")</f>
        <v>0</v>
      </c>
      <c r="R114" s="128">
        <f>IFERROR(INDEX(lifespans_all!R$80:R$126,MATCH($A114,lifespans_all!$A$80:$A$126,0))*INDEX(SR_mission_minutes!R$2:R$43,MATCH($A114,SR_mission_minutes!$A$2:$A$43)),"-")</f>
        <v>0</v>
      </c>
      <c r="S114" s="128">
        <f>IFERROR(INDEX(lifespans_all!S$80:S$126,MATCH($A114,lifespans_all!$A$80:$A$126,0))*INDEX(SR_mission_minutes!S$2:S$43,MATCH($A114,SR_mission_minutes!$A$2:$A$43)),"-")</f>
        <v>0</v>
      </c>
      <c r="T114" s="128">
        <f>IFERROR(INDEX(lifespans_all!T$80:T$126,MATCH($A114,lifespans_all!$A$80:$A$126,0))*INDEX(SR_mission_minutes!T$2:T$43,MATCH($A114,SR_mission_minutes!$A$2:$A$43)),"-")</f>
        <v>0</v>
      </c>
      <c r="U114" s="128">
        <f>IFERROR(INDEX(lifespans_all!U$80:U$126,MATCH($A114,lifespans_all!$A$80:$A$126,0))*INDEX(SR_mission_minutes!U$2:U$43,MATCH($A114,SR_mission_minutes!$A$2:$A$43)),"-")</f>
        <v>0</v>
      </c>
      <c r="V114" s="128">
        <f>IFERROR(INDEX(lifespans_all!V$80:V$126,MATCH($A114,lifespans_all!$A$80:$A$126,0))*INDEX(SR_mission_minutes!V$2:V$43,MATCH($A114,SR_mission_minutes!$A$2:$A$43)),"-")</f>
        <v>0</v>
      </c>
      <c r="W114" s="128">
        <f>IFERROR(INDEX(lifespans_all!W$80:W$126,MATCH($A114,lifespans_all!$A$80:$A$126,0))*INDEX(SR_mission_minutes!W$2:W$43,MATCH($A114,SR_mission_minutes!$A$2:$A$43)),"-")</f>
        <v>0</v>
      </c>
    </row>
    <row r="115" spans="1:23" x14ac:dyDescent="0.25">
      <c r="A115" s="46" t="s">
        <v>54</v>
      </c>
      <c r="B115" s="46" t="s">
        <v>57</v>
      </c>
      <c r="C115" s="135"/>
      <c r="D115" s="128">
        <f>IFERROR(INDEX(lifespans_all!D$80:D$126,MATCH($A115,lifespans_all!$A$80:$A$126,0))*INDEX(SR_mission_minutes!D$2:D$43,MATCH($A115,SR_mission_minutes!$A$2:$A$43)),"-")</f>
        <v>66700.388888888891</v>
      </c>
      <c r="E115" s="128">
        <f>IFERROR(INDEX(lifespans_all!E$80:E$126,MATCH($A115,lifespans_all!$A$80:$A$126,0))*INDEX(SR_mission_minutes!E$2:E$43,MATCH($A115,SR_mission_minutes!$A$2:$A$43)),"-")</f>
        <v>0</v>
      </c>
      <c r="F115" s="128">
        <f>IFERROR(INDEX(lifespans_all!F$80:F$126,MATCH($A115,lifespans_all!$A$80:$A$126,0))*INDEX(SR_mission_minutes!F$2:F$43,MATCH($A115,SR_mission_minutes!$A$2:$A$43)),"-")</f>
        <v>0</v>
      </c>
      <c r="G115" s="128">
        <f>IFERROR(INDEX(lifespans_all!G$80:G$126,MATCH($A115,lifespans_all!$A$80:$A$126,0))*INDEX(SR_mission_minutes!G$2:G$43,MATCH($A115,SR_mission_minutes!$A$2:$A$43)),"-")</f>
        <v>0</v>
      </c>
      <c r="H115" s="128">
        <f>IFERROR(INDEX(lifespans_all!H$80:H$126,MATCH($A115,lifespans_all!$A$80:$A$126,0))*INDEX(SR_mission_minutes!H$2:H$43,MATCH($A115,SR_mission_minutes!$A$2:$A$43)),"-")</f>
        <v>0</v>
      </c>
      <c r="I115" s="128">
        <f>IFERROR(INDEX(lifespans_all!I$80:I$126,MATCH($A115,lifespans_all!$A$80:$A$126,0))*INDEX(SR_mission_minutes!I$2:I$43,MATCH($A115,SR_mission_minutes!$A$2:$A$43)),"-")</f>
        <v>0</v>
      </c>
      <c r="J115" s="128">
        <f>IFERROR(INDEX(lifespans_all!J$80:J$126,MATCH($A115,lifespans_all!$A$80:$A$126,0))*INDEX(SR_mission_minutes!J$2:J$43,MATCH($A115,SR_mission_minutes!$A$2:$A$43)),"-")</f>
        <v>0</v>
      </c>
      <c r="K115" s="128">
        <f>IFERROR(INDEX(lifespans_all!K$80:K$126,MATCH($A115,lifespans_all!$A$80:$A$126,0))*INDEX(SR_mission_minutes!K$2:K$43,MATCH($A115,SR_mission_minutes!$A$2:$A$43)),"-")</f>
        <v>0</v>
      </c>
      <c r="L115" s="128">
        <f>IFERROR(INDEX(lifespans_all!L$80:L$126,MATCH($A115,lifespans_all!$A$80:$A$126,0))*INDEX(SR_mission_minutes!L$2:L$43,MATCH($A115,SR_mission_minutes!$A$2:$A$43)),"-")</f>
        <v>0</v>
      </c>
      <c r="M115" s="128">
        <f>IFERROR(INDEX(lifespans_all!M$80:M$126,MATCH($A115,lifespans_all!$A$80:$A$126,0))*INDEX(SR_mission_minutes!M$2:M$43,MATCH($A115,SR_mission_minutes!$A$2:$A$43)),"-")</f>
        <v>0</v>
      </c>
      <c r="N115" s="128">
        <f>IFERROR(INDEX(lifespans_all!N$80:N$126,MATCH($A115,lifespans_all!$A$80:$A$126,0))*INDEX(SR_mission_minutes!N$2:N$43,MATCH($A115,SR_mission_minutes!$A$2:$A$43)),"-")</f>
        <v>0</v>
      </c>
      <c r="O115" s="128">
        <f>IFERROR(INDEX(lifespans_all!O$80:O$126,MATCH($A115,lifespans_all!$A$80:$A$126,0))*INDEX(SR_mission_minutes!O$2:O$43,MATCH($A115,SR_mission_minutes!$A$2:$A$43)),"-")</f>
        <v>0</v>
      </c>
      <c r="P115" s="128">
        <f>IFERROR(INDEX(lifespans_all!P$80:P$126,MATCH($A115,lifespans_all!$A$80:$A$126,0))*INDEX(SR_mission_minutes!P$2:P$43,MATCH($A115,SR_mission_minutes!$A$2:$A$43)),"-")</f>
        <v>0</v>
      </c>
      <c r="Q115" s="128">
        <f>IFERROR(INDEX(lifespans_all!Q$80:Q$126,MATCH($A115,lifespans_all!$A$80:$A$126,0))*INDEX(SR_mission_minutes!Q$2:Q$43,MATCH($A115,SR_mission_minutes!$A$2:$A$43)),"-")</f>
        <v>0</v>
      </c>
      <c r="R115" s="128">
        <f>IFERROR(INDEX(lifespans_all!R$80:R$126,MATCH($A115,lifespans_all!$A$80:$A$126,0))*INDEX(SR_mission_minutes!R$2:R$43,MATCH($A115,SR_mission_minutes!$A$2:$A$43)),"-")</f>
        <v>0</v>
      </c>
      <c r="S115" s="128">
        <f>IFERROR(INDEX(lifespans_all!S$80:S$126,MATCH($A115,lifespans_all!$A$80:$A$126,0))*INDEX(SR_mission_minutes!S$2:S$43,MATCH($A115,SR_mission_minutes!$A$2:$A$43)),"-")</f>
        <v>0</v>
      </c>
      <c r="T115" s="128">
        <f>IFERROR(INDEX(lifespans_all!T$80:T$126,MATCH($A115,lifespans_all!$A$80:$A$126,0))*INDEX(SR_mission_minutes!T$2:T$43,MATCH($A115,SR_mission_minutes!$A$2:$A$43)),"-")</f>
        <v>0</v>
      </c>
      <c r="U115" s="128">
        <f>IFERROR(INDEX(lifespans_all!U$80:U$126,MATCH($A115,lifespans_all!$A$80:$A$126,0))*INDEX(SR_mission_minutes!U$2:U$43,MATCH($A115,SR_mission_minutes!$A$2:$A$43)),"-")</f>
        <v>0</v>
      </c>
      <c r="V115" s="128">
        <f>IFERROR(INDEX(lifespans_all!V$80:V$126,MATCH($A115,lifespans_all!$A$80:$A$126,0))*INDEX(SR_mission_minutes!V$2:V$43,MATCH($A115,SR_mission_minutes!$A$2:$A$43)),"-")</f>
        <v>0</v>
      </c>
      <c r="W115" s="128">
        <f>IFERROR(INDEX(lifespans_all!W$80:W$126,MATCH($A115,lifespans_all!$A$80:$A$126,0))*INDEX(SR_mission_minutes!W$2:W$43,MATCH($A115,SR_mission_minutes!$A$2:$A$43)),"-")</f>
        <v>0</v>
      </c>
    </row>
    <row r="116" spans="1:23" x14ac:dyDescent="0.25">
      <c r="A116" s="46" t="s">
        <v>55</v>
      </c>
      <c r="B116" s="46" t="s">
        <v>57</v>
      </c>
      <c r="C116" s="135"/>
      <c r="D116" s="128">
        <f>IFERROR(INDEX(lifespans_all!D$80:D$126,MATCH($A116,lifespans_all!$A$80:$A$126,0))*INDEX(SR_mission_minutes!D$2:D$43,MATCH($A116,SR_mission_minutes!$A$2:$A$43)),"-")</f>
        <v>33739.333333333336</v>
      </c>
      <c r="E116" s="128">
        <f>IFERROR(INDEX(lifespans_all!E$80:E$126,MATCH($A116,lifespans_all!$A$80:$A$126,0))*INDEX(SR_mission_minutes!E$2:E$43,MATCH($A116,SR_mission_minutes!$A$2:$A$43)),"-")</f>
        <v>33739.333333333336</v>
      </c>
      <c r="F116" s="128">
        <f>IFERROR(INDEX(lifespans_all!F$80:F$126,MATCH($A116,lifespans_all!$A$80:$A$126,0))*INDEX(SR_mission_minutes!F$2:F$43,MATCH($A116,SR_mission_minutes!$A$2:$A$43)),"-")</f>
        <v>33739.333333333336</v>
      </c>
      <c r="G116" s="128">
        <f>IFERROR(INDEX(lifespans_all!G$80:G$126,MATCH($A116,lifespans_all!$A$80:$A$126,0))*INDEX(SR_mission_minutes!G$2:G$43,MATCH($A116,SR_mission_minutes!$A$2:$A$43)),"-")</f>
        <v>33739.333333333336</v>
      </c>
      <c r="H116" s="128">
        <f>IFERROR(INDEX(lifespans_all!H$80:H$126,MATCH($A116,lifespans_all!$A$80:$A$126,0))*INDEX(SR_mission_minutes!H$2:H$43,MATCH($A116,SR_mission_minutes!$A$2:$A$43)),"-")</f>
        <v>0</v>
      </c>
      <c r="I116" s="128">
        <f>IFERROR(INDEX(lifespans_all!I$80:I$126,MATCH($A116,lifespans_all!$A$80:$A$126,0))*INDEX(SR_mission_minutes!I$2:I$43,MATCH($A116,SR_mission_minutes!$A$2:$A$43)),"-")</f>
        <v>0</v>
      </c>
      <c r="J116" s="128">
        <f>IFERROR(INDEX(lifespans_all!J$80:J$126,MATCH($A116,lifespans_all!$A$80:$A$126,0))*INDEX(SR_mission_minutes!J$2:J$43,MATCH($A116,SR_mission_minutes!$A$2:$A$43)),"-")</f>
        <v>0</v>
      </c>
      <c r="K116" s="128">
        <f>IFERROR(INDEX(lifespans_all!K$80:K$126,MATCH($A116,lifespans_all!$A$80:$A$126,0))*INDEX(SR_mission_minutes!K$2:K$43,MATCH($A116,SR_mission_minutes!$A$2:$A$43)),"-")</f>
        <v>0</v>
      </c>
      <c r="L116" s="128">
        <f>IFERROR(INDEX(lifespans_all!L$80:L$126,MATCH($A116,lifespans_all!$A$80:$A$126,0))*INDEX(SR_mission_minutes!L$2:L$43,MATCH($A116,SR_mission_minutes!$A$2:$A$43)),"-")</f>
        <v>0</v>
      </c>
      <c r="M116" s="128">
        <f>IFERROR(INDEX(lifespans_all!M$80:M$126,MATCH($A116,lifespans_all!$A$80:$A$126,0))*INDEX(SR_mission_minutes!M$2:M$43,MATCH($A116,SR_mission_minutes!$A$2:$A$43)),"-")</f>
        <v>0</v>
      </c>
      <c r="N116" s="128">
        <f>IFERROR(INDEX(lifespans_all!N$80:N$126,MATCH($A116,lifespans_all!$A$80:$A$126,0))*INDEX(SR_mission_minutes!N$2:N$43,MATCH($A116,SR_mission_minutes!$A$2:$A$43)),"-")</f>
        <v>0</v>
      </c>
      <c r="O116" s="128">
        <f>IFERROR(INDEX(lifespans_all!O$80:O$126,MATCH($A116,lifespans_all!$A$80:$A$126,0))*INDEX(SR_mission_minutes!O$2:O$43,MATCH($A116,SR_mission_minutes!$A$2:$A$43)),"-")</f>
        <v>0</v>
      </c>
      <c r="P116" s="128">
        <f>IFERROR(INDEX(lifespans_all!P$80:P$126,MATCH($A116,lifespans_all!$A$80:$A$126,0))*INDEX(SR_mission_minutes!P$2:P$43,MATCH($A116,SR_mission_minutes!$A$2:$A$43)),"-")</f>
        <v>0</v>
      </c>
      <c r="Q116" s="128">
        <f>IFERROR(INDEX(lifespans_all!Q$80:Q$126,MATCH($A116,lifespans_all!$A$80:$A$126,0))*INDEX(SR_mission_minutes!Q$2:Q$43,MATCH($A116,SR_mission_minutes!$A$2:$A$43)),"-")</f>
        <v>0</v>
      </c>
      <c r="R116" s="128">
        <f>IFERROR(INDEX(lifespans_all!R$80:R$126,MATCH($A116,lifespans_all!$A$80:$A$126,0))*INDEX(SR_mission_minutes!R$2:R$43,MATCH($A116,SR_mission_minutes!$A$2:$A$43)),"-")</f>
        <v>0</v>
      </c>
      <c r="S116" s="128">
        <f>IFERROR(INDEX(lifespans_all!S$80:S$126,MATCH($A116,lifespans_all!$A$80:$A$126,0))*INDEX(SR_mission_minutes!S$2:S$43,MATCH($A116,SR_mission_minutes!$A$2:$A$43)),"-")</f>
        <v>0</v>
      </c>
      <c r="T116" s="128">
        <f>IFERROR(INDEX(lifespans_all!T$80:T$126,MATCH($A116,lifespans_all!$A$80:$A$126,0))*INDEX(SR_mission_minutes!T$2:T$43,MATCH($A116,SR_mission_minutes!$A$2:$A$43)),"-")</f>
        <v>0</v>
      </c>
      <c r="U116" s="128">
        <f>IFERROR(INDEX(lifespans_all!U$80:U$126,MATCH($A116,lifespans_all!$A$80:$A$126,0))*INDEX(SR_mission_minutes!U$2:U$43,MATCH($A116,SR_mission_minutes!$A$2:$A$43)),"-")</f>
        <v>0</v>
      </c>
      <c r="V116" s="128">
        <f>IFERROR(INDEX(lifespans_all!V$80:V$126,MATCH($A116,lifespans_all!$A$80:$A$126,0))*INDEX(SR_mission_minutes!V$2:V$43,MATCH($A116,SR_mission_minutes!$A$2:$A$43)),"-")</f>
        <v>0</v>
      </c>
      <c r="W116" s="128">
        <f>IFERROR(INDEX(lifespans_all!W$80:W$126,MATCH($A116,lifespans_all!$A$80:$A$126,0))*INDEX(SR_mission_minutes!W$2:W$43,MATCH($A116,SR_mission_minutes!$A$2:$A$43)),"-")</f>
        <v>0</v>
      </c>
    </row>
    <row r="117" spans="1:23" x14ac:dyDescent="0.25">
      <c r="A117" s="38" t="s">
        <v>108</v>
      </c>
      <c r="B117" s="37" t="s">
        <v>59</v>
      </c>
      <c r="C117" s="38" t="s">
        <v>11</v>
      </c>
      <c r="D117" s="128">
        <f>IFERROR((INDEX(lifespans_all!D$127:D$134,MATCH($B117,lifespans_all!$B$127:$B$134,0))*SR_mission_minutes!D44)*POWER(1+(Settings!$C$31/100),D$1-2021),"-")</f>
        <v>45951.600000000006</v>
      </c>
      <c r="E117" s="128">
        <f>IFERROR((INDEX(lifespans_all!E$127:E$134,MATCH($B117,lifespans_all!$B$127:$B$134,0))*SR_mission_minutes!E44)*POWER(1+(Settings!$C$31/100),E$1-2021),"-")</f>
        <v>93741.26400000001</v>
      </c>
      <c r="F117" s="128">
        <f>IFERROR((INDEX(lifespans_all!F$127:F$134,MATCH($B117,lifespans_all!$B$127:$B$134,0))*SR_mission_minutes!F44)*POWER(1+(Settings!$C$31/100),F$1-2021),"-")</f>
        <v>143424.13392000002</v>
      </c>
      <c r="G117" s="128">
        <f>IFERROR((INDEX(lifespans_all!G$127:G$134,MATCH($B117,lifespans_all!$B$127:$B$134,0))*SR_mission_minutes!G44)*POWER(1+(Settings!$C$31/100),G$1-2021),"-")</f>
        <v>195056.82213120002</v>
      </c>
      <c r="H117" s="128">
        <f>IFERROR((INDEX(lifespans_all!H$127:H$134,MATCH($B117,lifespans_all!$B$127:$B$134,0))*SR_mission_minutes!H44)*POWER(1+(Settings!$C$31/100),H$1-2021),"-")</f>
        <v>248697.44821728001</v>
      </c>
      <c r="I117" s="128">
        <f>IFERROR((INDEX(lifespans_all!I$127:I$134,MATCH($B117,lifespans_all!$B$127:$B$134,0))*SR_mission_minutes!I44)*POWER(1+(Settings!$C$31/100),I$1-2021),"-")</f>
        <v>304405.67661795072</v>
      </c>
      <c r="J117" s="128">
        <f>IFERROR((INDEX(lifespans_all!J$127:J$134,MATCH($B117,lifespans_all!$B$127:$B$134,0))*SR_mission_minutes!J44)*POWER(1+(Settings!$C$31/100),J$1-2021),"-")</f>
        <v>362242.75517536135</v>
      </c>
      <c r="K117" s="128">
        <f>IFERROR((INDEX(lifespans_all!K$127:K$134,MATCH($B117,lifespans_all!$B$127:$B$134,0))*SR_mission_minutes!K44)*POWER(1+(Settings!$C$31/100),K$1-2021),"-")</f>
        <v>422271.55460442114</v>
      </c>
      <c r="L117" s="128">
        <f>IFERROR((INDEX(lifespans_all!L$127:L$134,MATCH($B117,lifespans_all!$B$127:$B$134,0))*SR_mission_minutes!L44)*POWER(1+(Settings!$C$31/100),L$1-2021),"-")</f>
        <v>484556.60890857328</v>
      </c>
      <c r="M117" s="128">
        <f>IFERROR((INDEX(lifespans_all!M$127:M$134,MATCH($B117,lifespans_all!$B$127:$B$134,0))*SR_mission_minutes!M44)*POWER(1+(Settings!$C$31/100),M$1-2021),"-")</f>
        <v>549164.15676304977</v>
      </c>
      <c r="N117" s="128">
        <f>IFERROR((INDEX(lifespans_all!N$127:N$134,MATCH($B117,lifespans_all!$B$127:$B$134,0))*SR_mission_minutes!N44)*POWER(1+(Settings!$C$31/100),N$1-2021),"-")</f>
        <v>840221.15984746616</v>
      </c>
      <c r="O117" s="128">
        <f>IFERROR((INDEX(lifespans_all!O$127:O$134,MATCH($B117,lifespans_all!$B$127:$B$134,0))*SR_mission_minutes!O44)*POWER(1+(Settings!$C$31/100),O$1-2021),"-")</f>
        <v>857025.58304441534</v>
      </c>
      <c r="P117" s="128">
        <f>IFERROR((INDEX(lifespans_all!P$127:P$134,MATCH($B117,lifespans_all!$B$127:$B$134,0))*SR_mission_minutes!P44)*POWER(1+(Settings!$C$31/100),P$1-2021),"-")</f>
        <v>874166.09470530378</v>
      </c>
      <c r="Q117" s="128">
        <f>IFERROR((INDEX(lifespans_all!Q$127:Q$134,MATCH($B117,lifespans_all!$B$127:$B$134,0))*SR_mission_minutes!Q44)*POWER(1+(Settings!$C$31/100),Q$1-2021),"-")</f>
        <v>891649.41659940989</v>
      </c>
      <c r="R117" s="128">
        <f>IFERROR((INDEX(lifespans_all!R$127:R$134,MATCH($B117,lifespans_all!$B$127:$B$134,0))*SR_mission_minutes!R44)*POWER(1+(Settings!$C$31/100),R$1-2021),"-")</f>
        <v>909482.40493139811</v>
      </c>
      <c r="S117" s="128">
        <f>IFERROR((INDEX(lifespans_all!S$127:S$134,MATCH($B117,lifespans_all!$B$127:$B$134,0))*SR_mission_minutes!S44)*POWER(1+(Settings!$C$31/100),S$1-2021),"-")</f>
        <v>927672.0530300258</v>
      </c>
      <c r="T117" s="128">
        <f>IFERROR((INDEX(lifespans_all!T$127:T$134,MATCH($B117,lifespans_all!$B$127:$B$134,0))*SR_mission_minutes!T44)*POWER(1+(Settings!$C$31/100),T$1-2021),"-")</f>
        <v>946225.49409062648</v>
      </c>
      <c r="U117" s="128">
        <f>IFERROR((INDEX(lifespans_all!U$127:U$134,MATCH($B117,lifespans_all!$B$127:$B$134,0))*SR_mission_minutes!U44)*POWER(1+(Settings!$C$31/100),U$1-2021),"-")</f>
        <v>965150.0039724391</v>
      </c>
      <c r="V117" s="128">
        <f>IFERROR((INDEX(lifespans_all!V$127:V$134,MATCH($B117,lifespans_all!$B$127:$B$134,0))*SR_mission_minutes!V44)*POWER(1+(Settings!$C$31/100),V$1-2021),"-")</f>
        <v>984453.00405188778</v>
      </c>
      <c r="W117" s="128">
        <f>IFERROR((INDEX(lifespans_all!W$127:W$134,MATCH($B117,lifespans_all!$B$127:$B$134,0))*SR_mission_minutes!W44)*POWER(1+(Settings!$C$31/100),W$1-2021),"-")</f>
        <v>1004142.0641329255</v>
      </c>
    </row>
    <row r="118" spans="1:23" x14ac:dyDescent="0.25">
      <c r="A118" s="38" t="s">
        <v>108</v>
      </c>
      <c r="B118" s="37" t="s">
        <v>57</v>
      </c>
      <c r="C118" s="38" t="s">
        <v>11</v>
      </c>
      <c r="D118" s="128">
        <f>IFERROR((INDEX(lifespans_all!D$127:D$134,MATCH($B118,lifespans_all!$B$127:$B$134,0))*SR_mission_minutes!D45)*POWER(1+(Settings!$C$31/100),D$1-2021),"-")</f>
        <v>93380.544444444444</v>
      </c>
      <c r="E118" s="128">
        <f>IFERROR((INDEX(lifespans_all!E$127:E$134,MATCH($B118,lifespans_all!$B$127:$B$134,0))*SR_mission_minutes!E45)*POWER(1+(Settings!$C$31/100),E$1-2021),"-")</f>
        <v>326565.10399999999</v>
      </c>
      <c r="F118" s="128">
        <f>IFERROR((INDEX(lifespans_all!F$127:F$134,MATCH($B118,lifespans_all!$B$127:$B$134,0))*SR_mission_minutes!F45)*POWER(1+(Settings!$C$31/100),F$1-2021),"-")</f>
        <v>499644.60911999998</v>
      </c>
      <c r="G118" s="128">
        <f>IFERROR((INDEX(lifespans_all!G$127:G$134,MATCH($B118,lifespans_all!$B$127:$B$134,0))*SR_mission_minutes!G45)*POWER(1+(Settings!$C$31/100),G$1-2021),"-")</f>
        <v>750299.65469520004</v>
      </c>
      <c r="H118" s="128">
        <f>IFERROR((INDEX(lifespans_all!H$127:H$134,MATCH($B118,lifespans_all!$B$127:$B$134,0))*SR_mission_minutes!H45)*POWER(1+(Settings!$C$31/100),H$1-2021),"-")</f>
        <v>1082979.6902676001</v>
      </c>
      <c r="I118" s="128">
        <f>IFERROR((INDEX(lifespans_all!I$127:I$134,MATCH($B118,lifespans_all!$B$127:$B$134,0))*SR_mission_minutes!I45)*POWER(1+(Settings!$C$31/100),I$1-2021),"-")</f>
        <v>1428666.8074010178</v>
      </c>
      <c r="J118" s="128">
        <f>IFERROR((INDEX(lifespans_all!J$127:J$134,MATCH($B118,lifespans_all!$B$127:$B$134,0))*SR_mission_minutes!J45)*POWER(1+(Settings!$C$31/100),J$1-2021),"-")</f>
        <v>1787748.2173436659</v>
      </c>
      <c r="K118" s="128">
        <f>IFERROR((INDEX(lifespans_all!K$127:K$134,MATCH($B118,lifespans_all!$B$127:$B$134,0))*SR_mission_minutes!K45)*POWER(1+(Settings!$C$31/100),K$1-2021),"-")</f>
        <v>2084003.6362177585</v>
      </c>
      <c r="L118" s="128">
        <f>IFERROR((INDEX(lifespans_all!L$127:L$134,MATCH($B118,lifespans_all!$B$127:$B$134,0))*SR_mission_minutes!L45)*POWER(1+(Settings!$C$31/100),L$1-2021),"-")</f>
        <v>2235093.8998435461</v>
      </c>
      <c r="M118" s="128">
        <f>IFERROR((INDEX(lifespans_all!M$127:M$134,MATCH($B118,lifespans_all!$B$127:$B$134,0))*SR_mission_minutes!M45)*POWER(1+(Settings!$C$31/100),M$1-2021),"-")</f>
        <v>2391394.1725598779</v>
      </c>
      <c r="N118" s="128">
        <f>IFERROR((INDEX(lifespans_all!N$127:N$134,MATCH($B118,lifespans_all!$B$127:$B$134,0))*SR_mission_minutes!N45)*POWER(1+(Settings!$C$31/100),N$1-2021),"-")</f>
        <v>2439222.0560110756</v>
      </c>
      <c r="O118" s="128">
        <f>IFERROR((INDEX(lifespans_all!O$127:O$134,MATCH($B118,lifespans_all!$B$127:$B$134,0))*SR_mission_minutes!O45)*POWER(1+(Settings!$C$31/100),O$1-2021),"-")</f>
        <v>2488006.4971312969</v>
      </c>
      <c r="P118" s="128">
        <f>IFERROR((INDEX(lifespans_all!P$127:P$134,MATCH($B118,lifespans_all!$B$127:$B$134,0))*SR_mission_minutes!P45)*POWER(1+(Settings!$C$31/100),P$1-2021),"-")</f>
        <v>2537766.6270739231</v>
      </c>
      <c r="Q118" s="128">
        <f>IFERROR((INDEX(lifespans_all!Q$127:Q$134,MATCH($B118,lifespans_all!$B$127:$B$134,0))*SR_mission_minutes!Q45)*POWER(1+(Settings!$C$31/100),Q$1-2021),"-")</f>
        <v>2588521.9596154015</v>
      </c>
      <c r="R118" s="128">
        <f>IFERROR((INDEX(lifespans_all!R$127:R$134,MATCH($B118,lifespans_all!$B$127:$B$134,0))*SR_mission_minutes!R45)*POWER(1+(Settings!$C$31/100),R$1-2021),"-")</f>
        <v>2640292.3988077096</v>
      </c>
      <c r="S118" s="128">
        <f>IFERROR((INDEX(lifespans_all!S$127:S$134,MATCH($B118,lifespans_all!$B$127:$B$134,0))*SR_mission_minutes!S45)*POWER(1+(Settings!$C$31/100),S$1-2021),"-")</f>
        <v>2693098.2467838633</v>
      </c>
      <c r="T118" s="128">
        <f>IFERROR((INDEX(lifespans_all!T$127:T$134,MATCH($B118,lifespans_all!$B$127:$B$134,0))*SR_mission_minutes!T45)*POWER(1+(Settings!$C$31/100),T$1-2021),"-")</f>
        <v>2746960.2117195409</v>
      </c>
      <c r="U118" s="128">
        <f>IFERROR((INDEX(lifespans_all!U$127:U$134,MATCH($B118,lifespans_all!$B$127:$B$134,0))*SR_mission_minutes!U45)*POWER(1+(Settings!$C$31/100),U$1-2021),"-")</f>
        <v>2801899.4159539319</v>
      </c>
      <c r="V118" s="128">
        <f>IFERROR((INDEX(lifespans_all!V$127:V$134,MATCH($B118,lifespans_all!$B$127:$B$134,0))*SR_mission_minutes!V45)*POWER(1+(Settings!$C$31/100),V$1-2021),"-")</f>
        <v>2857937.4042730103</v>
      </c>
      <c r="W118" s="128">
        <f>IFERROR((INDEX(lifespans_all!W$127:W$134,MATCH($B118,lifespans_all!$B$127:$B$134,0))*SR_mission_minutes!W45)*POWER(1+(Settings!$C$31/100),W$1-2021),"-")</f>
        <v>2915096.1523584705</v>
      </c>
    </row>
    <row r="119" spans="1:23" x14ac:dyDescent="0.25">
      <c r="A119" s="38" t="s">
        <v>108</v>
      </c>
      <c r="B119" s="37" t="s">
        <v>56</v>
      </c>
      <c r="C119" s="38" t="s">
        <v>11</v>
      </c>
      <c r="D119" s="128">
        <f>IFERROR((INDEX(lifespans_all!D$127:D$134,MATCH($B119,lifespans_all!$B$127:$B$134,0))*SR_mission_minutes!D46)*POWER(1+(Settings!$C$31/100),D$1-2021),"-")</f>
        <v>1182.1428571428571</v>
      </c>
      <c r="E119" s="128">
        <f>IFERROR((INDEX(lifespans_all!E$127:E$134,MATCH($B119,lifespans_all!$B$127:$B$134,0))*SR_mission_minutes!E46)*POWER(1+(Settings!$C$31/100),E$1-2021),"-")</f>
        <v>2411.5714285714284</v>
      </c>
      <c r="F119" s="128">
        <f>IFERROR((INDEX(lifespans_all!F$127:F$134,MATCH($B119,lifespans_all!$B$127:$B$134,0))*SR_mission_minutes!F46)*POWER(1+(Settings!$C$31/100),F$1-2021),"-")</f>
        <v>13528.915714285713</v>
      </c>
      <c r="G119" s="128">
        <f>IFERROR((INDEX(lifespans_all!G$127:G$134,MATCH($B119,lifespans_all!$B$127:$B$134,0))*SR_mission_minutes!G46)*POWER(1+(Settings!$C$31/100),G$1-2021),"-")</f>
        <v>15053.993485714285</v>
      </c>
      <c r="H119" s="128">
        <f>IFERROR((INDEX(lifespans_all!H$127:H$134,MATCH($B119,lifespans_all!$B$127:$B$134,0))*SR_mission_minutes!H46)*POWER(1+(Settings!$C$31/100),H$1-2021),"-")</f>
        <v>16634.662801714287</v>
      </c>
      <c r="I119" s="128">
        <f>IFERROR((INDEX(lifespans_all!I$127:I$134,MATCH($B119,lifespans_all!$B$127:$B$134,0))*SR_mission_minutes!I46)*POWER(1+(Settings!$C$31/100),I$1-2021),"-")</f>
        <v>18272.537292960002</v>
      </c>
      <c r="J119" s="128">
        <f>IFERROR((INDEX(lifespans_all!J$127:J$134,MATCH($B119,lifespans_all!$B$127:$B$134,0))*SR_mission_minutes!J46)*POWER(1+(Settings!$C$31/100),J$1-2021),"-")</f>
        <v>19969.272898734856</v>
      </c>
      <c r="K119" s="128">
        <f>IFERROR((INDEX(lifespans_all!K$127:K$134,MATCH($B119,lifespans_all!$B$127:$B$134,0))*SR_mission_minutes!K46)*POWER(1+(Settings!$C$31/100),K$1-2021),"-")</f>
        <v>21726.568913823521</v>
      </c>
      <c r="L119" s="128">
        <f>IFERROR((INDEX(lifespans_all!L$127:L$134,MATCH($B119,lifespans_all!$B$127:$B$134,0))*SR_mission_minutes!L46)*POWER(1+(Settings!$C$31/100),L$1-2021),"-")</f>
        <v>23546.169060356246</v>
      </c>
      <c r="M119" s="128">
        <f>IFERROR((INDEX(lifespans_all!M$127:M$134,MATCH($B119,lifespans_all!$B$127:$B$134,0))*SR_mission_minutes!M46)*POWER(1+(Settings!$C$31/100),M$1-2021),"-")</f>
        <v>25429.862585184743</v>
      </c>
      <c r="N119" s="128">
        <f>IFERROR((INDEX(lifespans_all!N$127:N$134,MATCH($B119,lifespans_all!$B$127:$B$134,0))*SR_mission_minutes!N46)*POWER(1+(Settings!$C$31/100),N$1-2021),"-")</f>
        <v>25938.459836888436</v>
      </c>
      <c r="O119" s="128">
        <f>IFERROR((INDEX(lifespans_all!O$127:O$134,MATCH($B119,lifespans_all!$B$127:$B$134,0))*SR_mission_minutes!O46)*POWER(1+(Settings!$C$31/100),O$1-2021),"-")</f>
        <v>26457.229033626201</v>
      </c>
      <c r="P119" s="128">
        <f>IFERROR((INDEX(lifespans_all!P$127:P$134,MATCH($B119,lifespans_all!$B$127:$B$134,0))*SR_mission_minutes!P46)*POWER(1+(Settings!$C$31/100),P$1-2021),"-")</f>
        <v>26986.373614298729</v>
      </c>
      <c r="Q119" s="128">
        <f>IFERROR((INDEX(lifespans_all!Q$127:Q$134,MATCH($B119,lifespans_all!$B$127:$B$134,0))*SR_mission_minutes!Q46)*POWER(1+(Settings!$C$31/100),Q$1-2021),"-")</f>
        <v>27526.101086584702</v>
      </c>
      <c r="R119" s="128">
        <f>IFERROR((INDEX(lifespans_all!R$127:R$134,MATCH($B119,lifespans_all!$B$127:$B$134,0))*SR_mission_minutes!R46)*POWER(1+(Settings!$C$31/100),R$1-2021),"-")</f>
        <v>28076.623108316398</v>
      </c>
      <c r="S119" s="128">
        <f>IFERROR((INDEX(lifespans_all!S$127:S$134,MATCH($B119,lifespans_all!$B$127:$B$134,0))*SR_mission_minutes!S46)*POWER(1+(Settings!$C$31/100),S$1-2021),"-")</f>
        <v>28638.155570482719</v>
      </c>
      <c r="T119" s="128">
        <f>IFERROR((INDEX(lifespans_all!T$127:T$134,MATCH($B119,lifespans_all!$B$127:$B$134,0))*SR_mission_minutes!T46)*POWER(1+(Settings!$C$31/100),T$1-2021),"-")</f>
        <v>29210.918681892381</v>
      </c>
      <c r="U119" s="128">
        <f>IFERROR((INDEX(lifespans_all!U$127:U$134,MATCH($B119,lifespans_all!$B$127:$B$134,0))*SR_mission_minutes!U46)*POWER(1+(Settings!$C$31/100),U$1-2021),"-")</f>
        <v>29795.137055530227</v>
      </c>
      <c r="V119" s="128">
        <f>IFERROR((INDEX(lifespans_all!V$127:V$134,MATCH($B119,lifespans_all!$B$127:$B$134,0))*SR_mission_minutes!V46)*POWER(1+(Settings!$C$31/100),V$1-2021),"-")</f>
        <v>30391.039796640831</v>
      </c>
      <c r="W119" s="128">
        <f>IFERROR((INDEX(lifespans_all!W$127:W$134,MATCH($B119,lifespans_all!$B$127:$B$134,0))*SR_mission_minutes!W46)*POWER(1+(Settings!$C$31/100),W$1-2021),"-")</f>
        <v>30998.860592573645</v>
      </c>
    </row>
    <row r="120" spans="1:23" x14ac:dyDescent="0.25">
      <c r="A120" s="38" t="s">
        <v>108</v>
      </c>
      <c r="B120" s="37" t="s">
        <v>100</v>
      </c>
      <c r="C120" s="38" t="s">
        <v>11</v>
      </c>
      <c r="D120" s="128" t="str">
        <f>IFERROR((INDEX(lifespans_all!D$127:D$134,MATCH($B120,lifespans_all!$B$127:$B$134,0))*SR_mission_minutes!D47)*POWER(1+(Settings!$C$31/100),D$1-2021),"-")</f>
        <v>-</v>
      </c>
      <c r="E120" s="128" t="str">
        <f>IFERROR((INDEX(lifespans_all!E$127:E$134,MATCH($B120,lifespans_all!$B$127:$B$134,0))*SR_mission_minutes!E47)*POWER(1+(Settings!$C$31/100),E$1-2021),"-")</f>
        <v>-</v>
      </c>
      <c r="F120" s="128" t="str">
        <f>IFERROR((INDEX(lifespans_all!F$127:F$134,MATCH($B120,lifespans_all!$B$127:$B$134,0))*SR_mission_minutes!F47)*POWER(1+(Settings!$C$31/100),F$1-2021),"-")</f>
        <v>-</v>
      </c>
      <c r="G120" s="128" t="str">
        <f>IFERROR((INDEX(lifespans_all!G$127:G$134,MATCH($B120,lifespans_all!$B$127:$B$134,0))*SR_mission_minutes!G47)*POWER(1+(Settings!$C$31/100),G$1-2021),"-")</f>
        <v>-</v>
      </c>
      <c r="H120" s="128" t="str">
        <f>IFERROR((INDEX(lifespans_all!H$127:H$134,MATCH($B120,lifespans_all!$B$127:$B$134,0))*SR_mission_minutes!H47)*POWER(1+(Settings!$C$31/100),H$1-2021),"-")</f>
        <v>-</v>
      </c>
      <c r="I120" s="128" t="str">
        <f>IFERROR((INDEX(lifespans_all!I$127:I$134,MATCH($B120,lifespans_all!$B$127:$B$134,0))*SR_mission_minutes!I47)*POWER(1+(Settings!$C$31/100),I$1-2021),"-")</f>
        <v>-</v>
      </c>
      <c r="J120" s="128" t="str">
        <f>IFERROR((INDEX(lifespans_all!J$127:J$134,MATCH($B120,lifespans_all!$B$127:$B$134,0))*SR_mission_minutes!J47)*POWER(1+(Settings!$C$31/100),J$1-2021),"-")</f>
        <v>-</v>
      </c>
      <c r="K120" s="128" t="str">
        <f>IFERROR((INDEX(lifespans_all!K$127:K$134,MATCH($B120,lifespans_all!$B$127:$B$134,0))*SR_mission_minutes!K47)*POWER(1+(Settings!$C$31/100),K$1-2021),"-")</f>
        <v>-</v>
      </c>
      <c r="L120" s="128" t="str">
        <f>IFERROR((INDEX(lifespans_all!L$127:L$134,MATCH($B120,lifespans_all!$B$127:$B$134,0))*SR_mission_minutes!L47)*POWER(1+(Settings!$C$31/100),L$1-2021),"-")</f>
        <v>-</v>
      </c>
      <c r="M120" s="128" t="str">
        <f>IFERROR((INDEX(lifespans_all!M$127:M$134,MATCH($B120,lifespans_all!$B$127:$B$134,0))*SR_mission_minutes!M47)*POWER(1+(Settings!$C$31/100),M$1-2021),"-")</f>
        <v>-</v>
      </c>
      <c r="N120" s="128" t="str">
        <f>IFERROR((INDEX(lifespans_all!N$127:N$134,MATCH($B120,lifespans_all!$B$127:$B$134,0))*SR_mission_minutes!N47)*POWER(1+(Settings!$C$31/100),N$1-2021),"-")</f>
        <v>-</v>
      </c>
      <c r="O120" s="128" t="str">
        <f>IFERROR((INDEX(lifespans_all!O$127:O$134,MATCH($B120,lifespans_all!$B$127:$B$134,0))*SR_mission_minutes!O47)*POWER(1+(Settings!$C$31/100),O$1-2021),"-")</f>
        <v>-</v>
      </c>
      <c r="P120" s="128" t="str">
        <f>IFERROR((INDEX(lifespans_all!P$127:P$134,MATCH($B120,lifespans_all!$B$127:$B$134,0))*SR_mission_minutes!P47)*POWER(1+(Settings!$C$31/100),P$1-2021),"-")</f>
        <v>-</v>
      </c>
      <c r="Q120" s="128" t="str">
        <f>IFERROR((INDEX(lifespans_all!Q$127:Q$134,MATCH($B120,lifespans_all!$B$127:$B$134,0))*SR_mission_minutes!Q47)*POWER(1+(Settings!$C$31/100),Q$1-2021),"-")</f>
        <v>-</v>
      </c>
      <c r="R120" s="128" t="str">
        <f>IFERROR((INDEX(lifespans_all!R$127:R$134,MATCH($B120,lifespans_all!$B$127:$B$134,0))*SR_mission_minutes!R47)*POWER(1+(Settings!$C$31/100),R$1-2021),"-")</f>
        <v>-</v>
      </c>
      <c r="S120" s="128" t="str">
        <f>IFERROR((INDEX(lifespans_all!S$127:S$134,MATCH($B120,lifespans_all!$B$127:$B$134,0))*SR_mission_minutes!S47)*POWER(1+(Settings!$C$31/100),S$1-2021),"-")</f>
        <v>-</v>
      </c>
      <c r="T120" s="128" t="str">
        <f>IFERROR((INDEX(lifespans_all!T$127:T$134,MATCH($B120,lifespans_all!$B$127:$B$134,0))*SR_mission_minutes!T47)*POWER(1+(Settings!$C$31/100),T$1-2021),"-")</f>
        <v>-</v>
      </c>
      <c r="U120" s="128" t="str">
        <f>IFERROR((INDEX(lifespans_all!U$127:U$134,MATCH($B120,lifespans_all!$B$127:$B$134,0))*SR_mission_minutes!U47)*POWER(1+(Settings!$C$31/100),U$1-2021),"-")</f>
        <v>-</v>
      </c>
      <c r="V120" s="128" t="str">
        <f>IFERROR((INDEX(lifespans_all!V$127:V$134,MATCH($B120,lifespans_all!$B$127:$B$134,0))*SR_mission_minutes!V47)*POWER(1+(Settings!$C$31/100),V$1-2021),"-")</f>
        <v>-</v>
      </c>
      <c r="W120" s="128" t="str">
        <f>IFERROR((INDEX(lifespans_all!W$127:W$134,MATCH($B120,lifespans_all!$B$127:$B$134,0))*SR_mission_minutes!W47)*POWER(1+(Settings!$C$31/100),W$1-2021),"-")</f>
        <v>-</v>
      </c>
    </row>
    <row r="121" spans="1:23" x14ac:dyDescent="0.25">
      <c r="A121" s="38" t="s">
        <v>108</v>
      </c>
      <c r="B121" s="37" t="s">
        <v>60</v>
      </c>
      <c r="C121" s="38" t="s">
        <v>11</v>
      </c>
      <c r="D121" s="128">
        <f>IFERROR((INDEX(lifespans_all!D$127:D$134,MATCH($B121,lifespans_all!$B$127:$B$134,0))*SR_mission_minutes!D48)*POWER(1+(Settings!$C$31/100),D$1-2021),"-")</f>
        <v>46.050000000000004</v>
      </c>
      <c r="E121" s="128">
        <f>IFERROR((INDEX(lifespans_all!E$127:E$134,MATCH($B121,lifespans_all!$B$127:$B$134,0))*SR_mission_minutes!E48)*POWER(1+(Settings!$C$31/100),E$1-2021),"-")</f>
        <v>93.942000000000007</v>
      </c>
      <c r="F121" s="128">
        <f>IFERROR((INDEX(lifespans_all!F$127:F$134,MATCH($B121,lifespans_all!$B$127:$B$134,0))*SR_mission_minutes!F48)*POWER(1+(Settings!$C$31/100),F$1-2021),"-")</f>
        <v>143.73126000000002</v>
      </c>
      <c r="G121" s="128">
        <f>IFERROR((INDEX(lifespans_all!G$127:G$134,MATCH($B121,lifespans_all!$B$127:$B$134,0))*SR_mission_minutes!G48)*POWER(1+(Settings!$C$31/100),G$1-2021),"-")</f>
        <v>195.47451359999999</v>
      </c>
      <c r="H121" s="128">
        <f>IFERROR((INDEX(lifespans_all!H$127:H$134,MATCH($B121,lifespans_all!$B$127:$B$134,0))*SR_mission_minutes!H48)*POWER(1+(Settings!$C$31/100),H$1-2021),"-")</f>
        <v>747.69001451999998</v>
      </c>
      <c r="I121" s="128">
        <f>IFERROR((INDEX(lifespans_all!I$127:I$134,MATCH($B121,lifespans_all!$B$127:$B$134,0))*SR_mission_minutes!I48)*POWER(1+(Settings!$C$31/100),I$1-2021),"-")</f>
        <v>813.48673579776005</v>
      </c>
      <c r="J121" s="128">
        <f>IFERROR((INDEX(lifespans_all!J$127:J$134,MATCH($B121,lifespans_all!$B$127:$B$134,0))*SR_mission_minutes!J48)*POWER(1+(Settings!$C$31/100),J$1-2021),"-")</f>
        <v>881.6162499208225</v>
      </c>
      <c r="K121" s="128">
        <f>IFERROR((INDEX(lifespans_all!K$127:K$134,MATCH($B121,lifespans_all!$B$127:$B$134,0))*SR_mission_minutes!K48)*POWER(1+(Settings!$C$31/100),K$1-2021),"-")</f>
        <v>952.1455499144879</v>
      </c>
      <c r="L121" s="128">
        <f>IFERROR((INDEX(lifespans_all!L$127:L$134,MATCH($B121,lifespans_all!$B$127:$B$134,0))*SR_mission_minutes!L48)*POWER(1+(Settings!$C$31/100),L$1-2021),"-")</f>
        <v>1025.1433754079321</v>
      </c>
      <c r="M121" s="128">
        <f>IFERROR((INDEX(lifespans_all!M$127:M$134,MATCH($B121,lifespans_all!$B$127:$B$134,0))*SR_mission_minutes!M48)*POWER(1+(Settings!$C$31/100),M$1-2021),"-")</f>
        <v>1100.6802557011483</v>
      </c>
      <c r="N121" s="128">
        <f>IFERROR((INDEX(lifespans_all!N$127:N$134,MATCH($B121,lifespans_all!$B$127:$B$134,0))*SR_mission_minutes!N48)*POWER(1+(Settings!$C$31/100),N$1-2021),"-")</f>
        <v>1122.6938608151713</v>
      </c>
      <c r="O121" s="128">
        <f>IFERROR((INDEX(lifespans_all!O$127:O$134,MATCH($B121,lifespans_all!$B$127:$B$134,0))*SR_mission_minutes!O48)*POWER(1+(Settings!$C$31/100),O$1-2021),"-")</f>
        <v>1145.1477380314745</v>
      </c>
      <c r="P121" s="128">
        <f>IFERROR((INDEX(lifespans_all!P$127:P$134,MATCH($B121,lifespans_all!$B$127:$B$134,0))*SR_mission_minutes!P48)*POWER(1+(Settings!$C$31/100),P$1-2021),"-")</f>
        <v>1168.0506927921042</v>
      </c>
      <c r="Q121" s="128">
        <f>IFERROR((INDEX(lifespans_all!Q$127:Q$134,MATCH($B121,lifespans_all!$B$127:$B$134,0))*SR_mission_minutes!Q48)*POWER(1+(Settings!$C$31/100),Q$1-2021),"-")</f>
        <v>1191.4117066479462</v>
      </c>
      <c r="R121" s="128">
        <f>IFERROR((INDEX(lifespans_all!R$127:R$134,MATCH($B121,lifespans_all!$B$127:$B$134,0))*SR_mission_minutes!R48)*POWER(1+(Settings!$C$31/100),R$1-2021),"-")</f>
        <v>1215.2399407809053</v>
      </c>
      <c r="S121" s="128">
        <f>IFERROR((INDEX(lifespans_all!S$127:S$134,MATCH($B121,lifespans_all!$B$127:$B$134,0))*SR_mission_minutes!S48)*POWER(1+(Settings!$C$31/100),S$1-2021),"-")</f>
        <v>1239.544739596523</v>
      </c>
      <c r="T121" s="128">
        <f>IFERROR((INDEX(lifespans_all!T$127:T$134,MATCH($B121,lifespans_all!$B$127:$B$134,0))*SR_mission_minutes!T48)*POWER(1+(Settings!$C$31/100),T$1-2021),"-")</f>
        <v>1264.3356343884536</v>
      </c>
      <c r="U121" s="128">
        <f>IFERROR((INDEX(lifespans_all!U$127:U$134,MATCH($B121,lifespans_all!$B$127:$B$134,0))*SR_mission_minutes!U48)*POWER(1+(Settings!$C$31/100),U$1-2021),"-")</f>
        <v>1289.6223470762229</v>
      </c>
      <c r="V121" s="128">
        <f>IFERROR((INDEX(lifespans_all!V$127:V$134,MATCH($B121,lifespans_all!$B$127:$B$134,0))*SR_mission_minutes!V48)*POWER(1+(Settings!$C$31/100),V$1-2021),"-")</f>
        <v>1315.4147940177472</v>
      </c>
      <c r="W121" s="128">
        <f>IFERROR((INDEX(lifespans_all!W$127:W$134,MATCH($B121,lifespans_all!$B$127:$B$134,0))*SR_mission_minutes!W48)*POWER(1+(Settings!$C$31/100),W$1-2021),"-")</f>
        <v>1341.723089898102</v>
      </c>
    </row>
    <row r="122" spans="1:23" x14ac:dyDescent="0.25">
      <c r="A122" s="38" t="s">
        <v>108</v>
      </c>
      <c r="B122" s="37" t="s">
        <v>101</v>
      </c>
      <c r="C122" s="38" t="s">
        <v>11</v>
      </c>
      <c r="D122" s="128" t="str">
        <f>IFERROR((INDEX(lifespans_all!D$127:D$134,MATCH($B122,lifespans_all!$B$127:$B$134,0))*SR_mission_minutes!D49)*POWER(1+(Settings!$C$31/100),D$1-2021),"-")</f>
        <v>-</v>
      </c>
      <c r="E122" s="128" t="str">
        <f>IFERROR((INDEX(lifespans_all!E$127:E$134,MATCH($B122,lifespans_all!$B$127:$B$134,0))*SR_mission_minutes!E49)*POWER(1+(Settings!$C$31/100),E$1-2021),"-")</f>
        <v>-</v>
      </c>
      <c r="F122" s="128" t="str">
        <f>IFERROR((INDEX(lifespans_all!F$127:F$134,MATCH($B122,lifespans_all!$B$127:$B$134,0))*SR_mission_minutes!F49)*POWER(1+(Settings!$C$31/100),F$1-2021),"-")</f>
        <v>-</v>
      </c>
      <c r="G122" s="128" t="str">
        <f>IFERROR((INDEX(lifespans_all!G$127:G$134,MATCH($B122,lifespans_all!$B$127:$B$134,0))*SR_mission_minutes!G49)*POWER(1+(Settings!$C$31/100),G$1-2021),"-")</f>
        <v>-</v>
      </c>
      <c r="H122" s="128" t="str">
        <f>IFERROR((INDEX(lifespans_all!H$127:H$134,MATCH($B122,lifespans_all!$B$127:$B$134,0))*SR_mission_minutes!H49)*POWER(1+(Settings!$C$31/100),H$1-2021),"-")</f>
        <v>-</v>
      </c>
      <c r="I122" s="128" t="str">
        <f>IFERROR((INDEX(lifespans_all!I$127:I$134,MATCH($B122,lifespans_all!$B$127:$B$134,0))*SR_mission_minutes!I49)*POWER(1+(Settings!$C$31/100),I$1-2021),"-")</f>
        <v>-</v>
      </c>
      <c r="J122" s="128" t="str">
        <f>IFERROR((INDEX(lifespans_all!J$127:J$134,MATCH($B122,lifespans_all!$B$127:$B$134,0))*SR_mission_minutes!J49)*POWER(1+(Settings!$C$31/100),J$1-2021),"-")</f>
        <v>-</v>
      </c>
      <c r="K122" s="128" t="str">
        <f>IFERROR((INDEX(lifespans_all!K$127:K$134,MATCH($B122,lifespans_all!$B$127:$B$134,0))*SR_mission_minutes!K49)*POWER(1+(Settings!$C$31/100),K$1-2021),"-")</f>
        <v>-</v>
      </c>
      <c r="L122" s="128" t="str">
        <f>IFERROR((INDEX(lifespans_all!L$127:L$134,MATCH($B122,lifespans_all!$B$127:$B$134,0))*SR_mission_minutes!L49)*POWER(1+(Settings!$C$31/100),L$1-2021),"-")</f>
        <v>-</v>
      </c>
      <c r="M122" s="128" t="str">
        <f>IFERROR((INDEX(lifespans_all!M$127:M$134,MATCH($B122,lifespans_all!$B$127:$B$134,0))*SR_mission_minutes!M49)*POWER(1+(Settings!$C$31/100),M$1-2021),"-")</f>
        <v>-</v>
      </c>
      <c r="N122" s="128" t="str">
        <f>IFERROR((INDEX(lifespans_all!N$127:N$134,MATCH($B122,lifespans_all!$B$127:$B$134,0))*SR_mission_minutes!N49)*POWER(1+(Settings!$C$31/100),N$1-2021),"-")</f>
        <v>-</v>
      </c>
      <c r="O122" s="128" t="str">
        <f>IFERROR((INDEX(lifespans_all!O$127:O$134,MATCH($B122,lifespans_all!$B$127:$B$134,0))*SR_mission_minutes!O49)*POWER(1+(Settings!$C$31/100),O$1-2021),"-")</f>
        <v>-</v>
      </c>
      <c r="P122" s="128" t="str">
        <f>IFERROR((INDEX(lifespans_all!P$127:P$134,MATCH($B122,lifespans_all!$B$127:$B$134,0))*SR_mission_minutes!P49)*POWER(1+(Settings!$C$31/100),P$1-2021),"-")</f>
        <v>-</v>
      </c>
      <c r="Q122" s="128" t="str">
        <f>IFERROR((INDEX(lifespans_all!Q$127:Q$134,MATCH($B122,lifespans_all!$B$127:$B$134,0))*SR_mission_minutes!Q49)*POWER(1+(Settings!$C$31/100),Q$1-2021),"-")</f>
        <v>-</v>
      </c>
      <c r="R122" s="128" t="str">
        <f>IFERROR((INDEX(lifespans_all!R$127:R$134,MATCH($B122,lifespans_all!$B$127:$B$134,0))*SR_mission_minutes!R49)*POWER(1+(Settings!$C$31/100),R$1-2021),"-")</f>
        <v>-</v>
      </c>
      <c r="S122" s="128" t="str">
        <f>IFERROR((INDEX(lifespans_all!S$127:S$134,MATCH($B122,lifespans_all!$B$127:$B$134,0))*SR_mission_minutes!S49)*POWER(1+(Settings!$C$31/100),S$1-2021),"-")</f>
        <v>-</v>
      </c>
      <c r="T122" s="128" t="str">
        <f>IFERROR((INDEX(lifespans_all!T$127:T$134,MATCH($B122,lifespans_all!$B$127:$B$134,0))*SR_mission_minutes!T49)*POWER(1+(Settings!$C$31/100),T$1-2021),"-")</f>
        <v>-</v>
      </c>
      <c r="U122" s="128" t="str">
        <f>IFERROR((INDEX(lifespans_all!U$127:U$134,MATCH($B122,lifespans_all!$B$127:$B$134,0))*SR_mission_minutes!U49)*POWER(1+(Settings!$C$31/100),U$1-2021),"-")</f>
        <v>-</v>
      </c>
      <c r="V122" s="128" t="str">
        <f>IFERROR((INDEX(lifespans_all!V$127:V$134,MATCH($B122,lifespans_all!$B$127:$B$134,0))*SR_mission_minutes!V49)*POWER(1+(Settings!$C$31/100),V$1-2021),"-")</f>
        <v>-</v>
      </c>
      <c r="W122" s="128" t="str">
        <f>IFERROR((INDEX(lifespans_all!W$127:W$134,MATCH($B122,lifespans_all!$B$127:$B$134,0))*SR_mission_minutes!W49)*POWER(1+(Settings!$C$31/100),W$1-2021),"-")</f>
        <v>-</v>
      </c>
    </row>
    <row r="123" spans="1:23" x14ac:dyDescent="0.25">
      <c r="A123" s="38" t="s">
        <v>108</v>
      </c>
      <c r="B123" s="37" t="s">
        <v>58</v>
      </c>
      <c r="C123" s="38" t="s">
        <v>11</v>
      </c>
      <c r="D123" s="128">
        <f>IFERROR((INDEX(lifespans_all!D$127:D$134,MATCH($B123,lifespans_all!$B$127:$B$134,0))*SR_mission_minutes!D50)*POWER(1+(Settings!$C$31/100),D$1-2021),"-")</f>
        <v>917.6</v>
      </c>
      <c r="E123" s="128">
        <f>IFERROR((INDEX(lifespans_all!E$127:E$134,MATCH($B123,lifespans_all!$B$127:$B$134,0))*SR_mission_minutes!E50)*POWER(1+(Settings!$C$31/100),E$1-2021),"-")</f>
        <v>1871.904</v>
      </c>
      <c r="F123" s="128">
        <f>IFERROR((INDEX(lifespans_all!F$127:F$134,MATCH($B123,lifespans_all!$B$127:$B$134,0))*SR_mission_minutes!F50)*POWER(1+(Settings!$C$31/100),F$1-2021),"-")</f>
        <v>2864.0131200000001</v>
      </c>
      <c r="G123" s="128">
        <f>IFERROR((INDEX(lifespans_all!G$127:G$134,MATCH($B123,lifespans_all!$B$127:$B$134,0))*SR_mission_minutes!G50)*POWER(1+(Settings!$C$31/100),G$1-2021),"-")</f>
        <v>3895.0578431999998</v>
      </c>
      <c r="H123" s="128">
        <f>IFERROR((INDEX(lifespans_all!H$127:H$134,MATCH($B123,lifespans_all!$B$127:$B$134,0))*SR_mission_minutes!H50)*POWER(1+(Settings!$C$31/100),H$1-2021),"-")</f>
        <v>7449.2981251199999</v>
      </c>
      <c r="I123" s="128">
        <f>IFERROR((INDEX(lifespans_all!I$127:I$134,MATCH($B123,lifespans_all!$B$127:$B$134,0))*SR_mission_minutes!I50)*POWER(1+(Settings!$C$31/100),I$1-2021),"-")</f>
        <v>8611.3886326387201</v>
      </c>
      <c r="J123" s="128">
        <f>IFERROR((INDEX(lifespans_all!J$127:J$134,MATCH($B123,lifespans_all!$B$127:$B$134,0))*SR_mission_minutes!J50)*POWER(1+(Settings!$C$31/100),J$1-2021),"-")</f>
        <v>9816.983041208141</v>
      </c>
      <c r="K123" s="128">
        <f>IFERROR((INDEX(lifespans_all!K$127:K$134,MATCH($B123,lifespans_all!$B$127:$B$134,0))*SR_mission_minutes!K50)*POWER(1+(Settings!$C$31/100),K$1-2021),"-")</f>
        <v>11067.356670667281</v>
      </c>
      <c r="L123" s="128">
        <f>IFERROR((INDEX(lifespans_all!L$127:L$134,MATCH($B123,lifespans_all!$B$127:$B$134,0))*SR_mission_minutes!L50)*POWER(1+(Settings!$C$31/100),L$1-2021),"-")</f>
        <v>12363.818452088306</v>
      </c>
      <c r="M123" s="128">
        <f>IFERROR((INDEX(lifespans_all!M$127:M$134,MATCH($B123,lifespans_all!$B$127:$B$134,0))*SR_mission_minutes!M50)*POWER(1+(Settings!$C$31/100),M$1-2021),"-")</f>
        <v>13707.711762097906</v>
      </c>
      <c r="N123" s="128">
        <f>IFERROR((INDEX(lifespans_all!N$127:N$134,MATCH($B123,lifespans_all!$B$127:$B$134,0))*SR_mission_minutes!N50)*POWER(1+(Settings!$C$31/100),N$1-2021),"-")</f>
        <v>13981.865997339864</v>
      </c>
      <c r="O123" s="128">
        <f>IFERROR((INDEX(lifespans_all!O$127:O$134,MATCH($B123,lifespans_all!$B$127:$B$134,0))*SR_mission_minutes!O50)*POWER(1+(Settings!$C$31/100),O$1-2021),"-")</f>
        <v>14261.503317286659</v>
      </c>
      <c r="P123" s="128">
        <f>IFERROR((INDEX(lifespans_all!P$127:P$134,MATCH($B123,lifespans_all!$B$127:$B$134,0))*SR_mission_minutes!P50)*POWER(1+(Settings!$C$31/100),P$1-2021),"-")</f>
        <v>14546.733383632394</v>
      </c>
      <c r="Q123" s="128">
        <f>IFERROR((INDEX(lifespans_all!Q$127:Q$134,MATCH($B123,lifespans_all!$B$127:$B$134,0))*SR_mission_minutes!Q50)*POWER(1+(Settings!$C$31/100),Q$1-2021),"-")</f>
        <v>14837.668051305041</v>
      </c>
      <c r="R123" s="128">
        <f>IFERROR((INDEX(lifespans_all!R$127:R$134,MATCH($B123,lifespans_all!$B$127:$B$134,0))*SR_mission_minutes!R50)*POWER(1+(Settings!$C$31/100),R$1-2021),"-")</f>
        <v>15134.421412331143</v>
      </c>
      <c r="S123" s="128">
        <f>IFERROR((INDEX(lifespans_all!S$127:S$134,MATCH($B123,lifespans_all!$B$127:$B$134,0))*SR_mission_minutes!S50)*POWER(1+(Settings!$C$31/100),S$1-2021),"-")</f>
        <v>15437.109840577763</v>
      </c>
      <c r="T123" s="128">
        <f>IFERROR((INDEX(lifespans_all!T$127:T$134,MATCH($B123,lifespans_all!$B$127:$B$134,0))*SR_mission_minutes!T50)*POWER(1+(Settings!$C$31/100),T$1-2021),"-")</f>
        <v>15745.852037389321</v>
      </c>
      <c r="U123" s="128">
        <f>IFERROR((INDEX(lifespans_all!U$127:U$134,MATCH($B123,lifespans_all!$B$127:$B$134,0))*SR_mission_minutes!U50)*POWER(1+(Settings!$C$31/100),U$1-2021),"-")</f>
        <v>16060.769078137107</v>
      </c>
      <c r="V123" s="128">
        <f>IFERROR((INDEX(lifespans_all!V$127:V$134,MATCH($B123,lifespans_all!$B$127:$B$134,0))*SR_mission_minutes!V50)*POWER(1+(Settings!$C$31/100),V$1-2021),"-")</f>
        <v>16381.984459699848</v>
      </c>
      <c r="W123" s="128">
        <f>IFERROR((INDEX(lifespans_all!W$127:W$134,MATCH($B123,lifespans_all!$B$127:$B$134,0))*SR_mission_minutes!W50)*POWER(1+(Settings!$C$31/100),W$1-2021),"-")</f>
        <v>16709.624148893843</v>
      </c>
    </row>
    <row r="124" spans="1:23" x14ac:dyDescent="0.25">
      <c r="A124" s="38" t="s">
        <v>108</v>
      </c>
      <c r="B124" s="37" t="s">
        <v>61</v>
      </c>
      <c r="C124" s="38" t="s">
        <v>11</v>
      </c>
      <c r="D124" s="128">
        <f>IFERROR((INDEX(lifespans_all!D$127:D$134,MATCH($B124,lifespans_all!$B$127:$B$134,0))*SR_mission_minutes!D51)*POWER(1+(Settings!$C$31/100),D$1-2021),"-")</f>
        <v>6747.8666666666677</v>
      </c>
      <c r="E124" s="128">
        <f>IFERROR((INDEX(lifespans_all!E$127:E$134,MATCH($B124,lifespans_all!$B$127:$B$134,0))*SR_mission_minutes!E51)*POWER(1+(Settings!$C$31/100),E$1-2021),"-")</f>
        <v>48179.767999999996</v>
      </c>
      <c r="F124" s="128">
        <f>IFERROR((INDEX(lifespans_all!F$127:F$134,MATCH($B124,lifespans_all!$B$127:$B$134,0))*SR_mission_minutes!F51)*POWER(1+(Settings!$C$31/100),F$1-2021),"-")</f>
        <v>56163.843840000009</v>
      </c>
      <c r="G124" s="128">
        <f>IFERROR((INDEX(lifespans_all!G$127:G$134,MATCH($B124,lifespans_all!$B$127:$B$134,0))*SR_mission_minutes!G51)*POWER(1+(Settings!$C$31/100),G$1-2021),"-")</f>
        <v>64448.010806400001</v>
      </c>
      <c r="H124" s="128">
        <f>IFERROR((INDEX(lifespans_all!H$127:H$134,MATCH($B124,lifespans_all!$B$127:$B$134,0))*SR_mission_minutes!H51)*POWER(1+(Settings!$C$31/100),H$1-2021),"-")</f>
        <v>73041.078913920006</v>
      </c>
      <c r="I124" s="128">
        <f>IFERROR((INDEX(lifespans_all!I$127:I$134,MATCH($B124,lifespans_all!$B$127:$B$134,0))*SR_mission_minutes!I51)*POWER(1+(Settings!$C$31/100),I$1-2021),"-")</f>
        <v>119203.04078751746</v>
      </c>
      <c r="J124" s="128">
        <f>IFERROR((INDEX(lifespans_all!J$127:J$134,MATCH($B124,lifespans_all!$B$127:$B$134,0))*SR_mission_minutes!J51)*POWER(1+(Settings!$C$31/100),J$1-2021),"-")</f>
        <v>129186.29545347203</v>
      </c>
      <c r="K124" s="128">
        <f>IFERROR((INDEX(lifespans_all!K$127:K$134,MATCH($B124,lifespans_all!$B$127:$B$134,0))*SR_mission_minutes!K51)*POWER(1+(Settings!$C$31/100),K$1-2021),"-")</f>
        <v>139521.19908974975</v>
      </c>
      <c r="L124" s="128">
        <f>IFERROR((INDEX(lifespans_all!L$127:L$134,MATCH($B124,lifespans_all!$B$127:$B$134,0))*SR_mission_minutes!L51)*POWER(1+(Settings!$C$31/100),L$1-2021),"-")</f>
        <v>150217.82435329727</v>
      </c>
      <c r="M124" s="128">
        <f>IFERROR((INDEX(lifespans_all!M$127:M$134,MATCH($B124,lifespans_all!$B$127:$B$134,0))*SR_mission_minutes!M51)*POWER(1+(Settings!$C$31/100),M$1-2021),"-")</f>
        <v>161286.50614775077</v>
      </c>
      <c r="N124" s="128">
        <f>IFERROR((INDEX(lifespans_all!N$127:N$134,MATCH($B124,lifespans_all!$B$127:$B$134,0))*SR_mission_minutes!N51)*POWER(1+(Settings!$C$31/100),N$1-2021),"-")</f>
        <v>164512.23627070579</v>
      </c>
      <c r="O124" s="128">
        <f>IFERROR((INDEX(lifespans_all!O$127:O$134,MATCH($B124,lifespans_all!$B$127:$B$134,0))*SR_mission_minutes!O51)*POWER(1+(Settings!$C$31/100),O$1-2021),"-")</f>
        <v>167802.48099611985</v>
      </c>
      <c r="P124" s="128">
        <f>IFERROR((INDEX(lifespans_all!P$127:P$134,MATCH($B124,lifespans_all!$B$127:$B$134,0))*SR_mission_minutes!P51)*POWER(1+(Settings!$C$31/100),P$1-2021),"-")</f>
        <v>171158.53061604229</v>
      </c>
      <c r="Q124" s="128">
        <f>IFERROR((INDEX(lifespans_all!Q$127:Q$134,MATCH($B124,lifespans_all!$B$127:$B$134,0))*SR_mission_minutes!Q51)*POWER(1+(Settings!$C$31/100),Q$1-2021),"-")</f>
        <v>174581.70122836312</v>
      </c>
      <c r="R124" s="128">
        <f>IFERROR((INDEX(lifespans_all!R$127:R$134,MATCH($B124,lifespans_all!$B$127:$B$134,0))*SR_mission_minutes!R51)*POWER(1+(Settings!$C$31/100),R$1-2021),"-")</f>
        <v>178073.33525293041</v>
      </c>
      <c r="S124" s="128">
        <f>IFERROR((INDEX(lifespans_all!S$127:S$134,MATCH($B124,lifespans_all!$B$127:$B$134,0))*SR_mission_minutes!S51)*POWER(1+(Settings!$C$31/100),S$1-2021),"-")</f>
        <v>181634.80195798897</v>
      </c>
      <c r="T124" s="128">
        <f>IFERROR((INDEX(lifespans_all!T$127:T$134,MATCH($B124,lifespans_all!$B$127:$B$134,0))*SR_mission_minutes!T51)*POWER(1+(Settings!$C$31/100),T$1-2021),"-")</f>
        <v>185267.49799714878</v>
      </c>
      <c r="U124" s="128">
        <f>IFERROR((INDEX(lifespans_all!U$127:U$134,MATCH($B124,lifespans_all!$B$127:$B$134,0))*SR_mission_minutes!U51)*POWER(1+(Settings!$C$31/100),U$1-2021),"-")</f>
        <v>188972.84795709176</v>
      </c>
      <c r="V124" s="128">
        <f>IFERROR((INDEX(lifespans_all!V$127:V$134,MATCH($B124,lifespans_all!$B$127:$B$134,0))*SR_mission_minutes!V51)*POWER(1+(Settings!$C$31/100),V$1-2021),"-")</f>
        <v>192752.30491623358</v>
      </c>
      <c r="W124" s="128">
        <f>IFERROR((INDEX(lifespans_all!W$127:W$134,MATCH($B124,lifespans_all!$B$127:$B$134,0))*SR_mission_minutes!W51)*POWER(1+(Settings!$C$31/100),W$1-2021),"-")</f>
        <v>196607.35101455825</v>
      </c>
    </row>
    <row r="125" spans="1:23" x14ac:dyDescent="0.25">
      <c r="A125" s="66"/>
      <c r="B125" s="66"/>
      <c r="C125" s="66"/>
      <c r="D125" s="143"/>
      <c r="E125" s="3"/>
      <c r="F125" s="3"/>
      <c r="G125" s="3"/>
      <c r="H125" s="3"/>
      <c r="I125" s="3"/>
      <c r="J125" s="3"/>
      <c r="K125" s="3"/>
      <c r="L125" s="3"/>
      <c r="M125" s="3"/>
      <c r="N125" s="3"/>
      <c r="O125" s="3"/>
      <c r="P125" s="3"/>
      <c r="Q125" s="3"/>
      <c r="R125" s="3"/>
      <c r="S125" s="3"/>
      <c r="T125" s="3"/>
      <c r="U125" s="3"/>
      <c r="V125" s="3"/>
      <c r="W125" s="3"/>
    </row>
    <row r="126" spans="1:23" x14ac:dyDescent="0.25">
      <c r="A126" s="66"/>
      <c r="B126" s="66"/>
      <c r="C126" s="66"/>
      <c r="D126" s="39">
        <f t="shared" ref="D126:V126" si="21">SUM(D75:D124)</f>
        <v>1824340.7166666673</v>
      </c>
      <c r="E126" s="39">
        <f t="shared" si="21"/>
        <v>1915137.966126984</v>
      </c>
      <c r="F126" s="39">
        <f t="shared" si="21"/>
        <v>2150950.8025298412</v>
      </c>
      <c r="G126" s="39">
        <f t="shared" si="21"/>
        <v>2330729.7912530918</v>
      </c>
      <c r="H126" s="39">
        <f t="shared" si="21"/>
        <v>2561436.0350068212</v>
      </c>
      <c r="I126" s="39">
        <f t="shared" si="21"/>
        <v>2778018.6041345499</v>
      </c>
      <c r="J126" s="39">
        <f t="shared" si="21"/>
        <v>3007789.6401623632</v>
      </c>
      <c r="K126" s="39">
        <f t="shared" si="21"/>
        <v>3244086.1832685568</v>
      </c>
      <c r="L126" s="39">
        <f t="shared" si="21"/>
        <v>3471347.1862154915</v>
      </c>
      <c r="M126" s="39">
        <f t="shared" si="21"/>
        <v>3706626.8122958844</v>
      </c>
      <c r="N126" s="39">
        <f t="shared" si="21"/>
        <v>3934663.1940465136</v>
      </c>
      <c r="O126" s="39">
        <f t="shared" si="21"/>
        <v>4004363.163482999</v>
      </c>
      <c r="P126" s="39">
        <f t="shared" si="21"/>
        <v>4075457.1323082144</v>
      </c>
      <c r="Q126" s="39">
        <f t="shared" si="21"/>
        <v>4147972.9805099345</v>
      </c>
      <c r="R126" s="39">
        <f t="shared" si="21"/>
        <v>4221939.145675689</v>
      </c>
      <c r="S126" s="39">
        <f t="shared" si="21"/>
        <v>4297384.6341447579</v>
      </c>
      <c r="T126" s="39">
        <f t="shared" si="21"/>
        <v>4374339.0323832091</v>
      </c>
      <c r="U126" s="39">
        <f t="shared" si="21"/>
        <v>4452832.5185864288</v>
      </c>
      <c r="V126" s="39">
        <f t="shared" si="21"/>
        <v>4532895.8745137127</v>
      </c>
      <c r="W126" s="39">
        <f>SUM(W75:W124)</f>
        <v>4614560.4975595418</v>
      </c>
    </row>
    <row r="127" spans="1:23" ht="14.4" thickBot="1" x14ac:dyDescent="0.3">
      <c r="B127" s="3" t="s">
        <v>95</v>
      </c>
      <c r="D127" s="40"/>
      <c r="E127" s="40"/>
      <c r="F127" s="40"/>
      <c r="G127" s="40"/>
      <c r="H127" s="40"/>
      <c r="I127" s="40"/>
      <c r="J127" s="40"/>
      <c r="K127" s="40"/>
      <c r="L127" s="40"/>
      <c r="M127" s="3"/>
      <c r="N127" s="3"/>
      <c r="O127" s="40"/>
      <c r="P127" s="40"/>
      <c r="Q127" s="40"/>
      <c r="R127" s="40"/>
      <c r="S127" s="40"/>
      <c r="T127" s="40"/>
      <c r="U127" s="40"/>
      <c r="V127" s="40"/>
      <c r="W127" s="40"/>
    </row>
    <row r="128" spans="1:23" x14ac:dyDescent="0.25">
      <c r="B128" s="75" t="s">
        <v>102</v>
      </c>
      <c r="D128" s="97">
        <v>2021</v>
      </c>
      <c r="E128" s="98">
        <v>2022</v>
      </c>
      <c r="F128" s="97">
        <v>2023</v>
      </c>
      <c r="G128" s="98">
        <v>2024</v>
      </c>
      <c r="H128" s="97">
        <v>2025</v>
      </c>
      <c r="I128" s="98">
        <v>2026</v>
      </c>
      <c r="J128" s="97">
        <v>2027</v>
      </c>
      <c r="K128" s="98">
        <v>2028</v>
      </c>
      <c r="L128" s="97">
        <v>2029</v>
      </c>
      <c r="M128" s="98">
        <v>2030</v>
      </c>
      <c r="N128" s="97">
        <v>2031</v>
      </c>
      <c r="O128" s="98">
        <v>2032</v>
      </c>
      <c r="P128" s="97">
        <v>2033</v>
      </c>
      <c r="Q128" s="98">
        <v>2034</v>
      </c>
      <c r="R128" s="97">
        <v>2035</v>
      </c>
      <c r="S128" s="98">
        <v>2036</v>
      </c>
      <c r="T128" s="97">
        <v>2037</v>
      </c>
      <c r="U128" s="98">
        <v>2038</v>
      </c>
      <c r="V128" s="97">
        <v>2039</v>
      </c>
      <c r="W128" s="98">
        <v>2040</v>
      </c>
    </row>
    <row r="129" spans="2:23" x14ac:dyDescent="0.25">
      <c r="B129" s="50" t="s">
        <v>59</v>
      </c>
      <c r="D129" s="100">
        <f>SUMIF($B75:$B124,$B129,D$75:D$124)</f>
        <v>505467.6</v>
      </c>
      <c r="E129" s="100">
        <f t="shared" ref="E129:W129" si="22">SUMIF($B75:$B124,$B129,E$75:E$124)</f>
        <v>553257.26399999997</v>
      </c>
      <c r="F129" s="100">
        <f t="shared" si="22"/>
        <v>602940.13392000005</v>
      </c>
      <c r="G129" s="100">
        <f t="shared" si="22"/>
        <v>654572.8221312</v>
      </c>
      <c r="H129" s="100">
        <f t="shared" si="22"/>
        <v>708213.44821727998</v>
      </c>
      <c r="I129" s="100">
        <f t="shared" si="22"/>
        <v>763921.67661795067</v>
      </c>
      <c r="J129" s="100">
        <f t="shared" si="22"/>
        <v>821758.75517536141</v>
      </c>
      <c r="K129" s="100">
        <f t="shared" si="22"/>
        <v>881787.55460442114</v>
      </c>
      <c r="L129" s="100">
        <f t="shared" si="22"/>
        <v>944072.60890857328</v>
      </c>
      <c r="M129" s="100">
        <f t="shared" si="22"/>
        <v>1008680.1567630498</v>
      </c>
      <c r="N129" s="100">
        <f t="shared" si="22"/>
        <v>1184858.1598474663</v>
      </c>
      <c r="O129" s="100">
        <f t="shared" si="22"/>
        <v>1201662.5830444153</v>
      </c>
      <c r="P129" s="100">
        <f t="shared" si="22"/>
        <v>1218803.0947053037</v>
      </c>
      <c r="Q129" s="100">
        <f t="shared" si="22"/>
        <v>1236286.4165994099</v>
      </c>
      <c r="R129" s="100">
        <f t="shared" si="22"/>
        <v>1254119.4049313981</v>
      </c>
      <c r="S129" s="100">
        <f t="shared" si="22"/>
        <v>1272309.0530300257</v>
      </c>
      <c r="T129" s="100">
        <f t="shared" si="22"/>
        <v>1290862.4940906265</v>
      </c>
      <c r="U129" s="100">
        <f t="shared" si="22"/>
        <v>1309787.0039724391</v>
      </c>
      <c r="V129" s="100">
        <f t="shared" si="22"/>
        <v>1329090.0040518879</v>
      </c>
      <c r="W129" s="100">
        <f t="shared" si="22"/>
        <v>1348779.0641329256</v>
      </c>
    </row>
    <row r="130" spans="2:23" x14ac:dyDescent="0.25">
      <c r="B130" s="50" t="s">
        <v>57</v>
      </c>
      <c r="D130" s="100">
        <f>SUMIF($B75:$B124,$B130,D$75:D$124)</f>
        <v>1194326.0999999999</v>
      </c>
      <c r="E130" s="100">
        <f t="shared" ref="E130:W130" si="23">SUMIF($B75:$B124,$B130,E$75:E$124)</f>
        <v>1227409.4928888888</v>
      </c>
      <c r="F130" s="100">
        <f t="shared" si="23"/>
        <v>1400488.9980088889</v>
      </c>
      <c r="G130" s="100">
        <f t="shared" si="23"/>
        <v>1517743.2658063113</v>
      </c>
      <c r="H130" s="100">
        <f t="shared" si="23"/>
        <v>1683283.1902676001</v>
      </c>
      <c r="I130" s="100">
        <f t="shared" si="23"/>
        <v>1828869.140734351</v>
      </c>
      <c r="J130" s="100">
        <f t="shared" si="23"/>
        <v>1987849.3840103326</v>
      </c>
      <c r="K130" s="100">
        <f t="shared" si="23"/>
        <v>2150704.0251066475</v>
      </c>
      <c r="L130" s="100">
        <f t="shared" si="23"/>
        <v>2301794.2887324351</v>
      </c>
      <c r="M130" s="100">
        <f t="shared" si="23"/>
        <v>2458094.5614487668</v>
      </c>
      <c r="N130" s="100">
        <f t="shared" si="23"/>
        <v>2505922.4448999646</v>
      </c>
      <c r="O130" s="100">
        <f t="shared" si="23"/>
        <v>2554706.8860201859</v>
      </c>
      <c r="P130" s="100">
        <f t="shared" si="23"/>
        <v>2604467.0159628121</v>
      </c>
      <c r="Q130" s="100">
        <f t="shared" si="23"/>
        <v>2655222.3485042905</v>
      </c>
      <c r="R130" s="100">
        <f t="shared" si="23"/>
        <v>2706992.7876965986</v>
      </c>
      <c r="S130" s="100">
        <f t="shared" si="23"/>
        <v>2759798.6356727523</v>
      </c>
      <c r="T130" s="100">
        <f t="shared" si="23"/>
        <v>2813660.6006084299</v>
      </c>
      <c r="U130" s="100">
        <f t="shared" si="23"/>
        <v>2868599.8048428209</v>
      </c>
      <c r="V130" s="100">
        <f t="shared" si="23"/>
        <v>2924637.7931618993</v>
      </c>
      <c r="W130" s="100">
        <f t="shared" si="23"/>
        <v>2981796.5412473595</v>
      </c>
    </row>
    <row r="131" spans="2:23" x14ac:dyDescent="0.25">
      <c r="B131" s="50" t="s">
        <v>56</v>
      </c>
      <c r="D131" s="100">
        <f>SUMIF($B75:$B124,$B131,D$75:D$124)</f>
        <v>8275</v>
      </c>
      <c r="E131" s="100">
        <f t="shared" ref="E131:W131" si="24">SUMIF($B75:$B124,$B131,E$75:E$124)</f>
        <v>9504.4285714285725</v>
      </c>
      <c r="F131" s="100">
        <f t="shared" si="24"/>
        <v>13528.915714285713</v>
      </c>
      <c r="G131" s="100">
        <f t="shared" si="24"/>
        <v>15053.993485714285</v>
      </c>
      <c r="H131" s="100">
        <f t="shared" si="24"/>
        <v>16634.662801714287</v>
      </c>
      <c r="I131" s="100">
        <f t="shared" si="24"/>
        <v>18272.537292960002</v>
      </c>
      <c r="J131" s="100">
        <f t="shared" si="24"/>
        <v>19969.272898734856</v>
      </c>
      <c r="K131" s="100">
        <f t="shared" si="24"/>
        <v>21726.568913823521</v>
      </c>
      <c r="L131" s="100">
        <f t="shared" si="24"/>
        <v>23546.169060356246</v>
      </c>
      <c r="M131" s="100">
        <f t="shared" si="24"/>
        <v>25429.862585184743</v>
      </c>
      <c r="N131" s="100">
        <f t="shared" si="24"/>
        <v>25938.459836888436</v>
      </c>
      <c r="O131" s="100">
        <f t="shared" si="24"/>
        <v>26457.229033626201</v>
      </c>
      <c r="P131" s="100">
        <f t="shared" si="24"/>
        <v>26986.373614298729</v>
      </c>
      <c r="Q131" s="100">
        <f t="shared" si="24"/>
        <v>27526.101086584702</v>
      </c>
      <c r="R131" s="100">
        <f t="shared" si="24"/>
        <v>28076.623108316398</v>
      </c>
      <c r="S131" s="100">
        <f t="shared" si="24"/>
        <v>28638.155570482719</v>
      </c>
      <c r="T131" s="100">
        <f t="shared" si="24"/>
        <v>29210.918681892381</v>
      </c>
      <c r="U131" s="100">
        <f t="shared" si="24"/>
        <v>29795.137055530227</v>
      </c>
      <c r="V131" s="100">
        <f t="shared" si="24"/>
        <v>30391.039796640831</v>
      </c>
      <c r="W131" s="100">
        <f t="shared" si="24"/>
        <v>30998.860592573645</v>
      </c>
    </row>
    <row r="132" spans="2:23" x14ac:dyDescent="0.25">
      <c r="B132" s="50" t="s">
        <v>100</v>
      </c>
      <c r="D132" s="100">
        <f>SUMIF($B75:$B124,$B132,D$75:D$124)</f>
        <v>0</v>
      </c>
      <c r="E132" s="100">
        <f t="shared" ref="E132:W132" si="25">SUMIF($B75:$B124,$B132,E$75:E$124)</f>
        <v>0</v>
      </c>
      <c r="F132" s="100">
        <f t="shared" si="25"/>
        <v>0</v>
      </c>
      <c r="G132" s="100">
        <f t="shared" si="25"/>
        <v>0</v>
      </c>
      <c r="H132" s="100">
        <f t="shared" si="25"/>
        <v>0</v>
      </c>
      <c r="I132" s="100">
        <f t="shared" si="25"/>
        <v>0</v>
      </c>
      <c r="J132" s="100">
        <f t="shared" si="25"/>
        <v>0</v>
      </c>
      <c r="K132" s="100">
        <f t="shared" si="25"/>
        <v>0</v>
      </c>
      <c r="L132" s="100">
        <f t="shared" si="25"/>
        <v>0</v>
      </c>
      <c r="M132" s="100">
        <f t="shared" si="25"/>
        <v>0</v>
      </c>
      <c r="N132" s="100">
        <f t="shared" si="25"/>
        <v>0</v>
      </c>
      <c r="O132" s="100">
        <f t="shared" si="25"/>
        <v>0</v>
      </c>
      <c r="P132" s="100">
        <f t="shared" si="25"/>
        <v>0</v>
      </c>
      <c r="Q132" s="100">
        <f t="shared" si="25"/>
        <v>0</v>
      </c>
      <c r="R132" s="100">
        <f t="shared" si="25"/>
        <v>0</v>
      </c>
      <c r="S132" s="100">
        <f t="shared" si="25"/>
        <v>0</v>
      </c>
      <c r="T132" s="100">
        <f t="shared" si="25"/>
        <v>0</v>
      </c>
      <c r="U132" s="100">
        <f t="shared" si="25"/>
        <v>0</v>
      </c>
      <c r="V132" s="100">
        <f t="shared" si="25"/>
        <v>0</v>
      </c>
      <c r="W132" s="100">
        <f t="shared" si="25"/>
        <v>0</v>
      </c>
    </row>
    <row r="133" spans="2:23" x14ac:dyDescent="0.25">
      <c r="B133" s="50" t="s">
        <v>60</v>
      </c>
      <c r="D133" s="100">
        <f>SUMIF($B75:$B124,$B133,D$75:D$124)</f>
        <v>506.55</v>
      </c>
      <c r="E133" s="100">
        <f t="shared" ref="E133:W133" si="26">SUMIF($B75:$B124,$B133,E$75:E$124)</f>
        <v>554.44200000000001</v>
      </c>
      <c r="F133" s="100">
        <f t="shared" si="26"/>
        <v>604.23126000000002</v>
      </c>
      <c r="G133" s="100">
        <f t="shared" si="26"/>
        <v>655.97451360000002</v>
      </c>
      <c r="H133" s="100">
        <f t="shared" si="26"/>
        <v>747.69001451999998</v>
      </c>
      <c r="I133" s="100">
        <f t="shared" si="26"/>
        <v>813.48673579776005</v>
      </c>
      <c r="J133" s="100">
        <f t="shared" si="26"/>
        <v>881.6162499208225</v>
      </c>
      <c r="K133" s="100">
        <f t="shared" si="26"/>
        <v>952.1455499144879</v>
      </c>
      <c r="L133" s="100">
        <f t="shared" si="26"/>
        <v>1025.1433754079321</v>
      </c>
      <c r="M133" s="100">
        <f t="shared" si="26"/>
        <v>1100.6802557011483</v>
      </c>
      <c r="N133" s="100">
        <f t="shared" si="26"/>
        <v>1122.6938608151713</v>
      </c>
      <c r="O133" s="100">
        <f t="shared" si="26"/>
        <v>1145.1477380314745</v>
      </c>
      <c r="P133" s="100">
        <f t="shared" si="26"/>
        <v>1168.0506927921042</v>
      </c>
      <c r="Q133" s="100">
        <f t="shared" si="26"/>
        <v>1191.4117066479462</v>
      </c>
      <c r="R133" s="100">
        <f t="shared" si="26"/>
        <v>1215.2399407809053</v>
      </c>
      <c r="S133" s="100">
        <f t="shared" si="26"/>
        <v>1239.544739596523</v>
      </c>
      <c r="T133" s="100">
        <f t="shared" si="26"/>
        <v>1264.3356343884536</v>
      </c>
      <c r="U133" s="100">
        <f t="shared" si="26"/>
        <v>1289.6223470762229</v>
      </c>
      <c r="V133" s="100">
        <f t="shared" si="26"/>
        <v>1315.4147940177472</v>
      </c>
      <c r="W133" s="100">
        <f t="shared" si="26"/>
        <v>1341.723089898102</v>
      </c>
    </row>
    <row r="134" spans="2:23" x14ac:dyDescent="0.25">
      <c r="B134" s="50" t="s">
        <v>101</v>
      </c>
      <c r="D134" s="100">
        <f>SUMIF($B75:$B124,$B134,D$75:D$124)</f>
        <v>0</v>
      </c>
      <c r="E134" s="100">
        <f t="shared" ref="E134:W134" si="27">SUMIF($B75:$B124,$B134,E$75:E$124)</f>
        <v>0</v>
      </c>
      <c r="F134" s="100">
        <f t="shared" si="27"/>
        <v>0</v>
      </c>
      <c r="G134" s="100">
        <f t="shared" si="27"/>
        <v>0</v>
      </c>
      <c r="H134" s="100">
        <f t="shared" si="27"/>
        <v>0</v>
      </c>
      <c r="I134" s="100">
        <f t="shared" si="27"/>
        <v>0</v>
      </c>
      <c r="J134" s="100">
        <f t="shared" si="27"/>
        <v>0</v>
      </c>
      <c r="K134" s="100">
        <f t="shared" si="27"/>
        <v>0</v>
      </c>
      <c r="L134" s="100">
        <f t="shared" si="27"/>
        <v>0</v>
      </c>
      <c r="M134" s="100">
        <f t="shared" si="27"/>
        <v>0</v>
      </c>
      <c r="N134" s="100">
        <f t="shared" si="27"/>
        <v>0</v>
      </c>
      <c r="O134" s="100">
        <f t="shared" si="27"/>
        <v>0</v>
      </c>
      <c r="P134" s="100">
        <f t="shared" si="27"/>
        <v>0</v>
      </c>
      <c r="Q134" s="100">
        <f t="shared" si="27"/>
        <v>0</v>
      </c>
      <c r="R134" s="100">
        <f t="shared" si="27"/>
        <v>0</v>
      </c>
      <c r="S134" s="100">
        <f t="shared" si="27"/>
        <v>0</v>
      </c>
      <c r="T134" s="100">
        <f t="shared" si="27"/>
        <v>0</v>
      </c>
      <c r="U134" s="100">
        <f t="shared" si="27"/>
        <v>0</v>
      </c>
      <c r="V134" s="100">
        <f t="shared" si="27"/>
        <v>0</v>
      </c>
      <c r="W134" s="100">
        <f t="shared" si="27"/>
        <v>0</v>
      </c>
    </row>
    <row r="135" spans="2:23" x14ac:dyDescent="0.25">
      <c r="B135" s="50" t="s">
        <v>58</v>
      </c>
      <c r="D135" s="100">
        <f>SUMIF($B75:$B124,$B135,D$75:D$124)</f>
        <v>7799.6</v>
      </c>
      <c r="E135" s="100">
        <f t="shared" ref="E135:W135" si="28">SUMIF($B75:$B124,$B135,E$75:E$124)</f>
        <v>8753.9040000000005</v>
      </c>
      <c r="F135" s="100">
        <f t="shared" si="28"/>
        <v>9746.0131199999996</v>
      </c>
      <c r="G135" s="100">
        <f t="shared" si="28"/>
        <v>10777.0578432</v>
      </c>
      <c r="H135" s="100">
        <f t="shared" si="28"/>
        <v>12037.29812512</v>
      </c>
      <c r="I135" s="100">
        <f t="shared" si="28"/>
        <v>13199.38863263872</v>
      </c>
      <c r="J135" s="100">
        <f t="shared" si="28"/>
        <v>14404.983041208141</v>
      </c>
      <c r="K135" s="100">
        <f t="shared" si="28"/>
        <v>15655.356670667281</v>
      </c>
      <c r="L135" s="100">
        <f t="shared" si="28"/>
        <v>16951.818452088308</v>
      </c>
      <c r="M135" s="100">
        <f t="shared" si="28"/>
        <v>18295.711762097904</v>
      </c>
      <c r="N135" s="100">
        <f t="shared" si="28"/>
        <v>18569.865997339864</v>
      </c>
      <c r="O135" s="100">
        <f t="shared" si="28"/>
        <v>18849.503317286661</v>
      </c>
      <c r="P135" s="100">
        <f t="shared" si="28"/>
        <v>19134.733383632396</v>
      </c>
      <c r="Q135" s="100">
        <f t="shared" si="28"/>
        <v>19425.668051305041</v>
      </c>
      <c r="R135" s="100">
        <f t="shared" si="28"/>
        <v>19722.421412331143</v>
      </c>
      <c r="S135" s="100">
        <f t="shared" si="28"/>
        <v>20025.109840577763</v>
      </c>
      <c r="T135" s="100">
        <f t="shared" si="28"/>
        <v>20333.852037389319</v>
      </c>
      <c r="U135" s="100">
        <f t="shared" si="28"/>
        <v>20648.769078137106</v>
      </c>
      <c r="V135" s="100">
        <f t="shared" si="28"/>
        <v>20969.984459699848</v>
      </c>
      <c r="W135" s="100">
        <f t="shared" si="28"/>
        <v>21297.624148893843</v>
      </c>
    </row>
    <row r="136" spans="2:23" ht="14.4" thickBot="1" x14ac:dyDescent="0.3">
      <c r="B136" s="56" t="s">
        <v>61</v>
      </c>
      <c r="D136" s="100">
        <f>SUMIF($B75:$B124,$B136,D$75:D$124)</f>
        <v>107965.86666666667</v>
      </c>
      <c r="E136" s="100">
        <f>SUMIF($B75:$B124,$B136,E$75:E$124)</f>
        <v>115658.43466666667</v>
      </c>
      <c r="F136" s="100">
        <f>SUMIF($B75:$B124,$B136,F$75:F$124)</f>
        <v>123642.51050666667</v>
      </c>
      <c r="G136" s="100">
        <f t="shared" ref="G136:W136" si="29">SUMIF($B75:$B124,$B136,G$75:G$124)</f>
        <v>131926.67747306667</v>
      </c>
      <c r="H136" s="100">
        <f t="shared" si="29"/>
        <v>140519.74558058666</v>
      </c>
      <c r="I136" s="100">
        <f t="shared" si="29"/>
        <v>152942.37412085079</v>
      </c>
      <c r="J136" s="100">
        <f t="shared" si="29"/>
        <v>162925.62878680538</v>
      </c>
      <c r="K136" s="100">
        <f t="shared" si="29"/>
        <v>173260.53242308309</v>
      </c>
      <c r="L136" s="100">
        <f t="shared" si="29"/>
        <v>183957.15768663061</v>
      </c>
      <c r="M136" s="100">
        <f t="shared" si="29"/>
        <v>195025.83948108411</v>
      </c>
      <c r="N136" s="100">
        <f t="shared" si="29"/>
        <v>198251.56960403913</v>
      </c>
      <c r="O136" s="100">
        <f t="shared" si="29"/>
        <v>201541.81432945319</v>
      </c>
      <c r="P136" s="100">
        <f t="shared" si="29"/>
        <v>204897.86394937563</v>
      </c>
      <c r="Q136" s="100">
        <f t="shared" si="29"/>
        <v>208321.03456169646</v>
      </c>
      <c r="R136" s="100">
        <f t="shared" si="29"/>
        <v>211812.66858626375</v>
      </c>
      <c r="S136" s="100">
        <f t="shared" si="29"/>
        <v>215374.13529132231</v>
      </c>
      <c r="T136" s="100">
        <f t="shared" si="29"/>
        <v>219006.83133048212</v>
      </c>
      <c r="U136" s="100">
        <f t="shared" si="29"/>
        <v>222712.1812904251</v>
      </c>
      <c r="V136" s="100">
        <f t="shared" si="29"/>
        <v>226491.63824956692</v>
      </c>
      <c r="W136" s="100">
        <f t="shared" si="29"/>
        <v>230346.6843478916</v>
      </c>
    </row>
    <row r="137" spans="2:23" x14ac:dyDescent="0.25">
      <c r="D137" s="40"/>
      <c r="E137" s="40"/>
      <c r="F137" s="40"/>
      <c r="G137" s="40"/>
      <c r="H137" s="40"/>
      <c r="I137" s="40"/>
      <c r="J137" s="40"/>
      <c r="K137" s="40"/>
      <c r="L137" s="40"/>
      <c r="M137" s="41"/>
      <c r="N137" s="40"/>
      <c r="O137" s="40"/>
      <c r="P137" s="40"/>
      <c r="Q137" s="40"/>
      <c r="R137" s="40"/>
      <c r="S137" s="40"/>
      <c r="T137" s="40"/>
      <c r="U137" s="40"/>
      <c r="V137" s="40"/>
      <c r="W137" s="40"/>
    </row>
    <row r="138" spans="2:23" x14ac:dyDescent="0.25">
      <c r="D138" s="40">
        <f>SUM(D129:D136)</f>
        <v>1824340.7166666666</v>
      </c>
      <c r="E138" s="40">
        <f t="shared" ref="E138:V138" si="30">SUM(E129:E136)</f>
        <v>1915137.9661269842</v>
      </c>
      <c r="F138" s="40">
        <f t="shared" si="30"/>
        <v>2150950.8025298417</v>
      </c>
      <c r="G138" s="40">
        <f t="shared" si="30"/>
        <v>2330729.7912530927</v>
      </c>
      <c r="H138" s="40">
        <f t="shared" si="30"/>
        <v>2561436.0350068212</v>
      </c>
      <c r="I138" s="40">
        <f t="shared" si="30"/>
        <v>2778018.6041345489</v>
      </c>
      <c r="J138" s="40">
        <f t="shared" si="30"/>
        <v>3007789.6401623636</v>
      </c>
      <c r="K138" s="40">
        <f t="shared" si="30"/>
        <v>3244086.1832685568</v>
      </c>
      <c r="L138" s="40">
        <f t="shared" si="30"/>
        <v>3471347.1862154915</v>
      </c>
      <c r="M138" s="41">
        <f t="shared" si="30"/>
        <v>3706626.8122958848</v>
      </c>
      <c r="N138" s="40">
        <f t="shared" si="30"/>
        <v>3934663.1940465141</v>
      </c>
      <c r="O138" s="40">
        <f t="shared" si="30"/>
        <v>4004363.163482999</v>
      </c>
      <c r="P138" s="40">
        <f t="shared" si="30"/>
        <v>4075457.1323082144</v>
      </c>
      <c r="Q138" s="40">
        <f t="shared" si="30"/>
        <v>4147972.9805099349</v>
      </c>
      <c r="R138" s="40">
        <f t="shared" si="30"/>
        <v>4221939.1456756881</v>
      </c>
      <c r="S138" s="40">
        <f t="shared" si="30"/>
        <v>4297384.6341447579</v>
      </c>
      <c r="T138" s="40">
        <f t="shared" si="30"/>
        <v>4374339.0323832091</v>
      </c>
      <c r="U138" s="40">
        <f t="shared" si="30"/>
        <v>4452832.5185864298</v>
      </c>
      <c r="V138" s="40">
        <f t="shared" si="30"/>
        <v>4532895.8745137127</v>
      </c>
      <c r="W138" s="40">
        <f>SUM(W129:W136)</f>
        <v>4614560.4975595428</v>
      </c>
    </row>
    <row r="139" spans="2:23" x14ac:dyDescent="0.25">
      <c r="D139" s="40"/>
      <c r="E139" s="40"/>
      <c r="F139" s="40"/>
      <c r="G139" s="40"/>
      <c r="H139" s="40"/>
      <c r="I139" s="40"/>
      <c r="J139" s="40"/>
      <c r="K139" s="40"/>
      <c r="L139" s="40"/>
      <c r="M139" s="41"/>
      <c r="N139" s="3"/>
      <c r="O139" s="40"/>
      <c r="P139" s="40"/>
      <c r="Q139" s="40"/>
      <c r="R139" s="40"/>
      <c r="S139" s="40"/>
      <c r="T139" s="40"/>
      <c r="U139" s="40"/>
      <c r="V139" s="40"/>
      <c r="W139" s="40"/>
    </row>
    <row r="140" spans="2:23" ht="14.4" thickBot="1" x14ac:dyDescent="0.3">
      <c r="B140" s="3" t="s">
        <v>95</v>
      </c>
      <c r="D140" s="40"/>
      <c r="E140" s="40"/>
      <c r="F140" s="40"/>
      <c r="G140" s="40"/>
      <c r="H140" s="40"/>
      <c r="I140" s="40"/>
      <c r="J140" s="40"/>
      <c r="K140" s="40"/>
      <c r="L140" s="40"/>
      <c r="M140" s="41"/>
      <c r="N140" s="3"/>
      <c r="O140" s="40"/>
      <c r="P140" s="40"/>
      <c r="Q140" s="40"/>
      <c r="R140" s="40"/>
      <c r="S140" s="40"/>
      <c r="T140" s="40"/>
      <c r="U140" s="40"/>
      <c r="V140" s="40"/>
      <c r="W140" s="40"/>
    </row>
    <row r="141" spans="2:23" x14ac:dyDescent="0.25">
      <c r="B141" s="75" t="s">
        <v>102</v>
      </c>
      <c r="D141" s="97">
        <v>2021</v>
      </c>
      <c r="E141" s="97">
        <v>2022</v>
      </c>
      <c r="F141" s="97">
        <v>2023</v>
      </c>
      <c r="G141" s="97">
        <v>2024</v>
      </c>
      <c r="H141" s="97">
        <v>2025</v>
      </c>
      <c r="I141" s="97">
        <v>2026</v>
      </c>
      <c r="J141" s="97">
        <v>2027</v>
      </c>
      <c r="K141" s="97">
        <v>2028</v>
      </c>
      <c r="L141" s="97">
        <v>2029</v>
      </c>
      <c r="M141" s="97">
        <v>2030</v>
      </c>
      <c r="N141" s="97">
        <v>2031</v>
      </c>
      <c r="O141" s="97">
        <v>2032</v>
      </c>
      <c r="P141" s="97">
        <v>2033</v>
      </c>
      <c r="Q141" s="97">
        <v>2034</v>
      </c>
      <c r="R141" s="97">
        <v>2035</v>
      </c>
      <c r="S141" s="97">
        <v>2036</v>
      </c>
      <c r="T141" s="97">
        <v>2037</v>
      </c>
      <c r="U141" s="97">
        <v>2038</v>
      </c>
      <c r="V141" s="97">
        <v>2039</v>
      </c>
      <c r="W141" s="97">
        <v>2040</v>
      </c>
    </row>
    <row r="142" spans="2:23" x14ac:dyDescent="0.25">
      <c r="B142" s="50" t="s">
        <v>115</v>
      </c>
      <c r="D142" s="42">
        <f>SUM(D75:D116)</f>
        <v>1676114.912698413</v>
      </c>
      <c r="E142" s="42">
        <f t="shared" ref="E142:W142" si="31">SUM(E75:E116)</f>
        <v>1442274.4126984125</v>
      </c>
      <c r="F142" s="42">
        <f t="shared" si="31"/>
        <v>1435181.5555555555</v>
      </c>
      <c r="G142" s="42">
        <f t="shared" si="31"/>
        <v>1301780.7777777778</v>
      </c>
      <c r="H142" s="42">
        <f t="shared" si="31"/>
        <v>1131886.1666666667</v>
      </c>
      <c r="I142" s="42">
        <f t="shared" si="31"/>
        <v>898045.66666666674</v>
      </c>
      <c r="J142" s="42">
        <f t="shared" si="31"/>
        <v>697944.49999999988</v>
      </c>
      <c r="K142" s="42">
        <f t="shared" si="31"/>
        <v>564543.72222222225</v>
      </c>
      <c r="L142" s="42">
        <f t="shared" si="31"/>
        <v>564543.72222222225</v>
      </c>
      <c r="M142" s="42">
        <f t="shared" si="31"/>
        <v>564543.72222222225</v>
      </c>
      <c r="N142" s="42">
        <f t="shared" si="31"/>
        <v>449664.72222222225</v>
      </c>
      <c r="O142" s="42">
        <f t="shared" si="31"/>
        <v>449664.72222222225</v>
      </c>
      <c r="P142" s="42">
        <f t="shared" si="31"/>
        <v>449664.72222222225</v>
      </c>
      <c r="Q142" s="42">
        <f t="shared" si="31"/>
        <v>449664.72222222225</v>
      </c>
      <c r="R142" s="42">
        <f t="shared" si="31"/>
        <v>449664.72222222225</v>
      </c>
      <c r="S142" s="42">
        <f t="shared" si="31"/>
        <v>449664.72222222225</v>
      </c>
      <c r="T142" s="42">
        <f t="shared" si="31"/>
        <v>449664.72222222225</v>
      </c>
      <c r="U142" s="42">
        <f t="shared" si="31"/>
        <v>449664.72222222225</v>
      </c>
      <c r="V142" s="42">
        <f t="shared" si="31"/>
        <v>449664.72222222225</v>
      </c>
      <c r="W142" s="42">
        <f t="shared" si="31"/>
        <v>449664.72222222225</v>
      </c>
    </row>
    <row r="143" spans="2:23" x14ac:dyDescent="0.25">
      <c r="B143" s="50" t="s">
        <v>116</v>
      </c>
      <c r="D143" s="42">
        <f>SUM(D117:D124)</f>
        <v>148225.80396825398</v>
      </c>
      <c r="E143" s="42">
        <f t="shared" ref="E143:W143" si="32">SUM(E117:E124)</f>
        <v>472863.55342857138</v>
      </c>
      <c r="F143" s="42">
        <f t="shared" si="32"/>
        <v>715769.24697428569</v>
      </c>
      <c r="G143" s="42">
        <f t="shared" si="32"/>
        <v>1028949.0134753144</v>
      </c>
      <c r="H143" s="42">
        <f t="shared" si="32"/>
        <v>1429549.8683401546</v>
      </c>
      <c r="I143" s="42">
        <f t="shared" si="32"/>
        <v>1879972.9374678824</v>
      </c>
      <c r="J143" s="42">
        <f t="shared" si="32"/>
        <v>2309845.1401623632</v>
      </c>
      <c r="K143" s="42">
        <f t="shared" si="32"/>
        <v>2679542.4610463344</v>
      </c>
      <c r="L143" s="42">
        <f t="shared" si="32"/>
        <v>2906803.463993269</v>
      </c>
      <c r="M143" s="42">
        <f t="shared" si="32"/>
        <v>3142083.0900736623</v>
      </c>
      <c r="N143" s="42">
        <f t="shared" si="32"/>
        <v>3484998.4718242916</v>
      </c>
      <c r="O143" s="42">
        <f t="shared" si="32"/>
        <v>3554698.4412607765</v>
      </c>
      <c r="P143" s="42">
        <f t="shared" si="32"/>
        <v>3625792.410085992</v>
      </c>
      <c r="Q143" s="42">
        <f t="shared" si="32"/>
        <v>3698308.2582877125</v>
      </c>
      <c r="R143" s="42">
        <f t="shared" si="32"/>
        <v>3772274.423453466</v>
      </c>
      <c r="S143" s="42">
        <f t="shared" si="32"/>
        <v>3847719.9119225354</v>
      </c>
      <c r="T143" s="42">
        <f t="shared" si="32"/>
        <v>3924674.3101609866</v>
      </c>
      <c r="U143" s="42">
        <f t="shared" si="32"/>
        <v>4003167.7963642064</v>
      </c>
      <c r="V143" s="42">
        <f t="shared" si="32"/>
        <v>4083231.1522914902</v>
      </c>
      <c r="W143" s="42">
        <f t="shared" si="32"/>
        <v>4164895.7753373194</v>
      </c>
    </row>
    <row r="144" spans="2:23" x14ac:dyDescent="0.25">
      <c r="D144" s="3"/>
      <c r="E144" s="3"/>
      <c r="F144" s="3"/>
      <c r="G144" s="3"/>
      <c r="H144" s="3"/>
      <c r="I144" s="3"/>
      <c r="J144" s="3"/>
      <c r="K144" s="3"/>
      <c r="L144" s="3"/>
      <c r="M144" s="3"/>
      <c r="N144" s="3"/>
      <c r="O144" s="3"/>
      <c r="P144" s="3"/>
      <c r="Q144" s="3"/>
      <c r="R144" s="3"/>
      <c r="S144" s="3"/>
      <c r="T144" s="3"/>
      <c r="U144" s="3"/>
      <c r="V144" s="3"/>
      <c r="W144" s="3"/>
    </row>
    <row r="145" spans="1:23" x14ac:dyDescent="0.25">
      <c r="D145" s="39">
        <f>SUM(D142:D143)</f>
        <v>1824340.716666667</v>
      </c>
      <c r="E145" s="39">
        <f t="shared" ref="E145:W145" si="33">SUM(E142:E143)</f>
        <v>1915137.966126984</v>
      </c>
      <c r="F145" s="39">
        <f t="shared" si="33"/>
        <v>2150950.8025298412</v>
      </c>
      <c r="G145" s="39">
        <f t="shared" si="33"/>
        <v>2330729.7912530922</v>
      </c>
      <c r="H145" s="39">
        <f t="shared" si="33"/>
        <v>2561436.0350068212</v>
      </c>
      <c r="I145" s="39">
        <f t="shared" si="33"/>
        <v>2778018.6041345494</v>
      </c>
      <c r="J145" s="39">
        <f t="shared" si="33"/>
        <v>3007789.6401623632</v>
      </c>
      <c r="K145" s="39">
        <f t="shared" si="33"/>
        <v>3244086.1832685564</v>
      </c>
      <c r="L145" s="39">
        <f t="shared" si="33"/>
        <v>3471347.186215491</v>
      </c>
      <c r="M145" s="39">
        <f t="shared" si="33"/>
        <v>3706626.8122958848</v>
      </c>
      <c r="N145" s="39">
        <f t="shared" si="33"/>
        <v>3934663.1940465141</v>
      </c>
      <c r="O145" s="39">
        <f t="shared" si="33"/>
        <v>4004363.1634829985</v>
      </c>
      <c r="P145" s="39">
        <f t="shared" si="33"/>
        <v>4075457.132308214</v>
      </c>
      <c r="Q145" s="39">
        <f t="shared" si="33"/>
        <v>4147972.9805099349</v>
      </c>
      <c r="R145" s="39">
        <f t="shared" si="33"/>
        <v>4221939.1456756881</v>
      </c>
      <c r="S145" s="39">
        <f t="shared" si="33"/>
        <v>4297384.6341447579</v>
      </c>
      <c r="T145" s="39">
        <f t="shared" si="33"/>
        <v>4374339.0323832091</v>
      </c>
      <c r="U145" s="39">
        <f t="shared" si="33"/>
        <v>4452832.5185864288</v>
      </c>
      <c r="V145" s="39">
        <f t="shared" si="33"/>
        <v>4532895.8745137127</v>
      </c>
      <c r="W145" s="39">
        <f t="shared" si="33"/>
        <v>4614560.4975595418</v>
      </c>
    </row>
    <row r="147" spans="1:23" x14ac:dyDescent="0.25">
      <c r="A147" s="98" t="s">
        <v>32</v>
      </c>
      <c r="B147" s="98" t="s">
        <v>102</v>
      </c>
      <c r="C147" s="98" t="s">
        <v>88</v>
      </c>
      <c r="D147" s="97">
        <v>2021</v>
      </c>
      <c r="E147" s="98">
        <v>2022</v>
      </c>
      <c r="F147" s="97">
        <v>2023</v>
      </c>
      <c r="G147" s="98">
        <v>2024</v>
      </c>
      <c r="H147" s="97">
        <v>2025</v>
      </c>
      <c r="I147" s="98">
        <v>2026</v>
      </c>
      <c r="J147" s="97">
        <v>2027</v>
      </c>
      <c r="K147" s="98">
        <v>2028</v>
      </c>
      <c r="L147" s="97">
        <v>2029</v>
      </c>
      <c r="M147" s="98">
        <v>2030</v>
      </c>
      <c r="N147" s="97">
        <v>2031</v>
      </c>
      <c r="O147" s="98">
        <v>2032</v>
      </c>
      <c r="P147" s="97">
        <v>2033</v>
      </c>
      <c r="Q147" s="98">
        <v>2034</v>
      </c>
      <c r="R147" s="97">
        <v>2035</v>
      </c>
      <c r="S147" s="98">
        <v>2036</v>
      </c>
      <c r="T147" s="97">
        <v>2037</v>
      </c>
      <c r="U147" s="98">
        <v>2038</v>
      </c>
      <c r="V147" s="97">
        <v>2039</v>
      </c>
      <c r="W147" s="98">
        <v>2040</v>
      </c>
    </row>
    <row r="148" spans="1:23" x14ac:dyDescent="0.25">
      <c r="A148" s="46" t="s">
        <v>33</v>
      </c>
      <c r="B148" s="46" t="s">
        <v>57</v>
      </c>
      <c r="C148" s="135"/>
      <c r="D148" s="128">
        <f>IFERROR(INDEX(lifespans_all!D$158:D$212,MATCH($A148,lifespans_all!$A$158:$A$212,0))*INDEX(SR_mission_minutes!D$2:D$43,MATCH($A148,SR_mission_minutes!$A$2:$A$43)),"-")</f>
        <v>66700.388888888891</v>
      </c>
      <c r="E148" s="128">
        <f>IFERROR(INDEX(lifespans_all!E$80:E$126,MATCH($A148,lifespans_all!$A$80:$A$126,0))*INDEX(SR_mission_minutes!E$2:E$43,MATCH($A148,SR_mission_minutes!$A$2:$A$43)),"-")</f>
        <v>66700.388888888891</v>
      </c>
      <c r="F148" s="128">
        <f>IFERROR(INDEX(lifespans_all!F$80:F$126,MATCH($A148,lifespans_all!$A$80:$A$126,0))*INDEX(SR_mission_minutes!F$2:F$43,MATCH($A148,SR_mission_minutes!$A$2:$A$43)),"-")</f>
        <v>66700.388888888891</v>
      </c>
      <c r="G148" s="128">
        <f>IFERROR(INDEX(lifespans_all!G$80:G$126,MATCH($A148,lifespans_all!$A$80:$A$126,0))*INDEX(SR_mission_minutes!G$2:G$43,MATCH($A148,SR_mission_minutes!$A$2:$A$43)),"-")</f>
        <v>66700.388888888891</v>
      </c>
      <c r="H148" s="128">
        <f>IFERROR(INDEX(lifespans_all!H$80:H$126,MATCH($A148,lifespans_all!$A$80:$A$126,0))*INDEX(SR_mission_minutes!H$2:H$43,MATCH($A148,SR_mission_minutes!$A$2:$A$43)),"-")</f>
        <v>0</v>
      </c>
      <c r="I148" s="128">
        <f>IFERROR(INDEX(lifespans_all!I$80:I$126,MATCH($A148,lifespans_all!$A$80:$A$126,0))*INDEX(SR_mission_minutes!I$2:I$43,MATCH($A148,SR_mission_minutes!$A$2:$A$43)),"-")</f>
        <v>0</v>
      </c>
      <c r="J148" s="128">
        <f>IFERROR(INDEX(lifespans_all!J$80:J$126,MATCH($A148,lifespans_all!$A$80:$A$126,0))*INDEX(SR_mission_minutes!J$2:J$43,MATCH($A148,SR_mission_minutes!$A$2:$A$43)),"-")</f>
        <v>0</v>
      </c>
      <c r="K148" s="128">
        <f>IFERROR(INDEX(lifespans_all!K$80:K$126,MATCH($A148,lifespans_all!$A$80:$A$126,0))*INDEX(SR_mission_minutes!K$2:K$43,MATCH($A148,SR_mission_minutes!$A$2:$A$43)),"-")</f>
        <v>0</v>
      </c>
      <c r="L148" s="128">
        <f>IFERROR(INDEX(lifespans_all!L$80:L$126,MATCH($A148,lifespans_all!$A$80:$A$126,0))*INDEX(SR_mission_minutes!L$2:L$43,MATCH($A148,SR_mission_minutes!$A$2:$A$43)),"-")</f>
        <v>0</v>
      </c>
      <c r="M148" s="128">
        <f>IFERROR(INDEX(lifespans_all!M$80:M$126,MATCH($A148,lifespans_all!$A$80:$A$126,0))*INDEX(SR_mission_minutes!M$2:M$43,MATCH($A148,SR_mission_minutes!$A$2:$A$43)),"-")</f>
        <v>0</v>
      </c>
      <c r="N148" s="128">
        <f>IFERROR(INDEX(lifespans_all!N$80:N$126,MATCH($A148,lifespans_all!$A$80:$A$126,0))*INDEX(SR_mission_minutes!N$2:N$43,MATCH($A148,SR_mission_minutes!$A$2:$A$43)),"-")</f>
        <v>0</v>
      </c>
      <c r="O148" s="128">
        <f>IFERROR(INDEX(lifespans_all!O$80:O$126,MATCH($A148,lifespans_all!$A$80:$A$126,0))*INDEX(SR_mission_minutes!O$2:O$43,MATCH($A148,SR_mission_minutes!$A$2:$A$43)),"-")</f>
        <v>0</v>
      </c>
      <c r="P148" s="128">
        <f>IFERROR(INDEX(lifespans_all!P$80:P$126,MATCH($A148,lifespans_all!$A$80:$A$126,0))*INDEX(SR_mission_minutes!P$2:P$43,MATCH($A148,SR_mission_minutes!$A$2:$A$43)),"-")</f>
        <v>0</v>
      </c>
      <c r="Q148" s="128">
        <f>IFERROR(INDEX(lifespans_all!Q$80:Q$126,MATCH($A148,lifespans_all!$A$80:$A$126,0))*INDEX(SR_mission_minutes!Q$2:Q$43,MATCH($A148,SR_mission_minutes!$A$2:$A$43)),"-")</f>
        <v>0</v>
      </c>
      <c r="R148" s="128">
        <f>IFERROR(INDEX(lifespans_all!R$80:R$126,MATCH($A148,lifespans_all!$A$80:$A$126,0))*INDEX(SR_mission_minutes!R$2:R$43,MATCH($A148,SR_mission_minutes!$A$2:$A$43)),"-")</f>
        <v>0</v>
      </c>
      <c r="S148" s="128">
        <f>IFERROR(INDEX(lifespans_all!S$80:S$126,MATCH($A148,lifespans_all!$A$80:$A$126,0))*INDEX(SR_mission_minutes!S$2:S$43,MATCH($A148,SR_mission_minutes!$A$2:$A$43)),"-")</f>
        <v>0</v>
      </c>
      <c r="T148" s="128">
        <f>IFERROR(INDEX(lifespans_all!T$80:T$126,MATCH($A148,lifespans_all!$A$80:$A$126,0))*INDEX(SR_mission_minutes!T$2:T$43,MATCH($A148,SR_mission_minutes!$A$2:$A$43)),"-")</f>
        <v>0</v>
      </c>
      <c r="U148" s="128">
        <f>IFERROR(INDEX(lifespans_all!U$80:U$126,MATCH($A148,lifespans_all!$A$80:$A$126,0))*INDEX(SR_mission_minutes!U$2:U$43,MATCH($A148,SR_mission_minutes!$A$2:$A$43)),"-")</f>
        <v>0</v>
      </c>
      <c r="V148" s="128">
        <f>IFERROR(INDEX(lifespans_all!V$80:V$126,MATCH($A148,lifespans_all!$A$80:$A$126,0))*INDEX(SR_mission_minutes!V$2:V$43,MATCH($A148,SR_mission_minutes!$A$2:$A$43)),"-")</f>
        <v>0</v>
      </c>
      <c r="W148" s="128">
        <f>IFERROR(INDEX(lifespans_all!W$80:W$126,MATCH($A148,lifespans_all!$A$80:$A$126,0))*INDEX(SR_mission_minutes!W$2:W$43,MATCH($A148,SR_mission_minutes!$A$2:$A$43)),"-")</f>
        <v>0</v>
      </c>
    </row>
    <row r="149" spans="1:23" x14ac:dyDescent="0.25">
      <c r="A149" s="46" t="s">
        <v>65</v>
      </c>
      <c r="B149" s="46" t="s">
        <v>57</v>
      </c>
      <c r="C149" s="135"/>
      <c r="D149" s="128">
        <f>IFERROR(INDEX(lifespans_all!D$158:D$212,MATCH($A149,lifespans_all!$A$158:$A$212,0))*INDEX(SR_mission_minutes!D$2:D$43,MATCH($A149,SR_mission_minutes!$A$2:$A$43)),"-")</f>
        <v>66700.388888888891</v>
      </c>
      <c r="E149" s="128">
        <f>IFERROR(INDEX(lifespans_all!E$80:E$126,MATCH($A149,lifespans_all!$A$80:$A$126,0))*INDEX(SR_mission_minutes!E$2:E$43,MATCH($A149,SR_mission_minutes!$A$2:$A$43)),"-")</f>
        <v>66700.388888888891</v>
      </c>
      <c r="F149" s="128">
        <f>IFERROR(INDEX(lifespans_all!F$80:F$126,MATCH($A149,lifespans_all!$A$80:$A$126,0))*INDEX(SR_mission_minutes!F$2:F$43,MATCH($A149,SR_mission_minutes!$A$2:$A$43)),"-")</f>
        <v>66700.388888888891</v>
      </c>
      <c r="G149" s="128">
        <f>IFERROR(INDEX(lifespans_all!G$80:G$126,MATCH($A149,lifespans_all!$A$80:$A$126,0))*INDEX(SR_mission_minutes!G$2:G$43,MATCH($A149,SR_mission_minutes!$A$2:$A$43)),"-")</f>
        <v>66700.388888888891</v>
      </c>
      <c r="H149" s="128">
        <f>IFERROR(INDEX(lifespans_all!H$80:H$126,MATCH($A149,lifespans_all!$A$80:$A$126,0))*INDEX(SR_mission_minutes!H$2:H$43,MATCH($A149,SR_mission_minutes!$A$2:$A$43)),"-")</f>
        <v>66700.388888888891</v>
      </c>
      <c r="I149" s="128">
        <f>IFERROR(INDEX(lifespans_all!I$80:I$126,MATCH($A149,lifespans_all!$A$80:$A$126,0))*INDEX(SR_mission_minutes!I$2:I$43,MATCH($A149,SR_mission_minutes!$A$2:$A$43)),"-")</f>
        <v>66700.388888888891</v>
      </c>
      <c r="J149" s="128">
        <f>IFERROR(INDEX(lifespans_all!J$80:J$126,MATCH($A149,lifespans_all!$A$80:$A$126,0))*INDEX(SR_mission_minutes!J$2:J$43,MATCH($A149,SR_mission_minutes!$A$2:$A$43)),"-")</f>
        <v>0</v>
      </c>
      <c r="K149" s="128">
        <f>IFERROR(INDEX(lifespans_all!K$80:K$126,MATCH($A149,lifespans_all!$A$80:$A$126,0))*INDEX(SR_mission_minutes!K$2:K$43,MATCH($A149,SR_mission_minutes!$A$2:$A$43)),"-")</f>
        <v>0</v>
      </c>
      <c r="L149" s="128">
        <f>IFERROR(INDEX(lifespans_all!L$80:L$126,MATCH($A149,lifespans_all!$A$80:$A$126,0))*INDEX(SR_mission_minutes!L$2:L$43,MATCH($A149,SR_mission_minutes!$A$2:$A$43)),"-")</f>
        <v>0</v>
      </c>
      <c r="M149" s="128">
        <f>IFERROR(INDEX(lifespans_all!M$80:M$126,MATCH($A149,lifespans_all!$A$80:$A$126,0))*INDEX(SR_mission_minutes!M$2:M$43,MATCH($A149,SR_mission_minutes!$A$2:$A$43)),"-")</f>
        <v>0</v>
      </c>
      <c r="N149" s="128">
        <f>IFERROR(INDEX(lifespans_all!N$80:N$126,MATCH($A149,lifespans_all!$A$80:$A$126,0))*INDEX(SR_mission_minutes!N$2:N$43,MATCH($A149,SR_mission_minutes!$A$2:$A$43)),"-")</f>
        <v>0</v>
      </c>
      <c r="O149" s="128">
        <f>IFERROR(INDEX(lifespans_all!O$80:O$126,MATCH($A149,lifespans_all!$A$80:$A$126,0))*INDEX(SR_mission_minutes!O$2:O$43,MATCH($A149,SR_mission_minutes!$A$2:$A$43)),"-")</f>
        <v>0</v>
      </c>
      <c r="P149" s="128">
        <f>IFERROR(INDEX(lifespans_all!P$80:P$126,MATCH($A149,lifespans_all!$A$80:$A$126,0))*INDEX(SR_mission_minutes!P$2:P$43,MATCH($A149,SR_mission_minutes!$A$2:$A$43)),"-")</f>
        <v>0</v>
      </c>
      <c r="Q149" s="128">
        <f>IFERROR(INDEX(lifespans_all!Q$80:Q$126,MATCH($A149,lifespans_all!$A$80:$A$126,0))*INDEX(SR_mission_minutes!Q$2:Q$43,MATCH($A149,SR_mission_minutes!$A$2:$A$43)),"-")</f>
        <v>0</v>
      </c>
      <c r="R149" s="128">
        <f>IFERROR(INDEX(lifespans_all!R$80:R$126,MATCH($A149,lifespans_all!$A$80:$A$126,0))*INDEX(SR_mission_minutes!R$2:R$43,MATCH($A149,SR_mission_minutes!$A$2:$A$43)),"-")</f>
        <v>0</v>
      </c>
      <c r="S149" s="128">
        <f>IFERROR(INDEX(lifespans_all!S$80:S$126,MATCH($A149,lifespans_all!$A$80:$A$126,0))*INDEX(SR_mission_minutes!S$2:S$43,MATCH($A149,SR_mission_minutes!$A$2:$A$43)),"-")</f>
        <v>0</v>
      </c>
      <c r="T149" s="128">
        <f>IFERROR(INDEX(lifespans_all!T$80:T$126,MATCH($A149,lifespans_all!$A$80:$A$126,0))*INDEX(SR_mission_minutes!T$2:T$43,MATCH($A149,SR_mission_minutes!$A$2:$A$43)),"-")</f>
        <v>0</v>
      </c>
      <c r="U149" s="128">
        <f>IFERROR(INDEX(lifespans_all!U$80:U$126,MATCH($A149,lifespans_all!$A$80:$A$126,0))*INDEX(SR_mission_minutes!U$2:U$43,MATCH($A149,SR_mission_minutes!$A$2:$A$43)),"-")</f>
        <v>0</v>
      </c>
      <c r="V149" s="128">
        <f>IFERROR(INDEX(lifespans_all!V$80:V$126,MATCH($A149,lifespans_all!$A$80:$A$126,0))*INDEX(SR_mission_minutes!V$2:V$43,MATCH($A149,SR_mission_minutes!$A$2:$A$43)),"-")</f>
        <v>0</v>
      </c>
      <c r="W149" s="128">
        <f>IFERROR(INDEX(lifespans_all!W$80:W$126,MATCH($A149,lifespans_all!$A$80:$A$126,0))*INDEX(SR_mission_minutes!W$2:W$43,MATCH($A149,SR_mission_minutes!$A$2:$A$43)),"-")</f>
        <v>0</v>
      </c>
    </row>
    <row r="150" spans="1:23" x14ac:dyDescent="0.25">
      <c r="A150" s="46" t="s">
        <v>67</v>
      </c>
      <c r="B150" s="46" t="s">
        <v>58</v>
      </c>
      <c r="C150" s="135"/>
      <c r="D150" s="128">
        <f>IFERROR(INDEX(lifespans_all!D$158:D$212,MATCH($A150,lifespans_all!$A$158:$A$212,0))*INDEX(SR_mission_minutes!D$2:D$43,MATCH($A150,SR_mission_minutes!$A$2:$A$43)),"-")</f>
        <v>2294</v>
      </c>
      <c r="E150" s="128">
        <f>IFERROR(INDEX(lifespans_all!E$80:E$126,MATCH($A150,lifespans_all!$A$80:$A$126,0))*INDEX(SR_mission_minutes!E$2:E$43,MATCH($A150,SR_mission_minutes!$A$2:$A$43)),"-")</f>
        <v>2294</v>
      </c>
      <c r="F150" s="128">
        <f>IFERROR(INDEX(lifespans_all!F$80:F$126,MATCH($A150,lifespans_all!$A$80:$A$126,0))*INDEX(SR_mission_minutes!F$2:F$43,MATCH($A150,SR_mission_minutes!$A$2:$A$43)),"-")</f>
        <v>2294</v>
      </c>
      <c r="G150" s="128">
        <f>IFERROR(INDEX(lifespans_all!G$80:G$126,MATCH($A150,lifespans_all!$A$80:$A$126,0))*INDEX(SR_mission_minutes!G$2:G$43,MATCH($A150,SR_mission_minutes!$A$2:$A$43)),"-")</f>
        <v>2294</v>
      </c>
      <c r="H150" s="128">
        <f>IFERROR(INDEX(lifespans_all!H$80:H$126,MATCH($A150,lifespans_all!$A$80:$A$126,0))*INDEX(SR_mission_minutes!H$2:H$43,MATCH($A150,SR_mission_minutes!$A$2:$A$43)),"-")</f>
        <v>0</v>
      </c>
      <c r="I150" s="128">
        <f>IFERROR(INDEX(lifespans_all!I$80:I$126,MATCH($A150,lifespans_all!$A$80:$A$126,0))*INDEX(SR_mission_minutes!I$2:I$43,MATCH($A150,SR_mission_minutes!$A$2:$A$43)),"-")</f>
        <v>0</v>
      </c>
      <c r="J150" s="128">
        <f>IFERROR(INDEX(lifespans_all!J$80:J$126,MATCH($A150,lifespans_all!$A$80:$A$126,0))*INDEX(SR_mission_minutes!J$2:J$43,MATCH($A150,SR_mission_minutes!$A$2:$A$43)),"-")</f>
        <v>0</v>
      </c>
      <c r="K150" s="128">
        <f>IFERROR(INDEX(lifespans_all!K$80:K$126,MATCH($A150,lifespans_all!$A$80:$A$126,0))*INDEX(SR_mission_minutes!K$2:K$43,MATCH($A150,SR_mission_minutes!$A$2:$A$43)),"-")</f>
        <v>0</v>
      </c>
      <c r="L150" s="128">
        <f>IFERROR(INDEX(lifespans_all!L$80:L$126,MATCH($A150,lifespans_all!$A$80:$A$126,0))*INDEX(SR_mission_minutes!L$2:L$43,MATCH($A150,SR_mission_minutes!$A$2:$A$43)),"-")</f>
        <v>0</v>
      </c>
      <c r="M150" s="128">
        <f>IFERROR(INDEX(lifespans_all!M$80:M$126,MATCH($A150,lifespans_all!$A$80:$A$126,0))*INDEX(SR_mission_minutes!M$2:M$43,MATCH($A150,SR_mission_minutes!$A$2:$A$43)),"-")</f>
        <v>0</v>
      </c>
      <c r="N150" s="128">
        <f>IFERROR(INDEX(lifespans_all!N$80:N$126,MATCH($A150,lifespans_all!$A$80:$A$126,0))*INDEX(SR_mission_minutes!N$2:N$43,MATCH($A150,SR_mission_minutes!$A$2:$A$43)),"-")</f>
        <v>0</v>
      </c>
      <c r="O150" s="128">
        <f>IFERROR(INDEX(lifespans_all!O$80:O$126,MATCH($A150,lifespans_all!$A$80:$A$126,0))*INDEX(SR_mission_minutes!O$2:O$43,MATCH($A150,SR_mission_minutes!$A$2:$A$43)),"-")</f>
        <v>0</v>
      </c>
      <c r="P150" s="128">
        <f>IFERROR(INDEX(lifespans_all!P$80:P$126,MATCH($A150,lifespans_all!$A$80:$A$126,0))*INDEX(SR_mission_minutes!P$2:P$43,MATCH($A150,SR_mission_minutes!$A$2:$A$43)),"-")</f>
        <v>0</v>
      </c>
      <c r="Q150" s="128">
        <f>IFERROR(INDEX(lifespans_all!Q$80:Q$126,MATCH($A150,lifespans_all!$A$80:$A$126,0))*INDEX(SR_mission_minutes!Q$2:Q$43,MATCH($A150,SR_mission_minutes!$A$2:$A$43)),"-")</f>
        <v>0</v>
      </c>
      <c r="R150" s="128">
        <f>IFERROR(INDEX(lifespans_all!R$80:R$126,MATCH($A150,lifespans_all!$A$80:$A$126,0))*INDEX(SR_mission_minutes!R$2:R$43,MATCH($A150,SR_mission_minutes!$A$2:$A$43)),"-")</f>
        <v>0</v>
      </c>
      <c r="S150" s="128">
        <f>IFERROR(INDEX(lifespans_all!S$80:S$126,MATCH($A150,lifespans_all!$A$80:$A$126,0))*INDEX(SR_mission_minutes!S$2:S$43,MATCH($A150,SR_mission_minutes!$A$2:$A$43)),"-")</f>
        <v>0</v>
      </c>
      <c r="T150" s="128">
        <f>IFERROR(INDEX(lifespans_all!T$80:T$126,MATCH($A150,lifespans_all!$A$80:$A$126,0))*INDEX(SR_mission_minutes!T$2:T$43,MATCH($A150,SR_mission_minutes!$A$2:$A$43)),"-")</f>
        <v>0</v>
      </c>
      <c r="U150" s="128">
        <f>IFERROR(INDEX(lifespans_all!U$80:U$126,MATCH($A150,lifespans_all!$A$80:$A$126,0))*INDEX(SR_mission_minutes!U$2:U$43,MATCH($A150,SR_mission_minutes!$A$2:$A$43)),"-")</f>
        <v>0</v>
      </c>
      <c r="V150" s="128">
        <f>IFERROR(INDEX(lifespans_all!V$80:V$126,MATCH($A150,lifespans_all!$A$80:$A$126,0))*INDEX(SR_mission_minutes!V$2:V$43,MATCH($A150,SR_mission_minutes!$A$2:$A$43)),"-")</f>
        <v>0</v>
      </c>
      <c r="W150" s="128">
        <f>IFERROR(INDEX(lifespans_all!W$80:W$126,MATCH($A150,lifespans_all!$A$80:$A$126,0))*INDEX(SR_mission_minutes!W$2:W$43,MATCH($A150,SR_mission_minutes!$A$2:$A$43)),"-")</f>
        <v>0</v>
      </c>
    </row>
    <row r="151" spans="1:23" x14ac:dyDescent="0.25">
      <c r="A151" s="46" t="s">
        <v>68</v>
      </c>
      <c r="B151" s="46" t="s">
        <v>57</v>
      </c>
      <c r="C151" s="135"/>
      <c r="D151" s="128">
        <f>IFERROR(INDEX(lifespans_all!D$158:D$212,MATCH($A151,lifespans_all!$A$158:$A$212,0))*INDEX(SR_mission_minutes!D$2:D$43,MATCH($A151,SR_mission_minutes!$A$2:$A$43)),"-")</f>
        <v>66700.388888888891</v>
      </c>
      <c r="E151" s="128">
        <f>IFERROR(INDEX(lifespans_all!E$80:E$126,MATCH($A151,lifespans_all!$A$80:$A$126,0))*INDEX(SR_mission_minutes!E$2:E$43,MATCH($A151,SR_mission_minutes!$A$2:$A$43)),"-")</f>
        <v>66700.388888888891</v>
      </c>
      <c r="F151" s="128">
        <f>IFERROR(INDEX(lifespans_all!F$80:F$126,MATCH($A151,lifespans_all!$A$80:$A$126,0))*INDEX(SR_mission_minutes!F$2:F$43,MATCH($A151,SR_mission_minutes!$A$2:$A$43)),"-")</f>
        <v>66700.388888888891</v>
      </c>
      <c r="G151" s="128">
        <f>IFERROR(INDEX(lifespans_all!G$80:G$126,MATCH($A151,lifespans_all!$A$80:$A$126,0))*INDEX(SR_mission_minutes!G$2:G$43,MATCH($A151,SR_mission_minutes!$A$2:$A$43)),"-")</f>
        <v>66700.388888888891</v>
      </c>
      <c r="H151" s="128">
        <f>IFERROR(INDEX(lifespans_all!H$80:H$126,MATCH($A151,lifespans_all!$A$80:$A$126,0))*INDEX(SR_mission_minutes!H$2:H$43,MATCH($A151,SR_mission_minutes!$A$2:$A$43)),"-")</f>
        <v>66700.388888888891</v>
      </c>
      <c r="I151" s="128">
        <f>IFERROR(INDEX(lifespans_all!I$80:I$126,MATCH($A151,lifespans_all!$A$80:$A$126,0))*INDEX(SR_mission_minutes!I$2:I$43,MATCH($A151,SR_mission_minutes!$A$2:$A$43)),"-")</f>
        <v>66700.388888888891</v>
      </c>
      <c r="J151" s="128">
        <f>IFERROR(INDEX(lifespans_all!J$80:J$126,MATCH($A151,lifespans_all!$A$80:$A$126,0))*INDEX(SR_mission_minutes!J$2:J$43,MATCH($A151,SR_mission_minutes!$A$2:$A$43)),"-")</f>
        <v>0</v>
      </c>
      <c r="K151" s="128">
        <f>IFERROR(INDEX(lifespans_all!K$80:K$126,MATCH($A151,lifespans_all!$A$80:$A$126,0))*INDEX(SR_mission_minutes!K$2:K$43,MATCH($A151,SR_mission_minutes!$A$2:$A$43)),"-")</f>
        <v>0</v>
      </c>
      <c r="L151" s="128">
        <f>IFERROR(INDEX(lifespans_all!L$80:L$126,MATCH($A151,lifespans_all!$A$80:$A$126,0))*INDEX(SR_mission_minutes!L$2:L$43,MATCH($A151,SR_mission_minutes!$A$2:$A$43)),"-")</f>
        <v>0</v>
      </c>
      <c r="M151" s="128">
        <f>IFERROR(INDEX(lifespans_all!M$80:M$126,MATCH($A151,lifespans_all!$A$80:$A$126,0))*INDEX(SR_mission_minutes!M$2:M$43,MATCH($A151,SR_mission_minutes!$A$2:$A$43)),"-")</f>
        <v>0</v>
      </c>
      <c r="N151" s="128">
        <f>IFERROR(INDEX(lifespans_all!N$80:N$126,MATCH($A151,lifespans_all!$A$80:$A$126,0))*INDEX(SR_mission_minutes!N$2:N$43,MATCH($A151,SR_mission_minutes!$A$2:$A$43)),"-")</f>
        <v>0</v>
      </c>
      <c r="O151" s="128">
        <f>IFERROR(INDEX(lifespans_all!O$80:O$126,MATCH($A151,lifespans_all!$A$80:$A$126,0))*INDEX(SR_mission_minutes!O$2:O$43,MATCH($A151,SR_mission_minutes!$A$2:$A$43)),"-")</f>
        <v>0</v>
      </c>
      <c r="P151" s="128">
        <f>IFERROR(INDEX(lifespans_all!P$80:P$126,MATCH($A151,lifespans_all!$A$80:$A$126,0))*INDEX(SR_mission_minutes!P$2:P$43,MATCH($A151,SR_mission_minutes!$A$2:$A$43)),"-")</f>
        <v>0</v>
      </c>
      <c r="Q151" s="128">
        <f>IFERROR(INDEX(lifespans_all!Q$80:Q$126,MATCH($A151,lifespans_all!$A$80:$A$126,0))*INDEX(SR_mission_minutes!Q$2:Q$43,MATCH($A151,SR_mission_minutes!$A$2:$A$43)),"-")</f>
        <v>0</v>
      </c>
      <c r="R151" s="128">
        <f>IFERROR(INDEX(lifespans_all!R$80:R$126,MATCH($A151,lifespans_all!$A$80:$A$126,0))*INDEX(SR_mission_minutes!R$2:R$43,MATCH($A151,SR_mission_minutes!$A$2:$A$43)),"-")</f>
        <v>0</v>
      </c>
      <c r="S151" s="128">
        <f>IFERROR(INDEX(lifespans_all!S$80:S$126,MATCH($A151,lifespans_all!$A$80:$A$126,0))*INDEX(SR_mission_minutes!S$2:S$43,MATCH($A151,SR_mission_minutes!$A$2:$A$43)),"-")</f>
        <v>0</v>
      </c>
      <c r="T151" s="128">
        <f>IFERROR(INDEX(lifespans_all!T$80:T$126,MATCH($A151,lifespans_all!$A$80:$A$126,0))*INDEX(SR_mission_minutes!T$2:T$43,MATCH($A151,SR_mission_minutes!$A$2:$A$43)),"-")</f>
        <v>0</v>
      </c>
      <c r="U151" s="128">
        <f>IFERROR(INDEX(lifespans_all!U$80:U$126,MATCH($A151,lifespans_all!$A$80:$A$126,0))*INDEX(SR_mission_minutes!U$2:U$43,MATCH($A151,SR_mission_minutes!$A$2:$A$43)),"-")</f>
        <v>0</v>
      </c>
      <c r="V151" s="128">
        <f>IFERROR(INDEX(lifespans_all!V$80:V$126,MATCH($A151,lifespans_all!$A$80:$A$126,0))*INDEX(SR_mission_minutes!V$2:V$43,MATCH($A151,SR_mission_minutes!$A$2:$A$43)),"-")</f>
        <v>0</v>
      </c>
      <c r="W151" s="128">
        <f>IFERROR(INDEX(lifespans_all!W$80:W$126,MATCH($A151,lifespans_all!$A$80:$A$126,0))*INDEX(SR_mission_minutes!W$2:W$43,MATCH($A151,SR_mission_minutes!$A$2:$A$43)),"-")</f>
        <v>0</v>
      </c>
    </row>
    <row r="152" spans="1:23" x14ac:dyDescent="0.25">
      <c r="A152" s="46" t="s">
        <v>34</v>
      </c>
      <c r="B152" s="46" t="s">
        <v>64</v>
      </c>
      <c r="C152" s="135"/>
      <c r="D152" s="128" t="str">
        <f>IFERROR(INDEX(lifespans_all!D$158:D$212,MATCH($A152,lifespans_all!$A$158:$A$212,0))*INDEX(SR_mission_minutes!D$2:D$43,MATCH($A152,SR_mission_minutes!$A$2:$A$43)),"-")</f>
        <v>-</v>
      </c>
      <c r="E152" s="128" t="str">
        <f>IFERROR(INDEX(lifespans_all!E$80:E$126,MATCH($A152,lifespans_all!$A$80:$A$126,0))*INDEX(SR_mission_minutes!E$2:E$43,MATCH($A152,SR_mission_minutes!$A$2:$A$43)),"-")</f>
        <v>-</v>
      </c>
      <c r="F152" s="128" t="str">
        <f>IFERROR(INDEX(lifespans_all!F$80:F$126,MATCH($A152,lifespans_all!$A$80:$A$126,0))*INDEX(SR_mission_minutes!F$2:F$43,MATCH($A152,SR_mission_minutes!$A$2:$A$43)),"-")</f>
        <v>-</v>
      </c>
      <c r="G152" s="128" t="str">
        <f>IFERROR(INDEX(lifespans_all!G$80:G$126,MATCH($A152,lifespans_all!$A$80:$A$126,0))*INDEX(SR_mission_minutes!G$2:G$43,MATCH($A152,SR_mission_minutes!$A$2:$A$43)),"-")</f>
        <v>-</v>
      </c>
      <c r="H152" s="128" t="str">
        <f>IFERROR(INDEX(lifespans_all!H$80:H$126,MATCH($A152,lifespans_all!$A$80:$A$126,0))*INDEX(SR_mission_minutes!H$2:H$43,MATCH($A152,SR_mission_minutes!$A$2:$A$43)),"-")</f>
        <v>-</v>
      </c>
      <c r="I152" s="128" t="str">
        <f>IFERROR(INDEX(lifespans_all!I$80:I$126,MATCH($A152,lifespans_all!$A$80:$A$126,0))*INDEX(SR_mission_minutes!I$2:I$43,MATCH($A152,SR_mission_minutes!$A$2:$A$43)),"-")</f>
        <v>-</v>
      </c>
      <c r="J152" s="128" t="str">
        <f>IFERROR(INDEX(lifespans_all!J$80:J$126,MATCH($A152,lifespans_all!$A$80:$A$126,0))*INDEX(SR_mission_minutes!J$2:J$43,MATCH($A152,SR_mission_minutes!$A$2:$A$43)),"-")</f>
        <v>-</v>
      </c>
      <c r="K152" s="128" t="str">
        <f>IFERROR(INDEX(lifespans_all!K$80:K$126,MATCH($A152,lifespans_all!$A$80:$A$126,0))*INDEX(SR_mission_minutes!K$2:K$43,MATCH($A152,SR_mission_minutes!$A$2:$A$43)),"-")</f>
        <v>-</v>
      </c>
      <c r="L152" s="128" t="str">
        <f>IFERROR(INDEX(lifespans_all!L$80:L$126,MATCH($A152,lifespans_all!$A$80:$A$126,0))*INDEX(SR_mission_minutes!L$2:L$43,MATCH($A152,SR_mission_minutes!$A$2:$A$43)),"-")</f>
        <v>-</v>
      </c>
      <c r="M152" s="128" t="str">
        <f>IFERROR(INDEX(lifespans_all!M$80:M$126,MATCH($A152,lifespans_all!$A$80:$A$126,0))*INDEX(SR_mission_minutes!M$2:M$43,MATCH($A152,SR_mission_minutes!$A$2:$A$43)),"-")</f>
        <v>-</v>
      </c>
      <c r="N152" s="128" t="str">
        <f>IFERROR(INDEX(lifespans_all!N$80:N$126,MATCH($A152,lifespans_all!$A$80:$A$126,0))*INDEX(SR_mission_minutes!N$2:N$43,MATCH($A152,SR_mission_minutes!$A$2:$A$43)),"-")</f>
        <v>-</v>
      </c>
      <c r="O152" s="128" t="str">
        <f>IFERROR(INDEX(lifespans_all!O$80:O$126,MATCH($A152,lifespans_all!$A$80:$A$126,0))*INDEX(SR_mission_minutes!O$2:O$43,MATCH($A152,SR_mission_minutes!$A$2:$A$43)),"-")</f>
        <v>-</v>
      </c>
      <c r="P152" s="128" t="str">
        <f>IFERROR(INDEX(lifespans_all!P$80:P$126,MATCH($A152,lifespans_all!$A$80:$A$126,0))*INDEX(SR_mission_minutes!P$2:P$43,MATCH($A152,SR_mission_minutes!$A$2:$A$43)),"-")</f>
        <v>-</v>
      </c>
      <c r="Q152" s="128" t="str">
        <f>IFERROR(INDEX(lifespans_all!Q$80:Q$126,MATCH($A152,lifespans_all!$A$80:$A$126,0))*INDEX(SR_mission_minutes!Q$2:Q$43,MATCH($A152,SR_mission_minutes!$A$2:$A$43)),"-")</f>
        <v>-</v>
      </c>
      <c r="R152" s="128" t="str">
        <f>IFERROR(INDEX(lifespans_all!R$80:R$126,MATCH($A152,lifespans_all!$A$80:$A$126,0))*INDEX(SR_mission_minutes!R$2:R$43,MATCH($A152,SR_mission_minutes!$A$2:$A$43)),"-")</f>
        <v>-</v>
      </c>
      <c r="S152" s="128" t="str">
        <f>IFERROR(INDEX(lifespans_all!S$80:S$126,MATCH($A152,lifespans_all!$A$80:$A$126,0))*INDEX(SR_mission_minutes!S$2:S$43,MATCH($A152,SR_mission_minutes!$A$2:$A$43)),"-")</f>
        <v>-</v>
      </c>
      <c r="T152" s="128" t="str">
        <f>IFERROR(INDEX(lifespans_all!T$80:T$126,MATCH($A152,lifespans_all!$A$80:$A$126,0))*INDEX(SR_mission_minutes!T$2:T$43,MATCH($A152,SR_mission_minutes!$A$2:$A$43)),"-")</f>
        <v>-</v>
      </c>
      <c r="U152" s="128" t="str">
        <f>IFERROR(INDEX(lifespans_all!U$80:U$126,MATCH($A152,lifespans_all!$A$80:$A$126,0))*INDEX(SR_mission_minutes!U$2:U$43,MATCH($A152,SR_mission_minutes!$A$2:$A$43)),"-")</f>
        <v>-</v>
      </c>
      <c r="V152" s="128" t="str">
        <f>IFERROR(INDEX(lifespans_all!V$80:V$126,MATCH($A152,lifespans_all!$A$80:$A$126,0))*INDEX(SR_mission_minutes!V$2:V$43,MATCH($A152,SR_mission_minutes!$A$2:$A$43)),"-")</f>
        <v>-</v>
      </c>
      <c r="W152" s="128" t="str">
        <f>IFERROR(INDEX(lifespans_all!W$80:W$126,MATCH($A152,lifespans_all!$A$80:$A$126,0))*INDEX(SR_mission_minutes!W$2:W$43,MATCH($A152,SR_mission_minutes!$A$2:$A$43)),"-")</f>
        <v>-</v>
      </c>
    </row>
    <row r="153" spans="1:23" x14ac:dyDescent="0.25">
      <c r="A153" s="46" t="s">
        <v>71</v>
      </c>
      <c r="B153" s="46" t="s">
        <v>58</v>
      </c>
      <c r="C153" s="135"/>
      <c r="D153" s="128">
        <f>IFERROR(INDEX(lifespans_all!D$158:D$212,MATCH($A153,lifespans_all!$A$158:$A$212,0))*INDEX(SR_mission_minutes!D$2:D$43,MATCH($A153,SR_mission_minutes!$A$2:$A$43)),"-")</f>
        <v>2294</v>
      </c>
      <c r="E153" s="128">
        <f>IFERROR(INDEX(lifespans_all!E$80:E$126,MATCH($A153,lifespans_all!$A$80:$A$126,0))*INDEX(SR_mission_minutes!E$2:E$43,MATCH($A153,SR_mission_minutes!$A$2:$A$43)),"-")</f>
        <v>2294</v>
      </c>
      <c r="F153" s="128">
        <f>IFERROR(INDEX(lifespans_all!F$80:F$126,MATCH($A153,lifespans_all!$A$80:$A$126,0))*INDEX(SR_mission_minutes!F$2:F$43,MATCH($A153,SR_mission_minutes!$A$2:$A$43)),"-")</f>
        <v>2294</v>
      </c>
      <c r="G153" s="128">
        <f>IFERROR(INDEX(lifespans_all!G$80:G$126,MATCH($A153,lifespans_all!$A$80:$A$126,0))*INDEX(SR_mission_minutes!G$2:G$43,MATCH($A153,SR_mission_minutes!$A$2:$A$43)),"-")</f>
        <v>2294</v>
      </c>
      <c r="H153" s="128">
        <f>IFERROR(INDEX(lifespans_all!H$80:H$126,MATCH($A153,lifespans_all!$A$80:$A$126,0))*INDEX(SR_mission_minutes!H$2:H$43,MATCH($A153,SR_mission_minutes!$A$2:$A$43)),"-")</f>
        <v>2294</v>
      </c>
      <c r="I153" s="128">
        <f>IFERROR(INDEX(lifespans_all!I$80:I$126,MATCH($A153,lifespans_all!$A$80:$A$126,0))*INDEX(SR_mission_minutes!I$2:I$43,MATCH($A153,SR_mission_minutes!$A$2:$A$43)),"-")</f>
        <v>2294</v>
      </c>
      <c r="J153" s="128">
        <f>IFERROR(INDEX(lifespans_all!J$80:J$126,MATCH($A153,lifespans_all!$A$80:$A$126,0))*INDEX(SR_mission_minutes!J$2:J$43,MATCH($A153,SR_mission_minutes!$A$2:$A$43)),"-")</f>
        <v>2294</v>
      </c>
      <c r="K153" s="128">
        <f>IFERROR(INDEX(lifespans_all!K$80:K$126,MATCH($A153,lifespans_all!$A$80:$A$126,0))*INDEX(SR_mission_minutes!K$2:K$43,MATCH($A153,SR_mission_minutes!$A$2:$A$43)),"-")</f>
        <v>2294</v>
      </c>
      <c r="L153" s="128">
        <f>IFERROR(INDEX(lifespans_all!L$80:L$126,MATCH($A153,lifespans_all!$A$80:$A$126,0))*INDEX(SR_mission_minutes!L$2:L$43,MATCH($A153,SR_mission_minutes!$A$2:$A$43)),"-")</f>
        <v>2294</v>
      </c>
      <c r="M153" s="128">
        <f>IFERROR(INDEX(lifespans_all!M$80:M$126,MATCH($A153,lifespans_all!$A$80:$A$126,0))*INDEX(SR_mission_minutes!M$2:M$43,MATCH($A153,SR_mission_minutes!$A$2:$A$43)),"-")</f>
        <v>2294</v>
      </c>
      <c r="N153" s="128">
        <f>IFERROR(INDEX(lifespans_all!N$80:N$126,MATCH($A153,lifespans_all!$A$80:$A$126,0))*INDEX(SR_mission_minutes!N$2:N$43,MATCH($A153,SR_mission_minutes!$A$2:$A$43)),"-")</f>
        <v>2294</v>
      </c>
      <c r="O153" s="128">
        <f>IFERROR(INDEX(lifespans_all!O$80:O$126,MATCH($A153,lifespans_all!$A$80:$A$126,0))*INDEX(SR_mission_minutes!O$2:O$43,MATCH($A153,SR_mission_minutes!$A$2:$A$43)),"-")</f>
        <v>2294</v>
      </c>
      <c r="P153" s="128">
        <f>IFERROR(INDEX(lifespans_all!P$80:P$126,MATCH($A153,lifespans_all!$A$80:$A$126,0))*INDEX(SR_mission_minutes!P$2:P$43,MATCH($A153,SR_mission_minutes!$A$2:$A$43)),"-")</f>
        <v>2294</v>
      </c>
      <c r="Q153" s="128">
        <f>IFERROR(INDEX(lifespans_all!Q$80:Q$126,MATCH($A153,lifespans_all!$A$80:$A$126,0))*INDEX(SR_mission_minutes!Q$2:Q$43,MATCH($A153,SR_mission_minutes!$A$2:$A$43)),"-")</f>
        <v>2294</v>
      </c>
      <c r="R153" s="128">
        <f>IFERROR(INDEX(lifespans_all!R$80:R$126,MATCH($A153,lifespans_all!$A$80:$A$126,0))*INDEX(SR_mission_minutes!R$2:R$43,MATCH($A153,SR_mission_minutes!$A$2:$A$43)),"-")</f>
        <v>2294</v>
      </c>
      <c r="S153" s="128">
        <f>IFERROR(INDEX(lifespans_all!S$80:S$126,MATCH($A153,lifespans_all!$A$80:$A$126,0))*INDEX(SR_mission_minutes!S$2:S$43,MATCH($A153,SR_mission_minutes!$A$2:$A$43)),"-")</f>
        <v>2294</v>
      </c>
      <c r="T153" s="128">
        <f>IFERROR(INDEX(lifespans_all!T$80:T$126,MATCH($A153,lifespans_all!$A$80:$A$126,0))*INDEX(SR_mission_minutes!T$2:T$43,MATCH($A153,SR_mission_minutes!$A$2:$A$43)),"-")</f>
        <v>2294</v>
      </c>
      <c r="U153" s="128">
        <f>IFERROR(INDEX(lifespans_all!U$80:U$126,MATCH($A153,lifespans_all!$A$80:$A$126,0))*INDEX(SR_mission_minutes!U$2:U$43,MATCH($A153,SR_mission_minutes!$A$2:$A$43)),"-")</f>
        <v>2294</v>
      </c>
      <c r="V153" s="128">
        <f>IFERROR(INDEX(lifespans_all!V$80:V$126,MATCH($A153,lifespans_all!$A$80:$A$126,0))*INDEX(SR_mission_minutes!V$2:V$43,MATCH($A153,SR_mission_minutes!$A$2:$A$43)),"-")</f>
        <v>2294</v>
      </c>
      <c r="W153" s="128">
        <f>IFERROR(INDEX(lifespans_all!W$80:W$126,MATCH($A153,lifespans_all!$A$80:$A$126,0))*INDEX(SR_mission_minutes!W$2:W$43,MATCH($A153,SR_mission_minutes!$A$2:$A$43)),"-")</f>
        <v>2294</v>
      </c>
    </row>
    <row r="154" spans="1:23" x14ac:dyDescent="0.25">
      <c r="A154" s="46" t="s">
        <v>72</v>
      </c>
      <c r="B154" s="46" t="s">
        <v>59</v>
      </c>
      <c r="C154" s="135"/>
      <c r="D154" s="128">
        <f>IFERROR(INDEX(lifespans_all!D$158:D$212,MATCH($A154,lifespans_all!$A$158:$A$212,0))*INDEX(SR_mission_minutes!D$2:D$43,MATCH($A154,SR_mission_minutes!$A$2:$A$43)),"-")</f>
        <v>114879</v>
      </c>
      <c r="E154" s="128">
        <f>IFERROR(INDEX(lifespans_all!E$80:E$126,MATCH($A154,lifespans_all!$A$80:$A$126,0))*INDEX(SR_mission_minutes!E$2:E$43,MATCH($A154,SR_mission_minutes!$A$2:$A$43)),"-")</f>
        <v>114879</v>
      </c>
      <c r="F154" s="128">
        <f>IFERROR(INDEX(lifespans_all!F$80:F$126,MATCH($A154,lifespans_all!$A$80:$A$126,0))*INDEX(SR_mission_minutes!F$2:F$43,MATCH($A154,SR_mission_minutes!$A$2:$A$43)),"-")</f>
        <v>114879</v>
      </c>
      <c r="G154" s="128">
        <f>IFERROR(INDEX(lifespans_all!G$80:G$126,MATCH($A154,lifespans_all!$A$80:$A$126,0))*INDEX(SR_mission_minutes!G$2:G$43,MATCH($A154,SR_mission_minutes!$A$2:$A$43)),"-")</f>
        <v>114879</v>
      </c>
      <c r="H154" s="128">
        <f>IFERROR(INDEX(lifespans_all!H$80:H$126,MATCH($A154,lifespans_all!$A$80:$A$126,0))*INDEX(SR_mission_minutes!H$2:H$43,MATCH($A154,SR_mission_minutes!$A$2:$A$43)),"-")</f>
        <v>114879</v>
      </c>
      <c r="I154" s="128">
        <f>IFERROR(INDEX(lifespans_all!I$80:I$126,MATCH($A154,lifespans_all!$A$80:$A$126,0))*INDEX(SR_mission_minutes!I$2:I$43,MATCH($A154,SR_mission_minutes!$A$2:$A$43)),"-")</f>
        <v>114879</v>
      </c>
      <c r="J154" s="128">
        <f>IFERROR(INDEX(lifespans_all!J$80:J$126,MATCH($A154,lifespans_all!$A$80:$A$126,0))*INDEX(SR_mission_minutes!J$2:J$43,MATCH($A154,SR_mission_minutes!$A$2:$A$43)),"-")</f>
        <v>114879</v>
      </c>
      <c r="K154" s="128">
        <f>IFERROR(INDEX(lifespans_all!K$80:K$126,MATCH($A154,lifespans_all!$A$80:$A$126,0))*INDEX(SR_mission_minutes!K$2:K$43,MATCH($A154,SR_mission_minutes!$A$2:$A$43)),"-")</f>
        <v>114879</v>
      </c>
      <c r="L154" s="128">
        <f>IFERROR(INDEX(lifespans_all!L$80:L$126,MATCH($A154,lifespans_all!$A$80:$A$126,0))*INDEX(SR_mission_minutes!L$2:L$43,MATCH($A154,SR_mission_minutes!$A$2:$A$43)),"-")</f>
        <v>114879</v>
      </c>
      <c r="M154" s="128">
        <f>IFERROR(INDEX(lifespans_all!M$80:M$126,MATCH($A154,lifespans_all!$A$80:$A$126,0))*INDEX(SR_mission_minutes!M$2:M$43,MATCH($A154,SR_mission_minutes!$A$2:$A$43)),"-")</f>
        <v>114879</v>
      </c>
      <c r="N154" s="128">
        <f>IFERROR(INDEX(lifespans_all!N$80:N$126,MATCH($A154,lifespans_all!$A$80:$A$126,0))*INDEX(SR_mission_minutes!N$2:N$43,MATCH($A154,SR_mission_minutes!$A$2:$A$43)),"-")</f>
        <v>114879</v>
      </c>
      <c r="O154" s="128">
        <f>IFERROR(INDEX(lifespans_all!O$80:O$126,MATCH($A154,lifespans_all!$A$80:$A$126,0))*INDEX(SR_mission_minutes!O$2:O$43,MATCH($A154,SR_mission_minutes!$A$2:$A$43)),"-")</f>
        <v>114879</v>
      </c>
      <c r="P154" s="128">
        <f>IFERROR(INDEX(lifespans_all!P$80:P$126,MATCH($A154,lifespans_all!$A$80:$A$126,0))*INDEX(SR_mission_minutes!P$2:P$43,MATCH($A154,SR_mission_minutes!$A$2:$A$43)),"-")</f>
        <v>114879</v>
      </c>
      <c r="Q154" s="128">
        <f>IFERROR(INDEX(lifespans_all!Q$80:Q$126,MATCH($A154,lifespans_all!$A$80:$A$126,0))*INDEX(SR_mission_minutes!Q$2:Q$43,MATCH($A154,SR_mission_minutes!$A$2:$A$43)),"-")</f>
        <v>114879</v>
      </c>
      <c r="R154" s="128">
        <f>IFERROR(INDEX(lifespans_all!R$80:R$126,MATCH($A154,lifespans_all!$A$80:$A$126,0))*INDEX(SR_mission_minutes!R$2:R$43,MATCH($A154,SR_mission_minutes!$A$2:$A$43)),"-")</f>
        <v>114879</v>
      </c>
      <c r="S154" s="128">
        <f>IFERROR(INDEX(lifespans_all!S$80:S$126,MATCH($A154,lifespans_all!$A$80:$A$126,0))*INDEX(SR_mission_minutes!S$2:S$43,MATCH($A154,SR_mission_minutes!$A$2:$A$43)),"-")</f>
        <v>114879</v>
      </c>
      <c r="T154" s="128">
        <f>IFERROR(INDEX(lifespans_all!T$80:T$126,MATCH($A154,lifespans_all!$A$80:$A$126,0))*INDEX(SR_mission_minutes!T$2:T$43,MATCH($A154,SR_mission_minutes!$A$2:$A$43)),"-")</f>
        <v>114879</v>
      </c>
      <c r="U154" s="128">
        <f>IFERROR(INDEX(lifespans_all!U$80:U$126,MATCH($A154,lifespans_all!$A$80:$A$126,0))*INDEX(SR_mission_minutes!U$2:U$43,MATCH($A154,SR_mission_minutes!$A$2:$A$43)),"-")</f>
        <v>114879</v>
      </c>
      <c r="V154" s="128">
        <f>IFERROR(INDEX(lifespans_all!V$80:V$126,MATCH($A154,lifespans_all!$A$80:$A$126,0))*INDEX(SR_mission_minutes!V$2:V$43,MATCH($A154,SR_mission_minutes!$A$2:$A$43)),"-")</f>
        <v>114879</v>
      </c>
      <c r="W154" s="128">
        <f>IFERROR(INDEX(lifespans_all!W$80:W$126,MATCH($A154,lifespans_all!$A$80:$A$126,0))*INDEX(SR_mission_minutes!W$2:W$43,MATCH($A154,SR_mission_minutes!$A$2:$A$43)),"-")</f>
        <v>114879</v>
      </c>
    </row>
    <row r="155" spans="1:23" x14ac:dyDescent="0.25">
      <c r="A155" s="46" t="s">
        <v>35</v>
      </c>
      <c r="B155" s="46" t="s">
        <v>57</v>
      </c>
      <c r="C155" s="135"/>
      <c r="D155" s="128">
        <f>IFERROR(INDEX(lifespans_all!D$158:D$212,MATCH($A155,lifespans_all!$A$158:$A$212,0))*INDEX(SR_mission_minutes!D$2:D$43,MATCH($A155,SR_mission_minutes!$A$2:$A$43)),"-")</f>
        <v>66700.388888888891</v>
      </c>
      <c r="E155" s="128">
        <f>IFERROR(INDEX(lifespans_all!E$80:E$126,MATCH($A155,lifespans_all!$A$80:$A$126,0))*INDEX(SR_mission_minutes!E$2:E$43,MATCH($A155,SR_mission_minutes!$A$2:$A$43)),"-")</f>
        <v>66700.388888888891</v>
      </c>
      <c r="F155" s="128">
        <f>IFERROR(INDEX(lifespans_all!F$80:F$126,MATCH($A155,lifespans_all!$A$80:$A$126,0))*INDEX(SR_mission_minutes!F$2:F$43,MATCH($A155,SR_mission_minutes!$A$2:$A$43)),"-")</f>
        <v>66700.388888888891</v>
      </c>
      <c r="G155" s="128">
        <f>IFERROR(INDEX(lifespans_all!G$80:G$126,MATCH($A155,lifespans_all!$A$80:$A$126,0))*INDEX(SR_mission_minutes!G$2:G$43,MATCH($A155,SR_mission_minutes!$A$2:$A$43)),"-")</f>
        <v>66700.388888888891</v>
      </c>
      <c r="H155" s="128">
        <f>IFERROR(INDEX(lifespans_all!H$80:H$126,MATCH($A155,lifespans_all!$A$80:$A$126,0))*INDEX(SR_mission_minutes!H$2:H$43,MATCH($A155,SR_mission_minutes!$A$2:$A$43)),"-")</f>
        <v>66700.388888888891</v>
      </c>
      <c r="I155" s="128">
        <f>IFERROR(INDEX(lifespans_all!I$80:I$126,MATCH($A155,lifespans_all!$A$80:$A$126,0))*INDEX(SR_mission_minutes!I$2:I$43,MATCH($A155,SR_mission_minutes!$A$2:$A$43)),"-")</f>
        <v>66700.388888888891</v>
      </c>
      <c r="J155" s="128">
        <f>IFERROR(INDEX(lifespans_all!J$80:J$126,MATCH($A155,lifespans_all!$A$80:$A$126,0))*INDEX(SR_mission_minutes!J$2:J$43,MATCH($A155,SR_mission_minutes!$A$2:$A$43)),"-")</f>
        <v>66700.388888888891</v>
      </c>
      <c r="K155" s="128">
        <f>IFERROR(INDEX(lifespans_all!K$80:K$126,MATCH($A155,lifespans_all!$A$80:$A$126,0))*INDEX(SR_mission_minutes!K$2:K$43,MATCH($A155,SR_mission_minutes!$A$2:$A$43)),"-")</f>
        <v>0</v>
      </c>
      <c r="L155" s="128">
        <f>IFERROR(INDEX(lifespans_all!L$80:L$126,MATCH($A155,lifespans_all!$A$80:$A$126,0))*INDEX(SR_mission_minutes!L$2:L$43,MATCH($A155,SR_mission_minutes!$A$2:$A$43)),"-")</f>
        <v>0</v>
      </c>
      <c r="M155" s="128">
        <f>IFERROR(INDEX(lifespans_all!M$80:M$126,MATCH($A155,lifespans_all!$A$80:$A$126,0))*INDEX(SR_mission_minutes!M$2:M$43,MATCH($A155,SR_mission_minutes!$A$2:$A$43)),"-")</f>
        <v>0</v>
      </c>
      <c r="N155" s="128">
        <f>IFERROR(INDEX(lifespans_all!N$80:N$126,MATCH($A155,lifespans_all!$A$80:$A$126,0))*INDEX(SR_mission_minutes!N$2:N$43,MATCH($A155,SR_mission_minutes!$A$2:$A$43)),"-")</f>
        <v>0</v>
      </c>
      <c r="O155" s="128">
        <f>IFERROR(INDEX(lifespans_all!O$80:O$126,MATCH($A155,lifespans_all!$A$80:$A$126,0))*INDEX(SR_mission_minutes!O$2:O$43,MATCH($A155,SR_mission_minutes!$A$2:$A$43)),"-")</f>
        <v>0</v>
      </c>
      <c r="P155" s="128">
        <f>IFERROR(INDEX(lifespans_all!P$80:P$126,MATCH($A155,lifespans_all!$A$80:$A$126,0))*INDEX(SR_mission_minutes!P$2:P$43,MATCH($A155,SR_mission_minutes!$A$2:$A$43)),"-")</f>
        <v>0</v>
      </c>
      <c r="Q155" s="128">
        <f>IFERROR(INDEX(lifespans_all!Q$80:Q$126,MATCH($A155,lifespans_all!$A$80:$A$126,0))*INDEX(SR_mission_minutes!Q$2:Q$43,MATCH($A155,SR_mission_minutes!$A$2:$A$43)),"-")</f>
        <v>0</v>
      </c>
      <c r="R155" s="128">
        <f>IFERROR(INDEX(lifespans_all!R$80:R$126,MATCH($A155,lifespans_all!$A$80:$A$126,0))*INDEX(SR_mission_minutes!R$2:R$43,MATCH($A155,SR_mission_minutes!$A$2:$A$43)),"-")</f>
        <v>0</v>
      </c>
      <c r="S155" s="128">
        <f>IFERROR(INDEX(lifespans_all!S$80:S$126,MATCH($A155,lifespans_all!$A$80:$A$126,0))*INDEX(SR_mission_minutes!S$2:S$43,MATCH($A155,SR_mission_minutes!$A$2:$A$43)),"-")</f>
        <v>0</v>
      </c>
      <c r="T155" s="128">
        <f>IFERROR(INDEX(lifespans_all!T$80:T$126,MATCH($A155,lifespans_all!$A$80:$A$126,0))*INDEX(SR_mission_minutes!T$2:T$43,MATCH($A155,SR_mission_minutes!$A$2:$A$43)),"-")</f>
        <v>0</v>
      </c>
      <c r="U155" s="128">
        <f>IFERROR(INDEX(lifespans_all!U$80:U$126,MATCH($A155,lifespans_all!$A$80:$A$126,0))*INDEX(SR_mission_minutes!U$2:U$43,MATCH($A155,SR_mission_minutes!$A$2:$A$43)),"-")</f>
        <v>0</v>
      </c>
      <c r="V155" s="128">
        <f>IFERROR(INDEX(lifespans_all!V$80:V$126,MATCH($A155,lifespans_all!$A$80:$A$126,0))*INDEX(SR_mission_minutes!V$2:V$43,MATCH($A155,SR_mission_minutes!$A$2:$A$43)),"-")</f>
        <v>0</v>
      </c>
      <c r="W155" s="128">
        <f>IFERROR(INDEX(lifespans_all!W$80:W$126,MATCH($A155,lifespans_all!$A$80:$A$126,0))*INDEX(SR_mission_minutes!W$2:W$43,MATCH($A155,SR_mission_minutes!$A$2:$A$43)),"-")</f>
        <v>0</v>
      </c>
    </row>
    <row r="156" spans="1:23" x14ac:dyDescent="0.25">
      <c r="A156" s="46" t="s">
        <v>36</v>
      </c>
      <c r="B156" s="46" t="s">
        <v>57</v>
      </c>
      <c r="C156" s="135"/>
      <c r="D156" s="128">
        <f>IFERROR(INDEX(lifespans_all!D$158:D$212,MATCH($A156,lifespans_all!$A$158:$A$212,0))*INDEX(SR_mission_minutes!D$2:D$43,MATCH($A156,SR_mission_minutes!$A$2:$A$43)),"-")</f>
        <v>66700.388888888891</v>
      </c>
      <c r="E156" s="128">
        <f>IFERROR(INDEX(lifespans_all!E$80:E$126,MATCH($A156,lifespans_all!$A$80:$A$126,0))*INDEX(SR_mission_minutes!E$2:E$43,MATCH($A156,SR_mission_minutes!$A$2:$A$43)),"-")</f>
        <v>66700.388888888891</v>
      </c>
      <c r="F156" s="128">
        <f>IFERROR(INDEX(lifespans_all!F$80:F$126,MATCH($A156,lifespans_all!$A$80:$A$126,0))*INDEX(SR_mission_minutes!F$2:F$43,MATCH($A156,SR_mission_minutes!$A$2:$A$43)),"-")</f>
        <v>66700.388888888891</v>
      </c>
      <c r="G156" s="128">
        <f>IFERROR(INDEX(lifespans_all!G$80:G$126,MATCH($A156,lifespans_all!$A$80:$A$126,0))*INDEX(SR_mission_minutes!G$2:G$43,MATCH($A156,SR_mission_minutes!$A$2:$A$43)),"-")</f>
        <v>66700.388888888891</v>
      </c>
      <c r="H156" s="128">
        <f>IFERROR(INDEX(lifespans_all!H$80:H$126,MATCH($A156,lifespans_all!$A$80:$A$126,0))*INDEX(SR_mission_minutes!H$2:H$43,MATCH($A156,SR_mission_minutes!$A$2:$A$43)),"-")</f>
        <v>66700.388888888891</v>
      </c>
      <c r="I156" s="128">
        <f>IFERROR(INDEX(lifespans_all!I$80:I$126,MATCH($A156,lifespans_all!$A$80:$A$126,0))*INDEX(SR_mission_minutes!I$2:I$43,MATCH($A156,SR_mission_minutes!$A$2:$A$43)),"-")</f>
        <v>66700.388888888891</v>
      </c>
      <c r="J156" s="128">
        <f>IFERROR(INDEX(lifespans_all!J$80:J$126,MATCH($A156,lifespans_all!$A$80:$A$126,0))*INDEX(SR_mission_minutes!J$2:J$43,MATCH($A156,SR_mission_minutes!$A$2:$A$43)),"-")</f>
        <v>66700.388888888891</v>
      </c>
      <c r="K156" s="128">
        <f>IFERROR(INDEX(lifespans_all!K$80:K$126,MATCH($A156,lifespans_all!$A$80:$A$126,0))*INDEX(SR_mission_minutes!K$2:K$43,MATCH($A156,SR_mission_minutes!$A$2:$A$43)),"-")</f>
        <v>66700.388888888891</v>
      </c>
      <c r="L156" s="128">
        <f>IFERROR(INDEX(lifespans_all!L$80:L$126,MATCH($A156,lifespans_all!$A$80:$A$126,0))*INDEX(SR_mission_minutes!L$2:L$43,MATCH($A156,SR_mission_minutes!$A$2:$A$43)),"-")</f>
        <v>66700.388888888891</v>
      </c>
      <c r="M156" s="128">
        <f>IFERROR(INDEX(lifespans_all!M$80:M$126,MATCH($A156,lifespans_all!$A$80:$A$126,0))*INDEX(SR_mission_minutes!M$2:M$43,MATCH($A156,SR_mission_minutes!$A$2:$A$43)),"-")</f>
        <v>66700.388888888891</v>
      </c>
      <c r="N156" s="128">
        <f>IFERROR(INDEX(lifespans_all!N$80:N$126,MATCH($A156,lifespans_all!$A$80:$A$126,0))*INDEX(SR_mission_minutes!N$2:N$43,MATCH($A156,SR_mission_minutes!$A$2:$A$43)),"-")</f>
        <v>66700.388888888891</v>
      </c>
      <c r="O156" s="128">
        <f>IFERROR(INDEX(lifespans_all!O$80:O$126,MATCH($A156,lifespans_all!$A$80:$A$126,0))*INDEX(SR_mission_minutes!O$2:O$43,MATCH($A156,SR_mission_minutes!$A$2:$A$43)),"-")</f>
        <v>66700.388888888891</v>
      </c>
      <c r="P156" s="128">
        <f>IFERROR(INDEX(lifespans_all!P$80:P$126,MATCH($A156,lifespans_all!$A$80:$A$126,0))*INDEX(SR_mission_minutes!P$2:P$43,MATCH($A156,SR_mission_minutes!$A$2:$A$43)),"-")</f>
        <v>66700.388888888891</v>
      </c>
      <c r="Q156" s="128">
        <f>IFERROR(INDEX(lifespans_all!Q$80:Q$126,MATCH($A156,lifespans_all!$A$80:$A$126,0))*INDEX(SR_mission_minutes!Q$2:Q$43,MATCH($A156,SR_mission_minutes!$A$2:$A$43)),"-")</f>
        <v>66700.388888888891</v>
      </c>
      <c r="R156" s="128">
        <f>IFERROR(INDEX(lifespans_all!R$80:R$126,MATCH($A156,lifespans_all!$A$80:$A$126,0))*INDEX(SR_mission_minutes!R$2:R$43,MATCH($A156,SR_mission_minutes!$A$2:$A$43)),"-")</f>
        <v>66700.388888888891</v>
      </c>
      <c r="S156" s="128">
        <f>IFERROR(INDEX(lifespans_all!S$80:S$126,MATCH($A156,lifespans_all!$A$80:$A$126,0))*INDEX(SR_mission_minutes!S$2:S$43,MATCH($A156,SR_mission_minutes!$A$2:$A$43)),"-")</f>
        <v>66700.388888888891</v>
      </c>
      <c r="T156" s="128">
        <f>IFERROR(INDEX(lifespans_all!T$80:T$126,MATCH($A156,lifespans_all!$A$80:$A$126,0))*INDEX(SR_mission_minutes!T$2:T$43,MATCH($A156,SR_mission_minutes!$A$2:$A$43)),"-")</f>
        <v>66700.388888888891</v>
      </c>
      <c r="U156" s="128">
        <f>IFERROR(INDEX(lifespans_all!U$80:U$126,MATCH($A156,lifespans_all!$A$80:$A$126,0))*INDEX(SR_mission_minutes!U$2:U$43,MATCH($A156,SR_mission_minutes!$A$2:$A$43)),"-")</f>
        <v>66700.388888888891</v>
      </c>
      <c r="V156" s="128">
        <f>IFERROR(INDEX(lifespans_all!V$80:V$126,MATCH($A156,lifespans_all!$A$80:$A$126,0))*INDEX(SR_mission_minutes!V$2:V$43,MATCH($A156,SR_mission_minutes!$A$2:$A$43)),"-")</f>
        <v>66700.388888888891</v>
      </c>
      <c r="W156" s="128">
        <f>IFERROR(INDEX(lifespans_all!W$80:W$126,MATCH($A156,lifespans_all!$A$80:$A$126,0))*INDEX(SR_mission_minutes!W$2:W$43,MATCH($A156,SR_mission_minutes!$A$2:$A$43)),"-")</f>
        <v>66700.388888888891</v>
      </c>
    </row>
    <row r="157" spans="1:23" x14ac:dyDescent="0.25">
      <c r="A157" s="46" t="s">
        <v>37</v>
      </c>
      <c r="B157" s="46" t="s">
        <v>57</v>
      </c>
      <c r="C157" s="135"/>
      <c r="D157" s="128">
        <f>IFERROR(INDEX(lifespans_all!D$158:D$212,MATCH($A157,lifespans_all!$A$158:$A$212,0))*INDEX(SR_mission_minutes!D$2:D$43,MATCH($A157,SR_mission_minutes!$A$2:$A$43)),"-")</f>
        <v>66700.388888888891</v>
      </c>
      <c r="E157" s="128">
        <f>IFERROR(INDEX(lifespans_all!E$80:E$126,MATCH($A157,lifespans_all!$A$80:$A$126,0))*INDEX(SR_mission_minutes!E$2:E$43,MATCH($A157,SR_mission_minutes!$A$2:$A$43)),"-")</f>
        <v>66700.388888888891</v>
      </c>
      <c r="F157" s="128">
        <f>IFERROR(INDEX(lifespans_all!F$80:F$126,MATCH($A157,lifespans_all!$A$80:$A$126,0))*INDEX(SR_mission_minutes!F$2:F$43,MATCH($A157,SR_mission_minutes!$A$2:$A$43)),"-")</f>
        <v>66700.388888888891</v>
      </c>
      <c r="G157" s="128">
        <f>IFERROR(INDEX(lifespans_all!G$80:G$126,MATCH($A157,lifespans_all!$A$80:$A$126,0))*INDEX(SR_mission_minutes!G$2:G$43,MATCH($A157,SR_mission_minutes!$A$2:$A$43)),"-")</f>
        <v>66700.388888888891</v>
      </c>
      <c r="H157" s="128">
        <f>IFERROR(INDEX(lifespans_all!H$80:H$126,MATCH($A157,lifespans_all!$A$80:$A$126,0))*INDEX(SR_mission_minutes!H$2:H$43,MATCH($A157,SR_mission_minutes!$A$2:$A$43)),"-")</f>
        <v>66700.388888888891</v>
      </c>
      <c r="I157" s="128">
        <f>IFERROR(INDEX(lifespans_all!I$80:I$126,MATCH($A157,lifespans_all!$A$80:$A$126,0))*INDEX(SR_mission_minutes!I$2:I$43,MATCH($A157,SR_mission_minutes!$A$2:$A$43)),"-")</f>
        <v>0</v>
      </c>
      <c r="J157" s="128">
        <f>IFERROR(INDEX(lifespans_all!J$80:J$126,MATCH($A157,lifespans_all!$A$80:$A$126,0))*INDEX(SR_mission_minutes!J$2:J$43,MATCH($A157,SR_mission_minutes!$A$2:$A$43)),"-")</f>
        <v>0</v>
      </c>
      <c r="K157" s="128">
        <f>IFERROR(INDEX(lifespans_all!K$80:K$126,MATCH($A157,lifespans_all!$A$80:$A$126,0))*INDEX(SR_mission_minutes!K$2:K$43,MATCH($A157,SR_mission_minutes!$A$2:$A$43)),"-")</f>
        <v>0</v>
      </c>
      <c r="L157" s="128">
        <f>IFERROR(INDEX(lifespans_all!L$80:L$126,MATCH($A157,lifespans_all!$A$80:$A$126,0))*INDEX(SR_mission_minutes!L$2:L$43,MATCH($A157,SR_mission_minutes!$A$2:$A$43)),"-")</f>
        <v>0</v>
      </c>
      <c r="M157" s="128">
        <f>IFERROR(INDEX(lifespans_all!M$80:M$126,MATCH($A157,lifespans_all!$A$80:$A$126,0))*INDEX(SR_mission_minutes!M$2:M$43,MATCH($A157,SR_mission_minutes!$A$2:$A$43)),"-")</f>
        <v>0</v>
      </c>
      <c r="N157" s="128">
        <f>IFERROR(INDEX(lifespans_all!N$80:N$126,MATCH($A157,lifespans_all!$A$80:$A$126,0))*INDEX(SR_mission_minutes!N$2:N$43,MATCH($A157,SR_mission_minutes!$A$2:$A$43)),"-")</f>
        <v>0</v>
      </c>
      <c r="O157" s="128">
        <f>IFERROR(INDEX(lifespans_all!O$80:O$126,MATCH($A157,lifespans_all!$A$80:$A$126,0))*INDEX(SR_mission_minutes!O$2:O$43,MATCH($A157,SR_mission_minutes!$A$2:$A$43)),"-")</f>
        <v>0</v>
      </c>
      <c r="P157" s="128">
        <f>IFERROR(INDEX(lifespans_all!P$80:P$126,MATCH($A157,lifespans_all!$A$80:$A$126,0))*INDEX(SR_mission_minutes!P$2:P$43,MATCH($A157,SR_mission_minutes!$A$2:$A$43)),"-")</f>
        <v>0</v>
      </c>
      <c r="Q157" s="128">
        <f>IFERROR(INDEX(lifespans_all!Q$80:Q$126,MATCH($A157,lifespans_all!$A$80:$A$126,0))*INDEX(SR_mission_minutes!Q$2:Q$43,MATCH($A157,SR_mission_minutes!$A$2:$A$43)),"-")</f>
        <v>0</v>
      </c>
      <c r="R157" s="128">
        <f>IFERROR(INDEX(lifespans_all!R$80:R$126,MATCH($A157,lifespans_all!$A$80:$A$126,0))*INDEX(SR_mission_minutes!R$2:R$43,MATCH($A157,SR_mission_minutes!$A$2:$A$43)),"-")</f>
        <v>0</v>
      </c>
      <c r="S157" s="128">
        <f>IFERROR(INDEX(lifespans_all!S$80:S$126,MATCH($A157,lifespans_all!$A$80:$A$126,0))*INDEX(SR_mission_minutes!S$2:S$43,MATCH($A157,SR_mission_minutes!$A$2:$A$43)),"-")</f>
        <v>0</v>
      </c>
      <c r="T157" s="128">
        <f>IFERROR(INDEX(lifespans_all!T$80:T$126,MATCH($A157,lifespans_all!$A$80:$A$126,0))*INDEX(SR_mission_minutes!T$2:T$43,MATCH($A157,SR_mission_minutes!$A$2:$A$43)),"-")</f>
        <v>0</v>
      </c>
      <c r="U157" s="128">
        <f>IFERROR(INDEX(lifespans_all!U$80:U$126,MATCH($A157,lifespans_all!$A$80:$A$126,0))*INDEX(SR_mission_minutes!U$2:U$43,MATCH($A157,SR_mission_minutes!$A$2:$A$43)),"-")</f>
        <v>0</v>
      </c>
      <c r="V157" s="128">
        <f>IFERROR(INDEX(lifespans_all!V$80:V$126,MATCH($A157,lifespans_all!$A$80:$A$126,0))*INDEX(SR_mission_minutes!V$2:V$43,MATCH($A157,SR_mission_minutes!$A$2:$A$43)),"-")</f>
        <v>0</v>
      </c>
      <c r="W157" s="128">
        <f>IFERROR(INDEX(lifespans_all!W$80:W$126,MATCH($A157,lifespans_all!$A$80:$A$126,0))*INDEX(SR_mission_minutes!W$2:W$43,MATCH($A157,SR_mission_minutes!$A$2:$A$43)),"-")</f>
        <v>0</v>
      </c>
    </row>
    <row r="158" spans="1:23" x14ac:dyDescent="0.25">
      <c r="A158" s="46" t="s">
        <v>73</v>
      </c>
      <c r="B158" s="46" t="s">
        <v>57</v>
      </c>
      <c r="C158" s="135"/>
      <c r="D158" s="128">
        <f>IFERROR(INDEX(lifespans_all!D$158:D$212,MATCH($A158,lifespans_all!$A$158:$A$212,0))*INDEX(SR_mission_minutes!D$2:D$43,MATCH($A158,SR_mission_minutes!$A$2:$A$43)),"-")</f>
        <v>66700.388888888891</v>
      </c>
      <c r="E158" s="128">
        <f>IFERROR(INDEX(lifespans_all!E$80:E$126,MATCH($A158,lifespans_all!$A$80:$A$126,0))*INDEX(SR_mission_minutes!E$2:E$43,MATCH($A158,SR_mission_minutes!$A$2:$A$43)),"-")</f>
        <v>66700.388888888891</v>
      </c>
      <c r="F158" s="128">
        <f>IFERROR(INDEX(lifespans_all!F$80:F$126,MATCH($A158,lifespans_all!$A$80:$A$126,0))*INDEX(SR_mission_minutes!F$2:F$43,MATCH($A158,SR_mission_minutes!$A$2:$A$43)),"-")</f>
        <v>66700.388888888891</v>
      </c>
      <c r="G158" s="128">
        <f>IFERROR(INDEX(lifespans_all!G$80:G$126,MATCH($A158,lifespans_all!$A$80:$A$126,0))*INDEX(SR_mission_minutes!G$2:G$43,MATCH($A158,SR_mission_minutes!$A$2:$A$43)),"-")</f>
        <v>66700.388888888891</v>
      </c>
      <c r="H158" s="128">
        <f>IFERROR(INDEX(lifespans_all!H$80:H$126,MATCH($A158,lifespans_all!$A$80:$A$126,0))*INDEX(SR_mission_minutes!H$2:H$43,MATCH($A158,SR_mission_minutes!$A$2:$A$43)),"-")</f>
        <v>66700.388888888891</v>
      </c>
      <c r="I158" s="128">
        <f>IFERROR(INDEX(lifespans_all!I$80:I$126,MATCH($A158,lifespans_all!$A$80:$A$126,0))*INDEX(SR_mission_minutes!I$2:I$43,MATCH($A158,SR_mission_minutes!$A$2:$A$43)),"-")</f>
        <v>0</v>
      </c>
      <c r="J158" s="128">
        <f>IFERROR(INDEX(lifespans_all!J$80:J$126,MATCH($A158,lifespans_all!$A$80:$A$126,0))*INDEX(SR_mission_minutes!J$2:J$43,MATCH($A158,SR_mission_minutes!$A$2:$A$43)),"-")</f>
        <v>0</v>
      </c>
      <c r="K158" s="128">
        <f>IFERROR(INDEX(lifespans_all!K$80:K$126,MATCH($A158,lifespans_all!$A$80:$A$126,0))*INDEX(SR_mission_minutes!K$2:K$43,MATCH($A158,SR_mission_minutes!$A$2:$A$43)),"-")</f>
        <v>0</v>
      </c>
      <c r="L158" s="128">
        <f>IFERROR(INDEX(lifespans_all!L$80:L$126,MATCH($A158,lifespans_all!$A$80:$A$126,0))*INDEX(SR_mission_minutes!L$2:L$43,MATCH($A158,SR_mission_minutes!$A$2:$A$43)),"-")</f>
        <v>0</v>
      </c>
      <c r="M158" s="128">
        <f>IFERROR(INDEX(lifespans_all!M$80:M$126,MATCH($A158,lifespans_all!$A$80:$A$126,0))*INDEX(SR_mission_minutes!M$2:M$43,MATCH($A158,SR_mission_minutes!$A$2:$A$43)),"-")</f>
        <v>0</v>
      </c>
      <c r="N158" s="128">
        <f>IFERROR(INDEX(lifespans_all!N$80:N$126,MATCH($A158,lifespans_all!$A$80:$A$126,0))*INDEX(SR_mission_minutes!N$2:N$43,MATCH($A158,SR_mission_minutes!$A$2:$A$43)),"-")</f>
        <v>0</v>
      </c>
      <c r="O158" s="128">
        <f>IFERROR(INDEX(lifespans_all!O$80:O$126,MATCH($A158,lifespans_all!$A$80:$A$126,0))*INDEX(SR_mission_minutes!O$2:O$43,MATCH($A158,SR_mission_minutes!$A$2:$A$43)),"-")</f>
        <v>0</v>
      </c>
      <c r="P158" s="128">
        <f>IFERROR(INDEX(lifespans_all!P$80:P$126,MATCH($A158,lifespans_all!$A$80:$A$126,0))*INDEX(SR_mission_minutes!P$2:P$43,MATCH($A158,SR_mission_minutes!$A$2:$A$43)),"-")</f>
        <v>0</v>
      </c>
      <c r="Q158" s="128">
        <f>IFERROR(INDEX(lifespans_all!Q$80:Q$126,MATCH($A158,lifespans_all!$A$80:$A$126,0))*INDEX(SR_mission_minutes!Q$2:Q$43,MATCH($A158,SR_mission_minutes!$A$2:$A$43)),"-")</f>
        <v>0</v>
      </c>
      <c r="R158" s="128">
        <f>IFERROR(INDEX(lifespans_all!R$80:R$126,MATCH($A158,lifespans_all!$A$80:$A$126,0))*INDEX(SR_mission_minutes!R$2:R$43,MATCH($A158,SR_mission_minutes!$A$2:$A$43)),"-")</f>
        <v>0</v>
      </c>
      <c r="S158" s="128">
        <f>IFERROR(INDEX(lifespans_all!S$80:S$126,MATCH($A158,lifespans_all!$A$80:$A$126,0))*INDEX(SR_mission_minutes!S$2:S$43,MATCH($A158,SR_mission_minutes!$A$2:$A$43)),"-")</f>
        <v>0</v>
      </c>
      <c r="T158" s="128">
        <f>IFERROR(INDEX(lifespans_all!T$80:T$126,MATCH($A158,lifespans_all!$A$80:$A$126,0))*INDEX(SR_mission_minutes!T$2:T$43,MATCH($A158,SR_mission_minutes!$A$2:$A$43)),"-")</f>
        <v>0</v>
      </c>
      <c r="U158" s="128">
        <f>IFERROR(INDEX(lifespans_all!U$80:U$126,MATCH($A158,lifespans_all!$A$80:$A$126,0))*INDEX(SR_mission_minutes!U$2:U$43,MATCH($A158,SR_mission_minutes!$A$2:$A$43)),"-")</f>
        <v>0</v>
      </c>
      <c r="V158" s="128">
        <f>IFERROR(INDEX(lifespans_all!V$80:V$126,MATCH($A158,lifespans_all!$A$80:$A$126,0))*INDEX(SR_mission_minutes!V$2:V$43,MATCH($A158,SR_mission_minutes!$A$2:$A$43)),"-")</f>
        <v>0</v>
      </c>
      <c r="W158" s="128">
        <f>IFERROR(INDEX(lifespans_all!W$80:W$126,MATCH($A158,lifespans_all!$A$80:$A$126,0))*INDEX(SR_mission_minutes!W$2:W$43,MATCH($A158,SR_mission_minutes!$A$2:$A$43)),"-")</f>
        <v>0</v>
      </c>
    </row>
    <row r="159" spans="1:23" x14ac:dyDescent="0.25">
      <c r="A159" s="46" t="s">
        <v>38</v>
      </c>
      <c r="B159" s="46" t="s">
        <v>57</v>
      </c>
      <c r="C159" s="135"/>
      <c r="D159" s="128">
        <f>IFERROR(INDEX(lifespans_all!D$158:D$212,MATCH($A159,lifespans_all!$A$158:$A$212,0))*INDEX(SR_mission_minutes!D$2:D$43,MATCH($A159,SR_mission_minutes!$A$2:$A$43)),"-")</f>
        <v>66700.388888888891</v>
      </c>
      <c r="E159" s="128">
        <f>IFERROR(INDEX(lifespans_all!E$80:E$126,MATCH($A159,lifespans_all!$A$80:$A$126,0))*INDEX(SR_mission_minutes!E$2:E$43,MATCH($A159,SR_mission_minutes!$A$2:$A$43)),"-")</f>
        <v>66700.388888888891</v>
      </c>
      <c r="F159" s="128">
        <f>IFERROR(INDEX(lifespans_all!F$80:F$126,MATCH($A159,lifespans_all!$A$80:$A$126,0))*INDEX(SR_mission_minutes!F$2:F$43,MATCH($A159,SR_mission_minutes!$A$2:$A$43)),"-")</f>
        <v>66700.388888888891</v>
      </c>
      <c r="G159" s="128">
        <f>IFERROR(INDEX(lifespans_all!G$80:G$126,MATCH($A159,lifespans_all!$A$80:$A$126,0))*INDEX(SR_mission_minutes!G$2:G$43,MATCH($A159,SR_mission_minutes!$A$2:$A$43)),"-")</f>
        <v>66700.388888888891</v>
      </c>
      <c r="H159" s="128">
        <f>IFERROR(INDEX(lifespans_all!H$80:H$126,MATCH($A159,lifespans_all!$A$80:$A$126,0))*INDEX(SR_mission_minutes!H$2:H$43,MATCH($A159,SR_mission_minutes!$A$2:$A$43)),"-")</f>
        <v>0</v>
      </c>
      <c r="I159" s="128">
        <f>IFERROR(INDEX(lifespans_all!I$80:I$126,MATCH($A159,lifespans_all!$A$80:$A$126,0))*INDEX(SR_mission_minutes!I$2:I$43,MATCH($A159,SR_mission_minutes!$A$2:$A$43)),"-")</f>
        <v>0</v>
      </c>
      <c r="J159" s="128">
        <f>IFERROR(INDEX(lifespans_all!J$80:J$126,MATCH($A159,lifespans_all!$A$80:$A$126,0))*INDEX(SR_mission_minutes!J$2:J$43,MATCH($A159,SR_mission_minutes!$A$2:$A$43)),"-")</f>
        <v>0</v>
      </c>
      <c r="K159" s="128">
        <f>IFERROR(INDEX(lifespans_all!K$80:K$126,MATCH($A159,lifespans_all!$A$80:$A$126,0))*INDEX(SR_mission_minutes!K$2:K$43,MATCH($A159,SR_mission_minutes!$A$2:$A$43)),"-")</f>
        <v>0</v>
      </c>
      <c r="L159" s="128">
        <f>IFERROR(INDEX(lifespans_all!L$80:L$126,MATCH($A159,lifespans_all!$A$80:$A$126,0))*INDEX(SR_mission_minutes!L$2:L$43,MATCH($A159,SR_mission_minutes!$A$2:$A$43)),"-")</f>
        <v>0</v>
      </c>
      <c r="M159" s="128">
        <f>IFERROR(INDEX(lifespans_all!M$80:M$126,MATCH($A159,lifespans_all!$A$80:$A$126,0))*INDEX(SR_mission_minutes!M$2:M$43,MATCH($A159,SR_mission_minutes!$A$2:$A$43)),"-")</f>
        <v>0</v>
      </c>
      <c r="N159" s="128">
        <f>IFERROR(INDEX(lifespans_all!N$80:N$126,MATCH($A159,lifespans_all!$A$80:$A$126,0))*INDEX(SR_mission_minutes!N$2:N$43,MATCH($A159,SR_mission_minutes!$A$2:$A$43)),"-")</f>
        <v>0</v>
      </c>
      <c r="O159" s="128">
        <f>IFERROR(INDEX(lifespans_all!O$80:O$126,MATCH($A159,lifespans_all!$A$80:$A$126,0))*INDEX(SR_mission_minutes!O$2:O$43,MATCH($A159,SR_mission_minutes!$A$2:$A$43)),"-")</f>
        <v>0</v>
      </c>
      <c r="P159" s="128">
        <f>IFERROR(INDEX(lifespans_all!P$80:P$126,MATCH($A159,lifespans_all!$A$80:$A$126,0))*INDEX(SR_mission_minutes!P$2:P$43,MATCH($A159,SR_mission_minutes!$A$2:$A$43)),"-")</f>
        <v>0</v>
      </c>
      <c r="Q159" s="128">
        <f>IFERROR(INDEX(lifespans_all!Q$80:Q$126,MATCH($A159,lifespans_all!$A$80:$A$126,0))*INDEX(SR_mission_minutes!Q$2:Q$43,MATCH($A159,SR_mission_minutes!$A$2:$A$43)),"-")</f>
        <v>0</v>
      </c>
      <c r="R159" s="128">
        <f>IFERROR(INDEX(lifespans_all!R$80:R$126,MATCH($A159,lifespans_all!$A$80:$A$126,0))*INDEX(SR_mission_minutes!R$2:R$43,MATCH($A159,SR_mission_minutes!$A$2:$A$43)),"-")</f>
        <v>0</v>
      </c>
      <c r="S159" s="128">
        <f>IFERROR(INDEX(lifespans_all!S$80:S$126,MATCH($A159,lifespans_all!$A$80:$A$126,0))*INDEX(SR_mission_minutes!S$2:S$43,MATCH($A159,SR_mission_minutes!$A$2:$A$43)),"-")</f>
        <v>0</v>
      </c>
      <c r="T159" s="128">
        <f>IFERROR(INDEX(lifespans_all!T$80:T$126,MATCH($A159,lifespans_all!$A$80:$A$126,0))*INDEX(SR_mission_minutes!T$2:T$43,MATCH($A159,SR_mission_minutes!$A$2:$A$43)),"-")</f>
        <v>0</v>
      </c>
      <c r="U159" s="128">
        <f>IFERROR(INDEX(lifespans_all!U$80:U$126,MATCH($A159,lifespans_all!$A$80:$A$126,0))*INDEX(SR_mission_minutes!U$2:U$43,MATCH($A159,SR_mission_minutes!$A$2:$A$43)),"-")</f>
        <v>0</v>
      </c>
      <c r="V159" s="128">
        <f>IFERROR(INDEX(lifespans_all!V$80:V$126,MATCH($A159,lifespans_all!$A$80:$A$126,0))*INDEX(SR_mission_minutes!V$2:V$43,MATCH($A159,SR_mission_minutes!$A$2:$A$43)),"-")</f>
        <v>0</v>
      </c>
      <c r="W159" s="128">
        <f>IFERROR(INDEX(lifespans_all!W$80:W$126,MATCH($A159,lifespans_all!$A$80:$A$126,0))*INDEX(SR_mission_minutes!W$2:W$43,MATCH($A159,SR_mission_minutes!$A$2:$A$43)),"-")</f>
        <v>0</v>
      </c>
    </row>
    <row r="160" spans="1:23" x14ac:dyDescent="0.25">
      <c r="A160" s="46" t="s">
        <v>39</v>
      </c>
      <c r="B160" s="46" t="s">
        <v>59</v>
      </c>
      <c r="C160" s="135"/>
      <c r="D160" s="128">
        <f>IFERROR(INDEX(lifespans_all!D$158:D$212,MATCH($A160,lifespans_all!$A$158:$A$212,0))*INDEX(SR_mission_minutes!D$2:D$43,MATCH($A160,SR_mission_minutes!$A$2:$A$43)),"-")</f>
        <v>114879</v>
      </c>
      <c r="E160" s="128">
        <f>IFERROR(INDEX(lifespans_all!E$80:E$126,MATCH($A160,lifespans_all!$A$80:$A$126,0))*INDEX(SR_mission_minutes!E$2:E$43,MATCH($A160,SR_mission_minutes!$A$2:$A$43)),"-")</f>
        <v>114879</v>
      </c>
      <c r="F160" s="128">
        <f>IFERROR(INDEX(lifespans_all!F$80:F$126,MATCH($A160,lifespans_all!$A$80:$A$126,0))*INDEX(SR_mission_minutes!F$2:F$43,MATCH($A160,SR_mission_minutes!$A$2:$A$43)),"-")</f>
        <v>114879</v>
      </c>
      <c r="G160" s="128">
        <f>IFERROR(INDEX(lifespans_all!G$80:G$126,MATCH($A160,lifespans_all!$A$80:$A$126,0))*INDEX(SR_mission_minutes!G$2:G$43,MATCH($A160,SR_mission_minutes!$A$2:$A$43)),"-")</f>
        <v>114879</v>
      </c>
      <c r="H160" s="128">
        <f>IFERROR(INDEX(lifespans_all!H$80:H$126,MATCH($A160,lifespans_all!$A$80:$A$126,0))*INDEX(SR_mission_minutes!H$2:H$43,MATCH($A160,SR_mission_minutes!$A$2:$A$43)),"-")</f>
        <v>114879</v>
      </c>
      <c r="I160" s="128">
        <f>IFERROR(INDEX(lifespans_all!I$80:I$126,MATCH($A160,lifespans_all!$A$80:$A$126,0))*INDEX(SR_mission_minutes!I$2:I$43,MATCH($A160,SR_mission_minutes!$A$2:$A$43)),"-")</f>
        <v>114879</v>
      </c>
      <c r="J160" s="128">
        <f>IFERROR(INDEX(lifespans_all!J$80:J$126,MATCH($A160,lifespans_all!$A$80:$A$126,0))*INDEX(SR_mission_minutes!J$2:J$43,MATCH($A160,SR_mission_minutes!$A$2:$A$43)),"-")</f>
        <v>114879</v>
      </c>
      <c r="K160" s="128">
        <f>IFERROR(INDEX(lifespans_all!K$80:K$126,MATCH($A160,lifespans_all!$A$80:$A$126,0))*INDEX(SR_mission_minutes!K$2:K$43,MATCH($A160,SR_mission_minutes!$A$2:$A$43)),"-")</f>
        <v>114879</v>
      </c>
      <c r="L160" s="128">
        <f>IFERROR(INDEX(lifespans_all!L$80:L$126,MATCH($A160,lifespans_all!$A$80:$A$126,0))*INDEX(SR_mission_minutes!L$2:L$43,MATCH($A160,SR_mission_minutes!$A$2:$A$43)),"-")</f>
        <v>114879</v>
      </c>
      <c r="M160" s="128">
        <f>IFERROR(INDEX(lifespans_all!M$80:M$126,MATCH($A160,lifespans_all!$A$80:$A$126,0))*INDEX(SR_mission_minutes!M$2:M$43,MATCH($A160,SR_mission_minutes!$A$2:$A$43)),"-")</f>
        <v>114879</v>
      </c>
      <c r="N160" s="128">
        <f>IFERROR(INDEX(lifespans_all!N$80:N$126,MATCH($A160,lifespans_all!$A$80:$A$126,0))*INDEX(SR_mission_minutes!N$2:N$43,MATCH($A160,SR_mission_minutes!$A$2:$A$43)),"-")</f>
        <v>0</v>
      </c>
      <c r="O160" s="128">
        <f>IFERROR(INDEX(lifespans_all!O$80:O$126,MATCH($A160,lifespans_all!$A$80:$A$126,0))*INDEX(SR_mission_minutes!O$2:O$43,MATCH($A160,SR_mission_minutes!$A$2:$A$43)),"-")</f>
        <v>0</v>
      </c>
      <c r="P160" s="128">
        <f>IFERROR(INDEX(lifespans_all!P$80:P$126,MATCH($A160,lifespans_all!$A$80:$A$126,0))*INDEX(SR_mission_minutes!P$2:P$43,MATCH($A160,SR_mission_minutes!$A$2:$A$43)),"-")</f>
        <v>0</v>
      </c>
      <c r="Q160" s="128">
        <f>IFERROR(INDEX(lifespans_all!Q$80:Q$126,MATCH($A160,lifespans_all!$A$80:$A$126,0))*INDEX(SR_mission_minutes!Q$2:Q$43,MATCH($A160,SR_mission_minutes!$A$2:$A$43)),"-")</f>
        <v>0</v>
      </c>
      <c r="R160" s="128">
        <f>IFERROR(INDEX(lifespans_all!R$80:R$126,MATCH($A160,lifespans_all!$A$80:$A$126,0))*INDEX(SR_mission_minutes!R$2:R$43,MATCH($A160,SR_mission_minutes!$A$2:$A$43)),"-")</f>
        <v>0</v>
      </c>
      <c r="S160" s="128">
        <f>IFERROR(INDEX(lifespans_all!S$80:S$126,MATCH($A160,lifespans_all!$A$80:$A$126,0))*INDEX(SR_mission_minutes!S$2:S$43,MATCH($A160,SR_mission_minutes!$A$2:$A$43)),"-")</f>
        <v>0</v>
      </c>
      <c r="T160" s="128">
        <f>IFERROR(INDEX(lifespans_all!T$80:T$126,MATCH($A160,lifespans_all!$A$80:$A$126,0))*INDEX(SR_mission_minutes!T$2:T$43,MATCH($A160,SR_mission_minutes!$A$2:$A$43)),"-")</f>
        <v>0</v>
      </c>
      <c r="U160" s="128">
        <f>IFERROR(INDEX(lifespans_all!U$80:U$126,MATCH($A160,lifespans_all!$A$80:$A$126,0))*INDEX(SR_mission_minutes!U$2:U$43,MATCH($A160,SR_mission_minutes!$A$2:$A$43)),"-")</f>
        <v>0</v>
      </c>
      <c r="V160" s="128">
        <f>IFERROR(INDEX(lifespans_all!V$80:V$126,MATCH($A160,lifespans_all!$A$80:$A$126,0))*INDEX(SR_mission_minutes!V$2:V$43,MATCH($A160,SR_mission_minutes!$A$2:$A$43)),"-")</f>
        <v>0</v>
      </c>
      <c r="W160" s="128">
        <f>IFERROR(INDEX(lifespans_all!W$80:W$126,MATCH($A160,lifespans_all!$A$80:$A$126,0))*INDEX(SR_mission_minutes!W$2:W$43,MATCH($A160,SR_mission_minutes!$A$2:$A$43)),"-")</f>
        <v>0</v>
      </c>
    </row>
    <row r="161" spans="1:23" x14ac:dyDescent="0.25">
      <c r="A161" s="46" t="s">
        <v>40</v>
      </c>
      <c r="B161" s="46" t="s">
        <v>58</v>
      </c>
      <c r="C161" s="135"/>
      <c r="D161" s="128">
        <f>IFERROR(INDEX(lifespans_all!D$158:D$212,MATCH($A161,lifespans_all!$A$158:$A$212,0))*INDEX(SR_mission_minutes!D$2:D$43,MATCH($A161,SR_mission_minutes!$A$2:$A$43)),"-")</f>
        <v>0</v>
      </c>
      <c r="E161" s="128">
        <f>IFERROR(INDEX(lifespans_all!E$80:E$126,MATCH($A161,lifespans_all!$A$80:$A$126,0))*INDEX(SR_mission_minutes!E$2:E$43,MATCH($A161,SR_mission_minutes!$A$2:$A$43)),"-")</f>
        <v>0</v>
      </c>
      <c r="F161" s="128">
        <f>IFERROR(INDEX(lifespans_all!F$80:F$126,MATCH($A161,lifespans_all!$A$80:$A$126,0))*INDEX(SR_mission_minutes!F$2:F$43,MATCH($A161,SR_mission_minutes!$A$2:$A$43)),"-")</f>
        <v>0</v>
      </c>
      <c r="G161" s="128">
        <f>IFERROR(INDEX(lifespans_all!G$80:G$126,MATCH($A161,lifespans_all!$A$80:$A$126,0))*INDEX(SR_mission_minutes!G$2:G$43,MATCH($A161,SR_mission_minutes!$A$2:$A$43)),"-")</f>
        <v>0</v>
      </c>
      <c r="H161" s="128">
        <f>IFERROR(INDEX(lifespans_all!H$80:H$126,MATCH($A161,lifespans_all!$A$80:$A$126,0))*INDEX(SR_mission_minutes!H$2:H$43,MATCH($A161,SR_mission_minutes!$A$2:$A$43)),"-")</f>
        <v>0</v>
      </c>
      <c r="I161" s="128">
        <f>IFERROR(INDEX(lifespans_all!I$80:I$126,MATCH($A161,lifespans_all!$A$80:$A$126,0))*INDEX(SR_mission_minutes!I$2:I$43,MATCH($A161,SR_mission_minutes!$A$2:$A$43)),"-")</f>
        <v>0</v>
      </c>
      <c r="J161" s="128">
        <f>IFERROR(INDEX(lifespans_all!J$80:J$126,MATCH($A161,lifespans_all!$A$80:$A$126,0))*INDEX(SR_mission_minutes!J$2:J$43,MATCH($A161,SR_mission_minutes!$A$2:$A$43)),"-")</f>
        <v>0</v>
      </c>
      <c r="K161" s="128">
        <f>IFERROR(INDEX(lifespans_all!K$80:K$126,MATCH($A161,lifespans_all!$A$80:$A$126,0))*INDEX(SR_mission_minutes!K$2:K$43,MATCH($A161,SR_mission_minutes!$A$2:$A$43)),"-")</f>
        <v>0</v>
      </c>
      <c r="L161" s="128">
        <f>IFERROR(INDEX(lifespans_all!L$80:L$126,MATCH($A161,lifespans_all!$A$80:$A$126,0))*INDEX(SR_mission_minutes!L$2:L$43,MATCH($A161,SR_mission_minutes!$A$2:$A$43)),"-")</f>
        <v>0</v>
      </c>
      <c r="M161" s="128">
        <f>IFERROR(INDEX(lifespans_all!M$80:M$126,MATCH($A161,lifespans_all!$A$80:$A$126,0))*INDEX(SR_mission_minutes!M$2:M$43,MATCH($A161,SR_mission_minutes!$A$2:$A$43)),"-")</f>
        <v>0</v>
      </c>
      <c r="N161" s="128">
        <f>IFERROR(INDEX(lifespans_all!N$80:N$126,MATCH($A161,lifespans_all!$A$80:$A$126,0))*INDEX(SR_mission_minutes!N$2:N$43,MATCH($A161,SR_mission_minutes!$A$2:$A$43)),"-")</f>
        <v>0</v>
      </c>
      <c r="O161" s="128">
        <f>IFERROR(INDEX(lifespans_all!O$80:O$126,MATCH($A161,lifespans_all!$A$80:$A$126,0))*INDEX(SR_mission_minutes!O$2:O$43,MATCH($A161,SR_mission_minutes!$A$2:$A$43)),"-")</f>
        <v>0</v>
      </c>
      <c r="P161" s="128">
        <f>IFERROR(INDEX(lifespans_all!P$80:P$126,MATCH($A161,lifespans_all!$A$80:$A$126,0))*INDEX(SR_mission_minutes!P$2:P$43,MATCH($A161,SR_mission_minutes!$A$2:$A$43)),"-")</f>
        <v>0</v>
      </c>
      <c r="Q161" s="128">
        <f>IFERROR(INDEX(lifespans_all!Q$80:Q$126,MATCH($A161,lifespans_all!$A$80:$A$126,0))*INDEX(SR_mission_minutes!Q$2:Q$43,MATCH($A161,SR_mission_minutes!$A$2:$A$43)),"-")</f>
        <v>0</v>
      </c>
      <c r="R161" s="128">
        <f>IFERROR(INDEX(lifespans_all!R$80:R$126,MATCH($A161,lifespans_all!$A$80:$A$126,0))*INDEX(SR_mission_minutes!R$2:R$43,MATCH($A161,SR_mission_minutes!$A$2:$A$43)),"-")</f>
        <v>0</v>
      </c>
      <c r="S161" s="128">
        <f>IFERROR(INDEX(lifespans_all!S$80:S$126,MATCH($A161,lifespans_all!$A$80:$A$126,0))*INDEX(SR_mission_minutes!S$2:S$43,MATCH($A161,SR_mission_minutes!$A$2:$A$43)),"-")</f>
        <v>0</v>
      </c>
      <c r="T161" s="128">
        <f>IFERROR(INDEX(lifespans_all!T$80:T$126,MATCH($A161,lifespans_all!$A$80:$A$126,0))*INDEX(SR_mission_minutes!T$2:T$43,MATCH($A161,SR_mission_minutes!$A$2:$A$43)),"-")</f>
        <v>0</v>
      </c>
      <c r="U161" s="128">
        <f>IFERROR(INDEX(lifespans_all!U$80:U$126,MATCH($A161,lifespans_all!$A$80:$A$126,0))*INDEX(SR_mission_minutes!U$2:U$43,MATCH($A161,SR_mission_minutes!$A$2:$A$43)),"-")</f>
        <v>0</v>
      </c>
      <c r="V161" s="128">
        <f>IFERROR(INDEX(lifespans_all!V$80:V$126,MATCH($A161,lifespans_all!$A$80:$A$126,0))*INDEX(SR_mission_minutes!V$2:V$43,MATCH($A161,SR_mission_minutes!$A$2:$A$43)),"-")</f>
        <v>0</v>
      </c>
      <c r="W161" s="128">
        <f>IFERROR(INDEX(lifespans_all!W$80:W$126,MATCH($A161,lifespans_all!$A$80:$A$126,0))*INDEX(SR_mission_minutes!W$2:W$43,MATCH($A161,SR_mission_minutes!$A$2:$A$43)),"-")</f>
        <v>0</v>
      </c>
    </row>
    <row r="162" spans="1:23" x14ac:dyDescent="0.25">
      <c r="A162" s="46" t="s">
        <v>41</v>
      </c>
      <c r="B162" s="46" t="s">
        <v>60</v>
      </c>
      <c r="C162" s="135"/>
      <c r="D162" s="128">
        <f>IFERROR(INDEX(lifespans_all!D$158:D$212,MATCH($A162,lifespans_all!$A$158:$A$212,0))*INDEX(SR_mission_minutes!D$2:D$43,MATCH($A162,SR_mission_minutes!$A$2:$A$43)),"-")</f>
        <v>460.5</v>
      </c>
      <c r="E162" s="128">
        <f>IFERROR(INDEX(lifespans_all!E$80:E$126,MATCH($A162,lifespans_all!$A$80:$A$126,0))*INDEX(SR_mission_minutes!E$2:E$43,MATCH($A162,SR_mission_minutes!$A$2:$A$43)),"-")</f>
        <v>460.5</v>
      </c>
      <c r="F162" s="128">
        <f>IFERROR(INDEX(lifespans_all!F$80:F$126,MATCH($A162,lifespans_all!$A$80:$A$126,0))*INDEX(SR_mission_minutes!F$2:F$43,MATCH($A162,SR_mission_minutes!$A$2:$A$43)),"-")</f>
        <v>460.5</v>
      </c>
      <c r="G162" s="128">
        <f>IFERROR(INDEX(lifespans_all!G$80:G$126,MATCH($A162,lifespans_all!$A$80:$A$126,0))*INDEX(SR_mission_minutes!G$2:G$43,MATCH($A162,SR_mission_minutes!$A$2:$A$43)),"-")</f>
        <v>460.5</v>
      </c>
      <c r="H162" s="128">
        <f>IFERROR(INDEX(lifespans_all!H$80:H$126,MATCH($A162,lifespans_all!$A$80:$A$126,0))*INDEX(SR_mission_minutes!H$2:H$43,MATCH($A162,SR_mission_minutes!$A$2:$A$43)),"-")</f>
        <v>0</v>
      </c>
      <c r="I162" s="128">
        <f>IFERROR(INDEX(lifespans_all!I$80:I$126,MATCH($A162,lifespans_all!$A$80:$A$126,0))*INDEX(SR_mission_minutes!I$2:I$43,MATCH($A162,SR_mission_minutes!$A$2:$A$43)),"-")</f>
        <v>0</v>
      </c>
      <c r="J162" s="128">
        <f>IFERROR(INDEX(lifespans_all!J$80:J$126,MATCH($A162,lifespans_all!$A$80:$A$126,0))*INDEX(SR_mission_minutes!J$2:J$43,MATCH($A162,SR_mission_minutes!$A$2:$A$43)),"-")</f>
        <v>0</v>
      </c>
      <c r="K162" s="128">
        <f>IFERROR(INDEX(lifespans_all!K$80:K$126,MATCH($A162,lifespans_all!$A$80:$A$126,0))*INDEX(SR_mission_minutes!K$2:K$43,MATCH($A162,SR_mission_minutes!$A$2:$A$43)),"-")</f>
        <v>0</v>
      </c>
      <c r="L162" s="128">
        <f>IFERROR(INDEX(lifespans_all!L$80:L$126,MATCH($A162,lifespans_all!$A$80:$A$126,0))*INDEX(SR_mission_minutes!L$2:L$43,MATCH($A162,SR_mission_minutes!$A$2:$A$43)),"-")</f>
        <v>0</v>
      </c>
      <c r="M162" s="128">
        <f>IFERROR(INDEX(lifespans_all!M$80:M$126,MATCH($A162,lifespans_all!$A$80:$A$126,0))*INDEX(SR_mission_minutes!M$2:M$43,MATCH($A162,SR_mission_minutes!$A$2:$A$43)),"-")</f>
        <v>0</v>
      </c>
      <c r="N162" s="128">
        <f>IFERROR(INDEX(lifespans_all!N$80:N$126,MATCH($A162,lifespans_all!$A$80:$A$126,0))*INDEX(SR_mission_minutes!N$2:N$43,MATCH($A162,SR_mission_minutes!$A$2:$A$43)),"-")</f>
        <v>0</v>
      </c>
      <c r="O162" s="128">
        <f>IFERROR(INDEX(lifespans_all!O$80:O$126,MATCH($A162,lifespans_all!$A$80:$A$126,0))*INDEX(SR_mission_minutes!O$2:O$43,MATCH($A162,SR_mission_minutes!$A$2:$A$43)),"-")</f>
        <v>0</v>
      </c>
      <c r="P162" s="128">
        <f>IFERROR(INDEX(lifespans_all!P$80:P$126,MATCH($A162,lifespans_all!$A$80:$A$126,0))*INDEX(SR_mission_minutes!P$2:P$43,MATCH($A162,SR_mission_minutes!$A$2:$A$43)),"-")</f>
        <v>0</v>
      </c>
      <c r="Q162" s="128">
        <f>IFERROR(INDEX(lifespans_all!Q$80:Q$126,MATCH($A162,lifespans_all!$A$80:$A$126,0))*INDEX(SR_mission_minutes!Q$2:Q$43,MATCH($A162,SR_mission_minutes!$A$2:$A$43)),"-")</f>
        <v>0</v>
      </c>
      <c r="R162" s="128">
        <f>IFERROR(INDEX(lifespans_all!R$80:R$126,MATCH($A162,lifespans_all!$A$80:$A$126,0))*INDEX(SR_mission_minutes!R$2:R$43,MATCH($A162,SR_mission_minutes!$A$2:$A$43)),"-")</f>
        <v>0</v>
      </c>
      <c r="S162" s="128">
        <f>IFERROR(INDEX(lifespans_all!S$80:S$126,MATCH($A162,lifespans_all!$A$80:$A$126,0))*INDEX(SR_mission_minutes!S$2:S$43,MATCH($A162,SR_mission_minutes!$A$2:$A$43)),"-")</f>
        <v>0</v>
      </c>
      <c r="T162" s="128">
        <f>IFERROR(INDEX(lifespans_all!T$80:T$126,MATCH($A162,lifespans_all!$A$80:$A$126,0))*INDEX(SR_mission_minutes!T$2:T$43,MATCH($A162,SR_mission_minutes!$A$2:$A$43)),"-")</f>
        <v>0</v>
      </c>
      <c r="U162" s="128">
        <f>IFERROR(INDEX(lifespans_all!U$80:U$126,MATCH($A162,lifespans_all!$A$80:$A$126,0))*INDEX(SR_mission_minutes!U$2:U$43,MATCH($A162,SR_mission_minutes!$A$2:$A$43)),"-")</f>
        <v>0</v>
      </c>
      <c r="V162" s="128">
        <f>IFERROR(INDEX(lifespans_all!V$80:V$126,MATCH($A162,lifespans_all!$A$80:$A$126,0))*INDEX(SR_mission_minutes!V$2:V$43,MATCH($A162,SR_mission_minutes!$A$2:$A$43)),"-")</f>
        <v>0</v>
      </c>
      <c r="W162" s="128">
        <f>IFERROR(INDEX(lifespans_all!W$80:W$126,MATCH($A162,lifespans_all!$A$80:$A$126,0))*INDEX(SR_mission_minutes!W$2:W$43,MATCH($A162,SR_mission_minutes!$A$2:$A$43)),"-")</f>
        <v>0</v>
      </c>
    </row>
    <row r="163" spans="1:23" x14ac:dyDescent="0.25">
      <c r="A163" s="46" t="s">
        <v>74</v>
      </c>
      <c r="B163" s="46" t="s">
        <v>57</v>
      </c>
      <c r="C163" s="135"/>
      <c r="D163" s="128">
        <f>IFERROR(INDEX(lifespans_all!D$158:D$212,MATCH($A163,lifespans_all!$A$158:$A$212,0))*INDEX(SR_mission_minutes!D$2:D$43,MATCH($A163,SR_mission_minutes!$A$2:$A$43)),"-")</f>
        <v>66700.388888888891</v>
      </c>
      <c r="E163" s="128">
        <f>IFERROR(INDEX(lifespans_all!E$80:E$126,MATCH($A163,lifespans_all!$A$80:$A$126,0))*INDEX(SR_mission_minutes!E$2:E$43,MATCH($A163,SR_mission_minutes!$A$2:$A$43)),"-")</f>
        <v>0</v>
      </c>
      <c r="F163" s="128">
        <f>IFERROR(INDEX(lifespans_all!F$80:F$126,MATCH($A163,lifespans_all!$A$80:$A$126,0))*INDEX(SR_mission_minutes!F$2:F$43,MATCH($A163,SR_mission_minutes!$A$2:$A$43)),"-")</f>
        <v>0</v>
      </c>
      <c r="G163" s="128">
        <f>IFERROR(INDEX(lifespans_all!G$80:G$126,MATCH($A163,lifespans_all!$A$80:$A$126,0))*INDEX(SR_mission_minutes!G$2:G$43,MATCH($A163,SR_mission_minutes!$A$2:$A$43)),"-")</f>
        <v>0</v>
      </c>
      <c r="H163" s="128">
        <f>IFERROR(INDEX(lifespans_all!H$80:H$126,MATCH($A163,lifespans_all!$A$80:$A$126,0))*INDEX(SR_mission_minutes!H$2:H$43,MATCH($A163,SR_mission_minutes!$A$2:$A$43)),"-")</f>
        <v>0</v>
      </c>
      <c r="I163" s="128">
        <f>IFERROR(INDEX(lifespans_all!I$80:I$126,MATCH($A163,lifespans_all!$A$80:$A$126,0))*INDEX(SR_mission_minutes!I$2:I$43,MATCH($A163,SR_mission_minutes!$A$2:$A$43)),"-")</f>
        <v>0</v>
      </c>
      <c r="J163" s="128">
        <f>IFERROR(INDEX(lifespans_all!J$80:J$126,MATCH($A163,lifespans_all!$A$80:$A$126,0))*INDEX(SR_mission_minutes!J$2:J$43,MATCH($A163,SR_mission_minutes!$A$2:$A$43)),"-")</f>
        <v>0</v>
      </c>
      <c r="K163" s="128">
        <f>IFERROR(INDEX(lifespans_all!K$80:K$126,MATCH($A163,lifespans_all!$A$80:$A$126,0))*INDEX(SR_mission_minutes!K$2:K$43,MATCH($A163,SR_mission_minutes!$A$2:$A$43)),"-")</f>
        <v>0</v>
      </c>
      <c r="L163" s="128">
        <f>IFERROR(INDEX(lifespans_all!L$80:L$126,MATCH($A163,lifespans_all!$A$80:$A$126,0))*INDEX(SR_mission_minutes!L$2:L$43,MATCH($A163,SR_mission_minutes!$A$2:$A$43)),"-")</f>
        <v>0</v>
      </c>
      <c r="M163" s="128">
        <f>IFERROR(INDEX(lifespans_all!M$80:M$126,MATCH($A163,lifespans_all!$A$80:$A$126,0))*INDEX(SR_mission_minutes!M$2:M$43,MATCH($A163,SR_mission_minutes!$A$2:$A$43)),"-")</f>
        <v>0</v>
      </c>
      <c r="N163" s="128">
        <f>IFERROR(INDEX(lifespans_all!N$80:N$126,MATCH($A163,lifespans_all!$A$80:$A$126,0))*INDEX(SR_mission_minutes!N$2:N$43,MATCH($A163,SR_mission_minutes!$A$2:$A$43)),"-")</f>
        <v>0</v>
      </c>
      <c r="O163" s="128">
        <f>IFERROR(INDEX(lifespans_all!O$80:O$126,MATCH($A163,lifespans_all!$A$80:$A$126,0))*INDEX(SR_mission_minutes!O$2:O$43,MATCH($A163,SR_mission_minutes!$A$2:$A$43)),"-")</f>
        <v>0</v>
      </c>
      <c r="P163" s="128">
        <f>IFERROR(INDEX(lifespans_all!P$80:P$126,MATCH($A163,lifespans_all!$A$80:$A$126,0))*INDEX(SR_mission_minutes!P$2:P$43,MATCH($A163,SR_mission_minutes!$A$2:$A$43)),"-")</f>
        <v>0</v>
      </c>
      <c r="Q163" s="128">
        <f>IFERROR(INDEX(lifespans_all!Q$80:Q$126,MATCH($A163,lifespans_all!$A$80:$A$126,0))*INDEX(SR_mission_minutes!Q$2:Q$43,MATCH($A163,SR_mission_minutes!$A$2:$A$43)),"-")</f>
        <v>0</v>
      </c>
      <c r="R163" s="128">
        <f>IFERROR(INDEX(lifespans_all!R$80:R$126,MATCH($A163,lifespans_all!$A$80:$A$126,0))*INDEX(SR_mission_minutes!R$2:R$43,MATCH($A163,SR_mission_minutes!$A$2:$A$43)),"-")</f>
        <v>0</v>
      </c>
      <c r="S163" s="128">
        <f>IFERROR(INDEX(lifespans_all!S$80:S$126,MATCH($A163,lifespans_all!$A$80:$A$126,0))*INDEX(SR_mission_minutes!S$2:S$43,MATCH($A163,SR_mission_minutes!$A$2:$A$43)),"-")</f>
        <v>0</v>
      </c>
      <c r="T163" s="128">
        <f>IFERROR(INDEX(lifespans_all!T$80:T$126,MATCH($A163,lifespans_all!$A$80:$A$126,0))*INDEX(SR_mission_minutes!T$2:T$43,MATCH($A163,SR_mission_minutes!$A$2:$A$43)),"-")</f>
        <v>0</v>
      </c>
      <c r="U163" s="128">
        <f>IFERROR(INDEX(lifespans_all!U$80:U$126,MATCH($A163,lifespans_all!$A$80:$A$126,0))*INDEX(SR_mission_minutes!U$2:U$43,MATCH($A163,SR_mission_minutes!$A$2:$A$43)),"-")</f>
        <v>0</v>
      </c>
      <c r="V163" s="128">
        <f>IFERROR(INDEX(lifespans_all!V$80:V$126,MATCH($A163,lifespans_all!$A$80:$A$126,0))*INDEX(SR_mission_minutes!V$2:V$43,MATCH($A163,SR_mission_minutes!$A$2:$A$43)),"-")</f>
        <v>0</v>
      </c>
      <c r="W163" s="128">
        <f>IFERROR(INDEX(lifespans_all!W$80:W$126,MATCH($A163,lifespans_all!$A$80:$A$126,0))*INDEX(SR_mission_minutes!W$2:W$43,MATCH($A163,SR_mission_minutes!$A$2:$A$43)),"-")</f>
        <v>0</v>
      </c>
    </row>
    <row r="164" spans="1:23" x14ac:dyDescent="0.25">
      <c r="A164" s="46" t="s">
        <v>75</v>
      </c>
      <c r="B164" s="46" t="s">
        <v>57</v>
      </c>
      <c r="C164" s="135"/>
      <c r="D164" s="128">
        <f>IFERROR(INDEX(lifespans_all!D$158:D$212,MATCH($A164,lifespans_all!$A$158:$A$212,0))*INDEX(SR_mission_minutes!D$2:D$43,MATCH($A164,SR_mission_minutes!$A$2:$A$43)),"-")</f>
        <v>66700.388888888891</v>
      </c>
      <c r="E164" s="128">
        <f>IFERROR(INDEX(lifespans_all!E$80:E$126,MATCH($A164,lifespans_all!$A$80:$A$126,0))*INDEX(SR_mission_minutes!E$2:E$43,MATCH($A164,SR_mission_minutes!$A$2:$A$43)),"-")</f>
        <v>66700.388888888891</v>
      </c>
      <c r="F164" s="128">
        <f>IFERROR(INDEX(lifespans_all!F$80:F$126,MATCH($A164,lifespans_all!$A$80:$A$126,0))*INDEX(SR_mission_minutes!F$2:F$43,MATCH($A164,SR_mission_minutes!$A$2:$A$43)),"-")</f>
        <v>66700.388888888891</v>
      </c>
      <c r="G164" s="128">
        <f>IFERROR(INDEX(lifespans_all!G$80:G$126,MATCH($A164,lifespans_all!$A$80:$A$126,0))*INDEX(SR_mission_minutes!G$2:G$43,MATCH($A164,SR_mission_minutes!$A$2:$A$43)),"-")</f>
        <v>0</v>
      </c>
      <c r="H164" s="128">
        <f>IFERROR(INDEX(lifespans_all!H$80:H$126,MATCH($A164,lifespans_all!$A$80:$A$126,0))*INDEX(SR_mission_minutes!H$2:H$43,MATCH($A164,SR_mission_minutes!$A$2:$A$43)),"-")</f>
        <v>0</v>
      </c>
      <c r="I164" s="128">
        <f>IFERROR(INDEX(lifespans_all!I$80:I$126,MATCH($A164,lifespans_all!$A$80:$A$126,0))*INDEX(SR_mission_minutes!I$2:I$43,MATCH($A164,SR_mission_minutes!$A$2:$A$43)),"-")</f>
        <v>0</v>
      </c>
      <c r="J164" s="128">
        <f>IFERROR(INDEX(lifespans_all!J$80:J$126,MATCH($A164,lifespans_all!$A$80:$A$126,0))*INDEX(SR_mission_minutes!J$2:J$43,MATCH($A164,SR_mission_minutes!$A$2:$A$43)),"-")</f>
        <v>0</v>
      </c>
      <c r="K164" s="128">
        <f>IFERROR(INDEX(lifespans_all!K$80:K$126,MATCH($A164,lifespans_all!$A$80:$A$126,0))*INDEX(SR_mission_minutes!K$2:K$43,MATCH($A164,SR_mission_minutes!$A$2:$A$43)),"-")</f>
        <v>0</v>
      </c>
      <c r="L164" s="128">
        <f>IFERROR(INDEX(lifespans_all!L$80:L$126,MATCH($A164,lifespans_all!$A$80:$A$126,0))*INDEX(SR_mission_minutes!L$2:L$43,MATCH($A164,SR_mission_minutes!$A$2:$A$43)),"-")</f>
        <v>0</v>
      </c>
      <c r="M164" s="128">
        <f>IFERROR(INDEX(lifespans_all!M$80:M$126,MATCH($A164,lifespans_all!$A$80:$A$126,0))*INDEX(SR_mission_minutes!M$2:M$43,MATCH($A164,SR_mission_minutes!$A$2:$A$43)),"-")</f>
        <v>0</v>
      </c>
      <c r="N164" s="128">
        <f>IFERROR(INDEX(lifespans_all!N$80:N$126,MATCH($A164,lifespans_all!$A$80:$A$126,0))*INDEX(SR_mission_minutes!N$2:N$43,MATCH($A164,SR_mission_minutes!$A$2:$A$43)),"-")</f>
        <v>0</v>
      </c>
      <c r="O164" s="128">
        <f>IFERROR(INDEX(lifespans_all!O$80:O$126,MATCH($A164,lifespans_all!$A$80:$A$126,0))*INDEX(SR_mission_minutes!O$2:O$43,MATCH($A164,SR_mission_minutes!$A$2:$A$43)),"-")</f>
        <v>0</v>
      </c>
      <c r="P164" s="128">
        <f>IFERROR(INDEX(lifespans_all!P$80:P$126,MATCH($A164,lifespans_all!$A$80:$A$126,0))*INDEX(SR_mission_minutes!P$2:P$43,MATCH($A164,SR_mission_minutes!$A$2:$A$43)),"-")</f>
        <v>0</v>
      </c>
      <c r="Q164" s="128">
        <f>IFERROR(INDEX(lifespans_all!Q$80:Q$126,MATCH($A164,lifespans_all!$A$80:$A$126,0))*INDEX(SR_mission_minutes!Q$2:Q$43,MATCH($A164,SR_mission_minutes!$A$2:$A$43)),"-")</f>
        <v>0</v>
      </c>
      <c r="R164" s="128">
        <f>IFERROR(INDEX(lifespans_all!R$80:R$126,MATCH($A164,lifespans_all!$A$80:$A$126,0))*INDEX(SR_mission_minutes!R$2:R$43,MATCH($A164,SR_mission_minutes!$A$2:$A$43)),"-")</f>
        <v>0</v>
      </c>
      <c r="S164" s="128">
        <f>IFERROR(INDEX(lifespans_all!S$80:S$126,MATCH($A164,lifespans_all!$A$80:$A$126,0))*INDEX(SR_mission_minutes!S$2:S$43,MATCH($A164,SR_mission_minutes!$A$2:$A$43)),"-")</f>
        <v>0</v>
      </c>
      <c r="T164" s="128">
        <f>IFERROR(INDEX(lifespans_all!T$80:T$126,MATCH($A164,lifespans_all!$A$80:$A$126,0))*INDEX(SR_mission_minutes!T$2:T$43,MATCH($A164,SR_mission_minutes!$A$2:$A$43)),"-")</f>
        <v>0</v>
      </c>
      <c r="U164" s="128">
        <f>IFERROR(INDEX(lifespans_all!U$80:U$126,MATCH($A164,lifespans_all!$A$80:$A$126,0))*INDEX(SR_mission_minutes!U$2:U$43,MATCH($A164,SR_mission_minutes!$A$2:$A$43)),"-")</f>
        <v>0</v>
      </c>
      <c r="V164" s="128">
        <f>IFERROR(INDEX(lifespans_all!V$80:V$126,MATCH($A164,lifespans_all!$A$80:$A$126,0))*INDEX(SR_mission_minutes!V$2:V$43,MATCH($A164,SR_mission_minutes!$A$2:$A$43)),"-")</f>
        <v>0</v>
      </c>
      <c r="W164" s="128">
        <f>IFERROR(INDEX(lifespans_all!W$80:W$126,MATCH($A164,lifespans_all!$A$80:$A$126,0))*INDEX(SR_mission_minutes!W$2:W$43,MATCH($A164,SR_mission_minutes!$A$2:$A$43)),"-")</f>
        <v>0</v>
      </c>
    </row>
    <row r="165" spans="1:23" x14ac:dyDescent="0.25">
      <c r="A165" s="46" t="s">
        <v>76</v>
      </c>
      <c r="B165" s="46" t="s">
        <v>57</v>
      </c>
      <c r="C165" s="135"/>
      <c r="D165" s="128">
        <f>IFERROR(INDEX(lifespans_all!D$158:D$212,MATCH($A165,lifespans_all!$A$158:$A$212,0))*INDEX(SR_mission_minutes!D$2:D$43,MATCH($A165,SR_mission_minutes!$A$2:$A$43)),"-")</f>
        <v>66700.388888888891</v>
      </c>
      <c r="E165" s="128">
        <f>IFERROR(INDEX(lifespans_all!E$80:E$126,MATCH($A165,lifespans_all!$A$80:$A$126,0))*INDEX(SR_mission_minutes!E$2:E$43,MATCH($A165,SR_mission_minutes!$A$2:$A$43)),"-")</f>
        <v>66700.388888888891</v>
      </c>
      <c r="F165" s="128">
        <f>IFERROR(INDEX(lifespans_all!F$80:F$126,MATCH($A165,lifespans_all!$A$80:$A$126,0))*INDEX(SR_mission_minutes!F$2:F$43,MATCH($A165,SR_mission_minutes!$A$2:$A$43)),"-")</f>
        <v>66700.388888888891</v>
      </c>
      <c r="G165" s="128">
        <f>IFERROR(INDEX(lifespans_all!G$80:G$126,MATCH($A165,lifespans_all!$A$80:$A$126,0))*INDEX(SR_mission_minutes!G$2:G$43,MATCH($A165,SR_mission_minutes!$A$2:$A$43)),"-")</f>
        <v>66700.388888888891</v>
      </c>
      <c r="H165" s="128">
        <f>IFERROR(INDEX(lifespans_all!H$80:H$126,MATCH($A165,lifespans_all!$A$80:$A$126,0))*INDEX(SR_mission_minutes!H$2:H$43,MATCH($A165,SR_mission_minutes!$A$2:$A$43)),"-")</f>
        <v>66700.388888888891</v>
      </c>
      <c r="I165" s="128">
        <f>IFERROR(INDEX(lifespans_all!I$80:I$126,MATCH($A165,lifespans_all!$A$80:$A$126,0))*INDEX(SR_mission_minutes!I$2:I$43,MATCH($A165,SR_mission_minutes!$A$2:$A$43)),"-")</f>
        <v>66700.388888888891</v>
      </c>
      <c r="J165" s="128">
        <f>IFERROR(INDEX(lifespans_all!J$80:J$126,MATCH($A165,lifespans_all!$A$80:$A$126,0))*INDEX(SR_mission_minutes!J$2:J$43,MATCH($A165,SR_mission_minutes!$A$2:$A$43)),"-")</f>
        <v>0</v>
      </c>
      <c r="K165" s="128">
        <f>IFERROR(INDEX(lifespans_all!K$80:K$126,MATCH($A165,lifespans_all!$A$80:$A$126,0))*INDEX(SR_mission_minutes!K$2:K$43,MATCH($A165,SR_mission_minutes!$A$2:$A$43)),"-")</f>
        <v>0</v>
      </c>
      <c r="L165" s="128">
        <f>IFERROR(INDEX(lifespans_all!L$80:L$126,MATCH($A165,lifespans_all!$A$80:$A$126,0))*INDEX(SR_mission_minutes!L$2:L$43,MATCH($A165,SR_mission_minutes!$A$2:$A$43)),"-")</f>
        <v>0</v>
      </c>
      <c r="M165" s="128">
        <f>IFERROR(INDEX(lifespans_all!M$80:M$126,MATCH($A165,lifespans_all!$A$80:$A$126,0))*INDEX(SR_mission_minutes!M$2:M$43,MATCH($A165,SR_mission_minutes!$A$2:$A$43)),"-")</f>
        <v>0</v>
      </c>
      <c r="N165" s="128">
        <f>IFERROR(INDEX(lifespans_all!N$80:N$126,MATCH($A165,lifespans_all!$A$80:$A$126,0))*INDEX(SR_mission_minutes!N$2:N$43,MATCH($A165,SR_mission_minutes!$A$2:$A$43)),"-")</f>
        <v>0</v>
      </c>
      <c r="O165" s="128">
        <f>IFERROR(INDEX(lifespans_all!O$80:O$126,MATCH($A165,lifespans_all!$A$80:$A$126,0))*INDEX(SR_mission_minutes!O$2:O$43,MATCH($A165,SR_mission_minutes!$A$2:$A$43)),"-")</f>
        <v>0</v>
      </c>
      <c r="P165" s="128">
        <f>IFERROR(INDEX(lifespans_all!P$80:P$126,MATCH($A165,lifespans_all!$A$80:$A$126,0))*INDEX(SR_mission_minutes!P$2:P$43,MATCH($A165,SR_mission_minutes!$A$2:$A$43)),"-")</f>
        <v>0</v>
      </c>
      <c r="Q165" s="128">
        <f>IFERROR(INDEX(lifespans_all!Q$80:Q$126,MATCH($A165,lifespans_all!$A$80:$A$126,0))*INDEX(SR_mission_minutes!Q$2:Q$43,MATCH($A165,SR_mission_minutes!$A$2:$A$43)),"-")</f>
        <v>0</v>
      </c>
      <c r="R165" s="128">
        <f>IFERROR(INDEX(lifespans_all!R$80:R$126,MATCH($A165,lifespans_all!$A$80:$A$126,0))*INDEX(SR_mission_minutes!R$2:R$43,MATCH($A165,SR_mission_minutes!$A$2:$A$43)),"-")</f>
        <v>0</v>
      </c>
      <c r="S165" s="128">
        <f>IFERROR(INDEX(lifespans_all!S$80:S$126,MATCH($A165,lifespans_all!$A$80:$A$126,0))*INDEX(SR_mission_minutes!S$2:S$43,MATCH($A165,SR_mission_minutes!$A$2:$A$43)),"-")</f>
        <v>0</v>
      </c>
      <c r="T165" s="128">
        <f>IFERROR(INDEX(lifespans_all!T$80:T$126,MATCH($A165,lifespans_all!$A$80:$A$126,0))*INDEX(SR_mission_minutes!T$2:T$43,MATCH($A165,SR_mission_minutes!$A$2:$A$43)),"-")</f>
        <v>0</v>
      </c>
      <c r="U165" s="128">
        <f>IFERROR(INDEX(lifespans_all!U$80:U$126,MATCH($A165,lifespans_all!$A$80:$A$126,0))*INDEX(SR_mission_minutes!U$2:U$43,MATCH($A165,SR_mission_minutes!$A$2:$A$43)),"-")</f>
        <v>0</v>
      </c>
      <c r="V165" s="128">
        <f>IFERROR(INDEX(lifespans_all!V$80:V$126,MATCH($A165,lifespans_all!$A$80:$A$126,0))*INDEX(SR_mission_minutes!V$2:V$43,MATCH($A165,SR_mission_minutes!$A$2:$A$43)),"-")</f>
        <v>0</v>
      </c>
      <c r="W165" s="128">
        <f>IFERROR(INDEX(lifespans_all!W$80:W$126,MATCH($A165,lifespans_all!$A$80:$A$126,0))*INDEX(SR_mission_minutes!W$2:W$43,MATCH($A165,SR_mission_minutes!$A$2:$A$43)),"-")</f>
        <v>0</v>
      </c>
    </row>
    <row r="166" spans="1:23" x14ac:dyDescent="0.25">
      <c r="A166" s="46" t="s">
        <v>42</v>
      </c>
      <c r="B166" s="46" t="s">
        <v>61</v>
      </c>
      <c r="C166" s="135"/>
      <c r="D166" s="128">
        <f>IFERROR(INDEX(lifespans_all!D$158:D$212,MATCH($A166,lifespans_all!$A$158:$A$212,0))*INDEX(SR_mission_minutes!D$2:D$43,MATCH($A166,SR_mission_minutes!$A$2:$A$43)),"-")</f>
        <v>33739.333333333336</v>
      </c>
      <c r="E166" s="128">
        <f>IFERROR(INDEX(lifespans_all!E$80:E$126,MATCH($A166,lifespans_all!$A$80:$A$126,0))*INDEX(SR_mission_minutes!E$2:E$43,MATCH($A166,SR_mission_minutes!$A$2:$A$43)),"-")</f>
        <v>33739.333333333336</v>
      </c>
      <c r="F166" s="128">
        <f>IFERROR(INDEX(lifespans_all!F$80:F$126,MATCH($A166,lifespans_all!$A$80:$A$126,0))*INDEX(SR_mission_minutes!F$2:F$43,MATCH($A166,SR_mission_minutes!$A$2:$A$43)),"-")</f>
        <v>33739.333333333336</v>
      </c>
      <c r="G166" s="128">
        <f>IFERROR(INDEX(lifespans_all!G$80:G$126,MATCH($A166,lifespans_all!$A$80:$A$126,0))*INDEX(SR_mission_minutes!G$2:G$43,MATCH($A166,SR_mission_minutes!$A$2:$A$43)),"-")</f>
        <v>33739.333333333336</v>
      </c>
      <c r="H166" s="128">
        <f>IFERROR(INDEX(lifespans_all!H$80:H$126,MATCH($A166,lifespans_all!$A$80:$A$126,0))*INDEX(SR_mission_minutes!H$2:H$43,MATCH($A166,SR_mission_minutes!$A$2:$A$43)),"-")</f>
        <v>33739.333333333336</v>
      </c>
      <c r="I166" s="128">
        <f>IFERROR(INDEX(lifespans_all!I$80:I$126,MATCH($A166,lifespans_all!$A$80:$A$126,0))*INDEX(SR_mission_minutes!I$2:I$43,MATCH($A166,SR_mission_minutes!$A$2:$A$43)),"-")</f>
        <v>33739.333333333336</v>
      </c>
      <c r="J166" s="128">
        <f>IFERROR(INDEX(lifespans_all!J$80:J$126,MATCH($A166,lifespans_all!$A$80:$A$126,0))*INDEX(SR_mission_minutes!J$2:J$43,MATCH($A166,SR_mission_minutes!$A$2:$A$43)),"-")</f>
        <v>33739.333333333336</v>
      </c>
      <c r="K166" s="128">
        <f>IFERROR(INDEX(lifespans_all!K$80:K$126,MATCH($A166,lifespans_all!$A$80:$A$126,0))*INDEX(SR_mission_minutes!K$2:K$43,MATCH($A166,SR_mission_minutes!$A$2:$A$43)),"-")</f>
        <v>33739.333333333336</v>
      </c>
      <c r="L166" s="128">
        <f>IFERROR(INDEX(lifespans_all!L$80:L$126,MATCH($A166,lifespans_all!$A$80:$A$126,0))*INDEX(SR_mission_minutes!L$2:L$43,MATCH($A166,SR_mission_minutes!$A$2:$A$43)),"-")</f>
        <v>33739.333333333336</v>
      </c>
      <c r="M166" s="128">
        <f>IFERROR(INDEX(lifespans_all!M$80:M$126,MATCH($A166,lifespans_all!$A$80:$A$126,0))*INDEX(SR_mission_minutes!M$2:M$43,MATCH($A166,SR_mission_minutes!$A$2:$A$43)),"-")</f>
        <v>33739.333333333336</v>
      </c>
      <c r="N166" s="128">
        <f>IFERROR(INDEX(lifespans_all!N$80:N$126,MATCH($A166,lifespans_all!$A$80:$A$126,0))*INDEX(SR_mission_minutes!N$2:N$43,MATCH($A166,SR_mission_minutes!$A$2:$A$43)),"-")</f>
        <v>33739.333333333336</v>
      </c>
      <c r="O166" s="128">
        <f>IFERROR(INDEX(lifespans_all!O$80:O$126,MATCH($A166,lifespans_all!$A$80:$A$126,0))*INDEX(SR_mission_minutes!O$2:O$43,MATCH($A166,SR_mission_minutes!$A$2:$A$43)),"-")</f>
        <v>33739.333333333336</v>
      </c>
      <c r="P166" s="128">
        <f>IFERROR(INDEX(lifespans_all!P$80:P$126,MATCH($A166,lifespans_all!$A$80:$A$126,0))*INDEX(SR_mission_minutes!P$2:P$43,MATCH($A166,SR_mission_minutes!$A$2:$A$43)),"-")</f>
        <v>33739.333333333336</v>
      </c>
      <c r="Q166" s="128">
        <f>IFERROR(INDEX(lifespans_all!Q$80:Q$126,MATCH($A166,lifespans_all!$A$80:$A$126,0))*INDEX(SR_mission_minutes!Q$2:Q$43,MATCH($A166,SR_mission_minutes!$A$2:$A$43)),"-")</f>
        <v>33739.333333333336</v>
      </c>
      <c r="R166" s="128">
        <f>IFERROR(INDEX(lifespans_all!R$80:R$126,MATCH($A166,lifespans_all!$A$80:$A$126,0))*INDEX(SR_mission_minutes!R$2:R$43,MATCH($A166,SR_mission_minutes!$A$2:$A$43)),"-")</f>
        <v>33739.333333333336</v>
      </c>
      <c r="S166" s="128">
        <f>IFERROR(INDEX(lifespans_all!S$80:S$126,MATCH($A166,lifespans_all!$A$80:$A$126,0))*INDEX(SR_mission_minutes!S$2:S$43,MATCH($A166,SR_mission_minutes!$A$2:$A$43)),"-")</f>
        <v>33739.333333333336</v>
      </c>
      <c r="T166" s="128">
        <f>IFERROR(INDEX(lifespans_all!T$80:T$126,MATCH($A166,lifespans_all!$A$80:$A$126,0))*INDEX(SR_mission_minutes!T$2:T$43,MATCH($A166,SR_mission_minutes!$A$2:$A$43)),"-")</f>
        <v>33739.333333333336</v>
      </c>
      <c r="U166" s="128">
        <f>IFERROR(INDEX(lifespans_all!U$80:U$126,MATCH($A166,lifespans_all!$A$80:$A$126,0))*INDEX(SR_mission_minutes!U$2:U$43,MATCH($A166,SR_mission_minutes!$A$2:$A$43)),"-")</f>
        <v>33739.333333333336</v>
      </c>
      <c r="V166" s="128">
        <f>IFERROR(INDEX(lifespans_all!V$80:V$126,MATCH($A166,lifespans_all!$A$80:$A$126,0))*INDEX(SR_mission_minutes!V$2:V$43,MATCH($A166,SR_mission_minutes!$A$2:$A$43)),"-")</f>
        <v>33739.333333333336</v>
      </c>
      <c r="W166" s="128">
        <f>IFERROR(INDEX(lifespans_all!W$80:W$126,MATCH($A166,lifespans_all!$A$80:$A$126,0))*INDEX(SR_mission_minutes!W$2:W$43,MATCH($A166,SR_mission_minutes!$A$2:$A$43)),"-")</f>
        <v>33739.333333333336</v>
      </c>
    </row>
    <row r="167" spans="1:23" x14ac:dyDescent="0.25">
      <c r="A167" s="46" t="s">
        <v>77</v>
      </c>
      <c r="B167" s="46" t="s">
        <v>58</v>
      </c>
      <c r="C167" s="135"/>
      <c r="D167" s="128">
        <f>IFERROR(INDEX(lifespans_all!D$158:D$212,MATCH($A167,lifespans_all!$A$158:$A$212,0))*INDEX(SR_mission_minutes!D$2:D$43,MATCH($A167,SR_mission_minutes!$A$2:$A$43)),"-")</f>
        <v>2294</v>
      </c>
      <c r="E167" s="128">
        <f>IFERROR(INDEX(lifespans_all!E$80:E$126,MATCH($A167,lifespans_all!$A$80:$A$126,0))*INDEX(SR_mission_minutes!E$2:E$43,MATCH($A167,SR_mission_minutes!$A$2:$A$43)),"-")</f>
        <v>2294</v>
      </c>
      <c r="F167" s="128">
        <f>IFERROR(INDEX(lifespans_all!F$80:F$126,MATCH($A167,lifespans_all!$A$80:$A$126,0))*INDEX(SR_mission_minutes!F$2:F$43,MATCH($A167,SR_mission_minutes!$A$2:$A$43)),"-")</f>
        <v>2294</v>
      </c>
      <c r="G167" s="128">
        <f>IFERROR(INDEX(lifespans_all!G$80:G$126,MATCH($A167,lifespans_all!$A$80:$A$126,0))*INDEX(SR_mission_minutes!G$2:G$43,MATCH($A167,SR_mission_minutes!$A$2:$A$43)),"-")</f>
        <v>2294</v>
      </c>
      <c r="H167" s="128">
        <f>IFERROR(INDEX(lifespans_all!H$80:H$126,MATCH($A167,lifespans_all!$A$80:$A$126,0))*INDEX(SR_mission_minutes!H$2:H$43,MATCH($A167,SR_mission_minutes!$A$2:$A$43)),"-")</f>
        <v>2294</v>
      </c>
      <c r="I167" s="128">
        <f>IFERROR(INDEX(lifespans_all!I$80:I$126,MATCH($A167,lifespans_all!$A$80:$A$126,0))*INDEX(SR_mission_minutes!I$2:I$43,MATCH($A167,SR_mission_minutes!$A$2:$A$43)),"-")</f>
        <v>2294</v>
      </c>
      <c r="J167" s="128">
        <f>IFERROR(INDEX(lifespans_all!J$80:J$126,MATCH($A167,lifespans_all!$A$80:$A$126,0))*INDEX(SR_mission_minutes!J$2:J$43,MATCH($A167,SR_mission_minutes!$A$2:$A$43)),"-")</f>
        <v>2294</v>
      </c>
      <c r="K167" s="128">
        <f>IFERROR(INDEX(lifespans_all!K$80:K$126,MATCH($A167,lifespans_all!$A$80:$A$126,0))*INDEX(SR_mission_minutes!K$2:K$43,MATCH($A167,SR_mission_minutes!$A$2:$A$43)),"-")</f>
        <v>2294</v>
      </c>
      <c r="L167" s="128">
        <f>IFERROR(INDEX(lifespans_all!L$80:L$126,MATCH($A167,lifespans_all!$A$80:$A$126,0))*INDEX(SR_mission_minutes!L$2:L$43,MATCH($A167,SR_mission_minutes!$A$2:$A$43)),"-")</f>
        <v>2294</v>
      </c>
      <c r="M167" s="128">
        <f>IFERROR(INDEX(lifespans_all!M$80:M$126,MATCH($A167,lifespans_all!$A$80:$A$126,0))*INDEX(SR_mission_minutes!M$2:M$43,MATCH($A167,SR_mission_minutes!$A$2:$A$43)),"-")</f>
        <v>2294</v>
      </c>
      <c r="N167" s="128">
        <f>IFERROR(INDEX(lifespans_all!N$80:N$126,MATCH($A167,lifespans_all!$A$80:$A$126,0))*INDEX(SR_mission_minutes!N$2:N$43,MATCH($A167,SR_mission_minutes!$A$2:$A$43)),"-")</f>
        <v>2294</v>
      </c>
      <c r="O167" s="128">
        <f>IFERROR(INDEX(lifespans_all!O$80:O$126,MATCH($A167,lifespans_all!$A$80:$A$126,0))*INDEX(SR_mission_minutes!O$2:O$43,MATCH($A167,SR_mission_minutes!$A$2:$A$43)),"-")</f>
        <v>2294</v>
      </c>
      <c r="P167" s="128">
        <f>IFERROR(INDEX(lifespans_all!P$80:P$126,MATCH($A167,lifespans_all!$A$80:$A$126,0))*INDEX(SR_mission_minutes!P$2:P$43,MATCH($A167,SR_mission_minutes!$A$2:$A$43)),"-")</f>
        <v>2294</v>
      </c>
      <c r="Q167" s="128">
        <f>IFERROR(INDEX(lifespans_all!Q$80:Q$126,MATCH($A167,lifespans_all!$A$80:$A$126,0))*INDEX(SR_mission_minutes!Q$2:Q$43,MATCH($A167,SR_mission_minutes!$A$2:$A$43)),"-")</f>
        <v>2294</v>
      </c>
      <c r="R167" s="128">
        <f>IFERROR(INDEX(lifespans_all!R$80:R$126,MATCH($A167,lifespans_all!$A$80:$A$126,0))*INDEX(SR_mission_minutes!R$2:R$43,MATCH($A167,SR_mission_minutes!$A$2:$A$43)),"-")</f>
        <v>2294</v>
      </c>
      <c r="S167" s="128">
        <f>IFERROR(INDEX(lifespans_all!S$80:S$126,MATCH($A167,lifespans_all!$A$80:$A$126,0))*INDEX(SR_mission_minutes!S$2:S$43,MATCH($A167,SR_mission_minutes!$A$2:$A$43)),"-")</f>
        <v>2294</v>
      </c>
      <c r="T167" s="128">
        <f>IFERROR(INDEX(lifespans_all!T$80:T$126,MATCH($A167,lifespans_all!$A$80:$A$126,0))*INDEX(SR_mission_minutes!T$2:T$43,MATCH($A167,SR_mission_minutes!$A$2:$A$43)),"-")</f>
        <v>2294</v>
      </c>
      <c r="U167" s="128">
        <f>IFERROR(INDEX(lifespans_all!U$80:U$126,MATCH($A167,lifespans_all!$A$80:$A$126,0))*INDEX(SR_mission_minutes!U$2:U$43,MATCH($A167,SR_mission_minutes!$A$2:$A$43)),"-")</f>
        <v>2294</v>
      </c>
      <c r="V167" s="128">
        <f>IFERROR(INDEX(lifespans_all!V$80:V$126,MATCH($A167,lifespans_all!$A$80:$A$126,0))*INDEX(SR_mission_minutes!V$2:V$43,MATCH($A167,SR_mission_minutes!$A$2:$A$43)),"-")</f>
        <v>2294</v>
      </c>
      <c r="W167" s="128">
        <f>IFERROR(INDEX(lifespans_all!W$80:W$126,MATCH($A167,lifespans_all!$A$80:$A$126,0))*INDEX(SR_mission_minutes!W$2:W$43,MATCH($A167,SR_mission_minutes!$A$2:$A$43)),"-")</f>
        <v>2294</v>
      </c>
    </row>
    <row r="168" spans="1:23" x14ac:dyDescent="0.25">
      <c r="A168" s="46" t="s">
        <v>135</v>
      </c>
      <c r="B168" s="46" t="s">
        <v>56</v>
      </c>
      <c r="C168" s="135"/>
      <c r="D168" s="128" t="str">
        <f>IFERROR(INDEX(lifespans_all!D$158:D$212,MATCH($A168,lifespans_all!$A$158:$A$212,0))*INDEX(SR_mission_minutes!D$2:D$43,MATCH($A168,SR_mission_minutes!$A$2:$A$43)),"-")</f>
        <v>-</v>
      </c>
      <c r="E168" s="128" t="str">
        <f>IFERROR(INDEX(lifespans_all!E$80:E$126,MATCH($A168,lifespans_all!$A$80:$A$126,0))*INDEX(SR_mission_minutes!E$2:E$43,MATCH($A168,SR_mission_minutes!$A$2:$A$43)),"-")</f>
        <v>-</v>
      </c>
      <c r="F168" s="128" t="str">
        <f>IFERROR(INDEX(lifespans_all!F$80:F$126,MATCH($A168,lifespans_all!$A$80:$A$126,0))*INDEX(SR_mission_minutes!F$2:F$43,MATCH($A168,SR_mission_minutes!$A$2:$A$43)),"-")</f>
        <v>-</v>
      </c>
      <c r="G168" s="128" t="str">
        <f>IFERROR(INDEX(lifespans_all!G$80:G$126,MATCH($A168,lifespans_all!$A$80:$A$126,0))*INDEX(SR_mission_minutes!G$2:G$43,MATCH($A168,SR_mission_minutes!$A$2:$A$43)),"-")</f>
        <v>-</v>
      </c>
      <c r="H168" s="128" t="str">
        <f>IFERROR(INDEX(lifespans_all!H$80:H$126,MATCH($A168,lifespans_all!$A$80:$A$126,0))*INDEX(SR_mission_minutes!H$2:H$43,MATCH($A168,SR_mission_minutes!$A$2:$A$43)),"-")</f>
        <v>-</v>
      </c>
      <c r="I168" s="128" t="str">
        <f>IFERROR(INDEX(lifespans_all!I$80:I$126,MATCH($A168,lifespans_all!$A$80:$A$126,0))*INDEX(SR_mission_minutes!I$2:I$43,MATCH($A168,SR_mission_minutes!$A$2:$A$43)),"-")</f>
        <v>-</v>
      </c>
      <c r="J168" s="128" t="str">
        <f>IFERROR(INDEX(lifespans_all!J$80:J$126,MATCH($A168,lifespans_all!$A$80:$A$126,0))*INDEX(SR_mission_minutes!J$2:J$43,MATCH($A168,SR_mission_minutes!$A$2:$A$43)),"-")</f>
        <v>-</v>
      </c>
      <c r="K168" s="128" t="str">
        <f>IFERROR(INDEX(lifespans_all!K$80:K$126,MATCH($A168,lifespans_all!$A$80:$A$126,0))*INDEX(SR_mission_minutes!K$2:K$43,MATCH($A168,SR_mission_minutes!$A$2:$A$43)),"-")</f>
        <v>-</v>
      </c>
      <c r="L168" s="128" t="str">
        <f>IFERROR(INDEX(lifespans_all!L$80:L$126,MATCH($A168,lifespans_all!$A$80:$A$126,0))*INDEX(SR_mission_minutes!L$2:L$43,MATCH($A168,SR_mission_minutes!$A$2:$A$43)),"-")</f>
        <v>-</v>
      </c>
      <c r="M168" s="128" t="str">
        <f>IFERROR(INDEX(lifespans_all!M$80:M$126,MATCH($A168,lifespans_all!$A$80:$A$126,0))*INDEX(SR_mission_minutes!M$2:M$43,MATCH($A168,SR_mission_minutes!$A$2:$A$43)),"-")</f>
        <v>-</v>
      </c>
      <c r="N168" s="128" t="str">
        <f>IFERROR(INDEX(lifespans_all!N$80:N$126,MATCH($A168,lifespans_all!$A$80:$A$126,0))*INDEX(SR_mission_minutes!N$2:N$43,MATCH($A168,SR_mission_minutes!$A$2:$A$43)),"-")</f>
        <v>-</v>
      </c>
      <c r="O168" s="128" t="str">
        <f>IFERROR(INDEX(lifespans_all!O$80:O$126,MATCH($A168,lifespans_all!$A$80:$A$126,0))*INDEX(SR_mission_minutes!O$2:O$43,MATCH($A168,SR_mission_minutes!$A$2:$A$43)),"-")</f>
        <v>-</v>
      </c>
      <c r="P168" s="128" t="str">
        <f>IFERROR(INDEX(lifespans_all!P$80:P$126,MATCH($A168,lifespans_all!$A$80:$A$126,0))*INDEX(SR_mission_minutes!P$2:P$43,MATCH($A168,SR_mission_minutes!$A$2:$A$43)),"-")</f>
        <v>-</v>
      </c>
      <c r="Q168" s="128" t="str">
        <f>IFERROR(INDEX(lifespans_all!Q$80:Q$126,MATCH($A168,lifespans_all!$A$80:$A$126,0))*INDEX(SR_mission_minutes!Q$2:Q$43,MATCH($A168,SR_mission_minutes!$A$2:$A$43)),"-")</f>
        <v>-</v>
      </c>
      <c r="R168" s="128" t="str">
        <f>IFERROR(INDEX(lifespans_all!R$80:R$126,MATCH($A168,lifespans_all!$A$80:$A$126,0))*INDEX(SR_mission_minutes!R$2:R$43,MATCH($A168,SR_mission_minutes!$A$2:$A$43)),"-")</f>
        <v>-</v>
      </c>
      <c r="S168" s="128" t="str">
        <f>IFERROR(INDEX(lifespans_all!S$80:S$126,MATCH($A168,lifespans_all!$A$80:$A$126,0))*INDEX(SR_mission_minutes!S$2:S$43,MATCH($A168,SR_mission_minutes!$A$2:$A$43)),"-")</f>
        <v>-</v>
      </c>
      <c r="T168" s="128" t="str">
        <f>IFERROR(INDEX(lifespans_all!T$80:T$126,MATCH($A168,lifespans_all!$A$80:$A$126,0))*INDEX(SR_mission_minutes!T$2:T$43,MATCH($A168,SR_mission_minutes!$A$2:$A$43)),"-")</f>
        <v>-</v>
      </c>
      <c r="U168" s="128" t="str">
        <f>IFERROR(INDEX(lifespans_all!U$80:U$126,MATCH($A168,lifespans_all!$A$80:$A$126,0))*INDEX(SR_mission_minutes!U$2:U$43,MATCH($A168,SR_mission_minutes!$A$2:$A$43)),"-")</f>
        <v>-</v>
      </c>
      <c r="V168" s="128" t="str">
        <f>IFERROR(INDEX(lifespans_all!V$80:V$126,MATCH($A168,lifespans_all!$A$80:$A$126,0))*INDEX(SR_mission_minutes!V$2:V$43,MATCH($A168,SR_mission_minutes!$A$2:$A$43)),"-")</f>
        <v>-</v>
      </c>
      <c r="W168" s="128" t="str">
        <f>IFERROR(INDEX(lifespans_all!W$80:W$126,MATCH($A168,lifespans_all!$A$80:$A$126,0))*INDEX(SR_mission_minutes!W$2:W$43,MATCH($A168,SR_mission_minutes!$A$2:$A$43)),"-")</f>
        <v>-</v>
      </c>
    </row>
    <row r="169" spans="1:23" x14ac:dyDescent="0.25">
      <c r="A169" s="46" t="s">
        <v>136</v>
      </c>
      <c r="B169" s="46" t="s">
        <v>56</v>
      </c>
      <c r="C169" s="135"/>
      <c r="D169" s="128" t="str">
        <f>IFERROR(INDEX(lifespans_all!D$158:D$212,MATCH($A169,lifespans_all!$A$158:$A$212,0))*INDEX(SR_mission_minutes!D$2:D$43,MATCH($A169,SR_mission_minutes!$A$2:$A$43)),"-")</f>
        <v>-</v>
      </c>
      <c r="E169" s="128" t="str">
        <f>IFERROR(INDEX(lifespans_all!E$80:E$126,MATCH($A169,lifespans_all!$A$80:$A$126,0))*INDEX(SR_mission_minutes!E$2:E$43,MATCH($A169,SR_mission_minutes!$A$2:$A$43)),"-")</f>
        <v>-</v>
      </c>
      <c r="F169" s="128" t="str">
        <f>IFERROR(INDEX(lifespans_all!F$80:F$126,MATCH($A169,lifespans_all!$A$80:$A$126,0))*INDEX(SR_mission_minutes!F$2:F$43,MATCH($A169,SR_mission_minutes!$A$2:$A$43)),"-")</f>
        <v>-</v>
      </c>
      <c r="G169" s="128" t="str">
        <f>IFERROR(INDEX(lifespans_all!G$80:G$126,MATCH($A169,lifespans_all!$A$80:$A$126,0))*INDEX(SR_mission_minutes!G$2:G$43,MATCH($A169,SR_mission_minutes!$A$2:$A$43)),"-")</f>
        <v>-</v>
      </c>
      <c r="H169" s="128" t="str">
        <f>IFERROR(INDEX(lifespans_all!H$80:H$126,MATCH($A169,lifespans_all!$A$80:$A$126,0))*INDEX(SR_mission_minutes!H$2:H$43,MATCH($A169,SR_mission_minutes!$A$2:$A$43)),"-")</f>
        <v>-</v>
      </c>
      <c r="I169" s="128" t="str">
        <f>IFERROR(INDEX(lifespans_all!I$80:I$126,MATCH($A169,lifespans_all!$A$80:$A$126,0))*INDEX(SR_mission_minutes!I$2:I$43,MATCH($A169,SR_mission_minutes!$A$2:$A$43)),"-")</f>
        <v>-</v>
      </c>
      <c r="J169" s="128" t="str">
        <f>IFERROR(INDEX(lifespans_all!J$80:J$126,MATCH($A169,lifespans_all!$A$80:$A$126,0))*INDEX(SR_mission_minutes!J$2:J$43,MATCH($A169,SR_mission_minutes!$A$2:$A$43)),"-")</f>
        <v>-</v>
      </c>
      <c r="K169" s="128" t="str">
        <f>IFERROR(INDEX(lifespans_all!K$80:K$126,MATCH($A169,lifespans_all!$A$80:$A$126,0))*INDEX(SR_mission_minutes!K$2:K$43,MATCH($A169,SR_mission_minutes!$A$2:$A$43)),"-")</f>
        <v>-</v>
      </c>
      <c r="L169" s="128" t="str">
        <f>IFERROR(INDEX(lifespans_all!L$80:L$126,MATCH($A169,lifespans_all!$A$80:$A$126,0))*INDEX(SR_mission_minutes!L$2:L$43,MATCH($A169,SR_mission_minutes!$A$2:$A$43)),"-")</f>
        <v>-</v>
      </c>
      <c r="M169" s="128" t="str">
        <f>IFERROR(INDEX(lifespans_all!M$80:M$126,MATCH($A169,lifespans_all!$A$80:$A$126,0))*INDEX(SR_mission_minutes!M$2:M$43,MATCH($A169,SR_mission_minutes!$A$2:$A$43)),"-")</f>
        <v>-</v>
      </c>
      <c r="N169" s="128" t="str">
        <f>IFERROR(INDEX(lifespans_all!N$80:N$126,MATCH($A169,lifespans_all!$A$80:$A$126,0))*INDEX(SR_mission_minutes!N$2:N$43,MATCH($A169,SR_mission_minutes!$A$2:$A$43)),"-")</f>
        <v>-</v>
      </c>
      <c r="O169" s="128" t="str">
        <f>IFERROR(INDEX(lifespans_all!O$80:O$126,MATCH($A169,lifespans_all!$A$80:$A$126,0))*INDEX(SR_mission_minutes!O$2:O$43,MATCH($A169,SR_mission_minutes!$A$2:$A$43)),"-")</f>
        <v>-</v>
      </c>
      <c r="P169" s="128" t="str">
        <f>IFERROR(INDEX(lifespans_all!P$80:P$126,MATCH($A169,lifespans_all!$A$80:$A$126,0))*INDEX(SR_mission_minutes!P$2:P$43,MATCH($A169,SR_mission_minutes!$A$2:$A$43)),"-")</f>
        <v>-</v>
      </c>
      <c r="Q169" s="128" t="str">
        <f>IFERROR(INDEX(lifespans_all!Q$80:Q$126,MATCH($A169,lifespans_all!$A$80:$A$126,0))*INDEX(SR_mission_minutes!Q$2:Q$43,MATCH($A169,SR_mission_minutes!$A$2:$A$43)),"-")</f>
        <v>-</v>
      </c>
      <c r="R169" s="128" t="str">
        <f>IFERROR(INDEX(lifespans_all!R$80:R$126,MATCH($A169,lifespans_all!$A$80:$A$126,0))*INDEX(SR_mission_minutes!R$2:R$43,MATCH($A169,SR_mission_minutes!$A$2:$A$43)),"-")</f>
        <v>-</v>
      </c>
      <c r="S169" s="128" t="str">
        <f>IFERROR(INDEX(lifespans_all!S$80:S$126,MATCH($A169,lifespans_all!$A$80:$A$126,0))*INDEX(SR_mission_minutes!S$2:S$43,MATCH($A169,SR_mission_minutes!$A$2:$A$43)),"-")</f>
        <v>-</v>
      </c>
      <c r="T169" s="128" t="str">
        <f>IFERROR(INDEX(lifespans_all!T$80:T$126,MATCH($A169,lifespans_all!$A$80:$A$126,0))*INDEX(SR_mission_minutes!T$2:T$43,MATCH($A169,SR_mission_minutes!$A$2:$A$43)),"-")</f>
        <v>-</v>
      </c>
      <c r="U169" s="128" t="str">
        <f>IFERROR(INDEX(lifespans_all!U$80:U$126,MATCH($A169,lifespans_all!$A$80:$A$126,0))*INDEX(SR_mission_minutes!U$2:U$43,MATCH($A169,SR_mission_minutes!$A$2:$A$43)),"-")</f>
        <v>-</v>
      </c>
      <c r="V169" s="128" t="str">
        <f>IFERROR(INDEX(lifespans_all!V$80:V$126,MATCH($A169,lifespans_all!$A$80:$A$126,0))*INDEX(SR_mission_minutes!V$2:V$43,MATCH($A169,SR_mission_minutes!$A$2:$A$43)),"-")</f>
        <v>-</v>
      </c>
      <c r="W169" s="128" t="str">
        <f>IFERROR(INDEX(lifespans_all!W$80:W$126,MATCH($A169,lifespans_all!$A$80:$A$126,0))*INDEX(SR_mission_minutes!W$2:W$43,MATCH($A169,SR_mission_minutes!$A$2:$A$43)),"-")</f>
        <v>-</v>
      </c>
    </row>
    <row r="170" spans="1:23" x14ac:dyDescent="0.25">
      <c r="A170" s="46" t="s">
        <v>137</v>
      </c>
      <c r="B170" s="46" t="s">
        <v>56</v>
      </c>
      <c r="C170" s="135"/>
      <c r="D170" s="128" t="str">
        <f>IFERROR(INDEX(lifespans_all!D$158:D$212,MATCH($A170,lifespans_all!$A$158:$A$212,0))*INDEX(SR_mission_minutes!D$2:D$43,MATCH($A170,SR_mission_minutes!$A$2:$A$43)),"-")</f>
        <v>-</v>
      </c>
      <c r="E170" s="128" t="str">
        <f>IFERROR(INDEX(lifespans_all!E$80:E$126,MATCH($A170,lifespans_all!$A$80:$A$126,0))*INDEX(SR_mission_minutes!E$2:E$43,MATCH($A170,SR_mission_minutes!$A$2:$A$43)),"-")</f>
        <v>-</v>
      </c>
      <c r="F170" s="128" t="str">
        <f>IFERROR(INDEX(lifespans_all!F$80:F$126,MATCH($A170,lifespans_all!$A$80:$A$126,0))*INDEX(SR_mission_minutes!F$2:F$43,MATCH($A170,SR_mission_minutes!$A$2:$A$43)),"-")</f>
        <v>-</v>
      </c>
      <c r="G170" s="128" t="str">
        <f>IFERROR(INDEX(lifespans_all!G$80:G$126,MATCH($A170,lifespans_all!$A$80:$A$126,0))*INDEX(SR_mission_minutes!G$2:G$43,MATCH($A170,SR_mission_minutes!$A$2:$A$43)),"-")</f>
        <v>-</v>
      </c>
      <c r="H170" s="128" t="str">
        <f>IFERROR(INDEX(lifespans_all!H$80:H$126,MATCH($A170,lifespans_all!$A$80:$A$126,0))*INDEX(SR_mission_minutes!H$2:H$43,MATCH($A170,SR_mission_minutes!$A$2:$A$43)),"-")</f>
        <v>-</v>
      </c>
      <c r="I170" s="128" t="str">
        <f>IFERROR(INDEX(lifespans_all!I$80:I$126,MATCH($A170,lifespans_all!$A$80:$A$126,0))*INDEX(SR_mission_minutes!I$2:I$43,MATCH($A170,SR_mission_minutes!$A$2:$A$43)),"-")</f>
        <v>-</v>
      </c>
      <c r="J170" s="128" t="str">
        <f>IFERROR(INDEX(lifespans_all!J$80:J$126,MATCH($A170,lifespans_all!$A$80:$A$126,0))*INDEX(SR_mission_minutes!J$2:J$43,MATCH($A170,SR_mission_minutes!$A$2:$A$43)),"-")</f>
        <v>-</v>
      </c>
      <c r="K170" s="128" t="str">
        <f>IFERROR(INDEX(lifespans_all!K$80:K$126,MATCH($A170,lifespans_all!$A$80:$A$126,0))*INDEX(SR_mission_minutes!K$2:K$43,MATCH($A170,SR_mission_minutes!$A$2:$A$43)),"-")</f>
        <v>-</v>
      </c>
      <c r="L170" s="128" t="str">
        <f>IFERROR(INDEX(lifespans_all!L$80:L$126,MATCH($A170,lifespans_all!$A$80:$A$126,0))*INDEX(SR_mission_minutes!L$2:L$43,MATCH($A170,SR_mission_minutes!$A$2:$A$43)),"-")</f>
        <v>-</v>
      </c>
      <c r="M170" s="128" t="str">
        <f>IFERROR(INDEX(lifespans_all!M$80:M$126,MATCH($A170,lifespans_all!$A$80:$A$126,0))*INDEX(SR_mission_minutes!M$2:M$43,MATCH($A170,SR_mission_minutes!$A$2:$A$43)),"-")</f>
        <v>-</v>
      </c>
      <c r="N170" s="128" t="str">
        <f>IFERROR(INDEX(lifespans_all!N$80:N$126,MATCH($A170,lifespans_all!$A$80:$A$126,0))*INDEX(SR_mission_minutes!N$2:N$43,MATCH($A170,SR_mission_minutes!$A$2:$A$43)),"-")</f>
        <v>-</v>
      </c>
      <c r="O170" s="128" t="str">
        <f>IFERROR(INDEX(lifespans_all!O$80:O$126,MATCH($A170,lifespans_all!$A$80:$A$126,0))*INDEX(SR_mission_minutes!O$2:O$43,MATCH($A170,SR_mission_minutes!$A$2:$A$43)),"-")</f>
        <v>-</v>
      </c>
      <c r="P170" s="128" t="str">
        <f>IFERROR(INDEX(lifespans_all!P$80:P$126,MATCH($A170,lifespans_all!$A$80:$A$126,0))*INDEX(SR_mission_minutes!P$2:P$43,MATCH($A170,SR_mission_minutes!$A$2:$A$43)),"-")</f>
        <v>-</v>
      </c>
      <c r="Q170" s="128" t="str">
        <f>IFERROR(INDEX(lifespans_all!Q$80:Q$126,MATCH($A170,lifespans_all!$A$80:$A$126,0))*INDEX(SR_mission_minutes!Q$2:Q$43,MATCH($A170,SR_mission_minutes!$A$2:$A$43)),"-")</f>
        <v>-</v>
      </c>
      <c r="R170" s="128" t="str">
        <f>IFERROR(INDEX(lifespans_all!R$80:R$126,MATCH($A170,lifespans_all!$A$80:$A$126,0))*INDEX(SR_mission_minutes!R$2:R$43,MATCH($A170,SR_mission_minutes!$A$2:$A$43)),"-")</f>
        <v>-</v>
      </c>
      <c r="S170" s="128" t="str">
        <f>IFERROR(INDEX(lifespans_all!S$80:S$126,MATCH($A170,lifespans_all!$A$80:$A$126,0))*INDEX(SR_mission_minutes!S$2:S$43,MATCH($A170,SR_mission_minutes!$A$2:$A$43)),"-")</f>
        <v>-</v>
      </c>
      <c r="T170" s="128" t="str">
        <f>IFERROR(INDEX(lifespans_all!T$80:T$126,MATCH($A170,lifespans_all!$A$80:$A$126,0))*INDEX(SR_mission_minutes!T$2:T$43,MATCH($A170,SR_mission_minutes!$A$2:$A$43)),"-")</f>
        <v>-</v>
      </c>
      <c r="U170" s="128" t="str">
        <f>IFERROR(INDEX(lifespans_all!U$80:U$126,MATCH($A170,lifespans_all!$A$80:$A$126,0))*INDEX(SR_mission_minutes!U$2:U$43,MATCH($A170,SR_mission_minutes!$A$2:$A$43)),"-")</f>
        <v>-</v>
      </c>
      <c r="V170" s="128" t="str">
        <f>IFERROR(INDEX(lifespans_all!V$80:V$126,MATCH($A170,lifespans_all!$A$80:$A$126,0))*INDEX(SR_mission_minutes!V$2:V$43,MATCH($A170,SR_mission_minutes!$A$2:$A$43)),"-")</f>
        <v>-</v>
      </c>
      <c r="W170" s="128" t="str">
        <f>IFERROR(INDEX(lifespans_all!W$80:W$126,MATCH($A170,lifespans_all!$A$80:$A$126,0))*INDEX(SR_mission_minutes!W$2:W$43,MATCH($A170,SR_mission_minutes!$A$2:$A$43)),"-")</f>
        <v>-</v>
      </c>
    </row>
    <row r="171" spans="1:23" x14ac:dyDescent="0.25">
      <c r="A171" s="46" t="s">
        <v>138</v>
      </c>
      <c r="B171" s="46" t="s">
        <v>56</v>
      </c>
      <c r="C171" s="135"/>
      <c r="D171" s="128" t="str">
        <f>IFERROR(INDEX(lifespans_all!D$158:D$212,MATCH($A171,lifespans_all!$A$158:$A$212,0))*INDEX(SR_mission_minutes!D$2:D$43,MATCH($A171,SR_mission_minutes!$A$2:$A$43)),"-")</f>
        <v>-</v>
      </c>
      <c r="E171" s="128" t="str">
        <f>IFERROR(INDEX(lifespans_all!E$80:E$126,MATCH($A171,lifespans_all!$A$80:$A$126,0))*INDEX(SR_mission_minutes!E$2:E$43,MATCH($A171,SR_mission_minutes!$A$2:$A$43)),"-")</f>
        <v>-</v>
      </c>
      <c r="F171" s="128" t="str">
        <f>IFERROR(INDEX(lifespans_all!F$80:F$126,MATCH($A171,lifespans_all!$A$80:$A$126,0))*INDEX(SR_mission_minutes!F$2:F$43,MATCH($A171,SR_mission_minutes!$A$2:$A$43)),"-")</f>
        <v>-</v>
      </c>
      <c r="G171" s="128" t="str">
        <f>IFERROR(INDEX(lifespans_all!G$80:G$126,MATCH($A171,lifespans_all!$A$80:$A$126,0))*INDEX(SR_mission_minutes!G$2:G$43,MATCH($A171,SR_mission_minutes!$A$2:$A$43)),"-")</f>
        <v>-</v>
      </c>
      <c r="H171" s="128" t="str">
        <f>IFERROR(INDEX(lifespans_all!H$80:H$126,MATCH($A171,lifespans_all!$A$80:$A$126,0))*INDEX(SR_mission_minutes!H$2:H$43,MATCH($A171,SR_mission_minutes!$A$2:$A$43)),"-")</f>
        <v>-</v>
      </c>
      <c r="I171" s="128" t="str">
        <f>IFERROR(INDEX(lifespans_all!I$80:I$126,MATCH($A171,lifespans_all!$A$80:$A$126,0))*INDEX(SR_mission_minutes!I$2:I$43,MATCH($A171,SR_mission_minutes!$A$2:$A$43)),"-")</f>
        <v>-</v>
      </c>
      <c r="J171" s="128" t="str">
        <f>IFERROR(INDEX(lifespans_all!J$80:J$126,MATCH($A171,lifespans_all!$A$80:$A$126,0))*INDEX(SR_mission_minutes!J$2:J$43,MATCH($A171,SR_mission_minutes!$A$2:$A$43)),"-")</f>
        <v>-</v>
      </c>
      <c r="K171" s="128" t="str">
        <f>IFERROR(INDEX(lifespans_all!K$80:K$126,MATCH($A171,lifespans_all!$A$80:$A$126,0))*INDEX(SR_mission_minutes!K$2:K$43,MATCH($A171,SR_mission_minutes!$A$2:$A$43)),"-")</f>
        <v>-</v>
      </c>
      <c r="L171" s="128" t="str">
        <f>IFERROR(INDEX(lifespans_all!L$80:L$126,MATCH($A171,lifespans_all!$A$80:$A$126,0))*INDEX(SR_mission_minutes!L$2:L$43,MATCH($A171,SR_mission_minutes!$A$2:$A$43)),"-")</f>
        <v>-</v>
      </c>
      <c r="M171" s="128" t="str">
        <f>IFERROR(INDEX(lifespans_all!M$80:M$126,MATCH($A171,lifespans_all!$A$80:$A$126,0))*INDEX(SR_mission_minutes!M$2:M$43,MATCH($A171,SR_mission_minutes!$A$2:$A$43)),"-")</f>
        <v>-</v>
      </c>
      <c r="N171" s="128" t="str">
        <f>IFERROR(INDEX(lifespans_all!N$80:N$126,MATCH($A171,lifespans_all!$A$80:$A$126,0))*INDEX(SR_mission_minutes!N$2:N$43,MATCH($A171,SR_mission_minutes!$A$2:$A$43)),"-")</f>
        <v>-</v>
      </c>
      <c r="O171" s="128" t="str">
        <f>IFERROR(INDEX(lifespans_all!O$80:O$126,MATCH($A171,lifespans_all!$A$80:$A$126,0))*INDEX(SR_mission_minutes!O$2:O$43,MATCH($A171,SR_mission_minutes!$A$2:$A$43)),"-")</f>
        <v>-</v>
      </c>
      <c r="P171" s="128" t="str">
        <f>IFERROR(INDEX(lifespans_all!P$80:P$126,MATCH($A171,lifespans_all!$A$80:$A$126,0))*INDEX(SR_mission_minutes!P$2:P$43,MATCH($A171,SR_mission_minutes!$A$2:$A$43)),"-")</f>
        <v>-</v>
      </c>
      <c r="Q171" s="128" t="str">
        <f>IFERROR(INDEX(lifespans_all!Q$80:Q$126,MATCH($A171,lifespans_all!$A$80:$A$126,0))*INDEX(SR_mission_minutes!Q$2:Q$43,MATCH($A171,SR_mission_minutes!$A$2:$A$43)),"-")</f>
        <v>-</v>
      </c>
      <c r="R171" s="128" t="str">
        <f>IFERROR(INDEX(lifespans_all!R$80:R$126,MATCH($A171,lifespans_all!$A$80:$A$126,0))*INDEX(SR_mission_minutes!R$2:R$43,MATCH($A171,SR_mission_minutes!$A$2:$A$43)),"-")</f>
        <v>-</v>
      </c>
      <c r="S171" s="128" t="str">
        <f>IFERROR(INDEX(lifespans_all!S$80:S$126,MATCH($A171,lifespans_all!$A$80:$A$126,0))*INDEX(SR_mission_minutes!S$2:S$43,MATCH($A171,SR_mission_minutes!$A$2:$A$43)),"-")</f>
        <v>-</v>
      </c>
      <c r="T171" s="128" t="str">
        <f>IFERROR(INDEX(lifespans_all!T$80:T$126,MATCH($A171,lifespans_all!$A$80:$A$126,0))*INDEX(SR_mission_minutes!T$2:T$43,MATCH($A171,SR_mission_minutes!$A$2:$A$43)),"-")</f>
        <v>-</v>
      </c>
      <c r="U171" s="128" t="str">
        <f>IFERROR(INDEX(lifespans_all!U$80:U$126,MATCH($A171,lifespans_all!$A$80:$A$126,0))*INDEX(SR_mission_minutes!U$2:U$43,MATCH($A171,SR_mission_minutes!$A$2:$A$43)),"-")</f>
        <v>-</v>
      </c>
      <c r="V171" s="128" t="str">
        <f>IFERROR(INDEX(lifespans_all!V$80:V$126,MATCH($A171,lifespans_all!$A$80:$A$126,0))*INDEX(SR_mission_minutes!V$2:V$43,MATCH($A171,SR_mission_minutes!$A$2:$A$43)),"-")</f>
        <v>-</v>
      </c>
      <c r="W171" s="128" t="str">
        <f>IFERROR(INDEX(lifespans_all!W$80:W$126,MATCH($A171,lifespans_all!$A$80:$A$126,0))*INDEX(SR_mission_minutes!W$2:W$43,MATCH($A171,SR_mission_minutes!$A$2:$A$43)),"-")</f>
        <v>-</v>
      </c>
    </row>
    <row r="172" spans="1:23" x14ac:dyDescent="0.25">
      <c r="A172" s="46" t="s">
        <v>43</v>
      </c>
      <c r="B172" s="46" t="s">
        <v>61</v>
      </c>
      <c r="C172" s="135"/>
      <c r="D172" s="128">
        <f>IFERROR(INDEX(lifespans_all!D$158:D$212,MATCH($A172,lifespans_all!$A$158:$A$212,0))*INDEX(SR_mission_minutes!D$2:D$43,MATCH($A172,SR_mission_minutes!$A$2:$A$43)),"-")</f>
        <v>33739.333333333336</v>
      </c>
      <c r="E172" s="128">
        <f>IFERROR(INDEX(lifespans_all!E$80:E$126,MATCH($A172,lifespans_all!$A$80:$A$126,0))*INDEX(SR_mission_minutes!E$2:E$43,MATCH($A172,SR_mission_minutes!$A$2:$A$43)),"-")</f>
        <v>0</v>
      </c>
      <c r="F172" s="128">
        <f>IFERROR(INDEX(lifespans_all!F$80:F$126,MATCH($A172,lifespans_all!$A$80:$A$126,0))*INDEX(SR_mission_minutes!F$2:F$43,MATCH($A172,SR_mission_minutes!$A$2:$A$43)),"-")</f>
        <v>0</v>
      </c>
      <c r="G172" s="128">
        <f>IFERROR(INDEX(lifespans_all!G$80:G$126,MATCH($A172,lifespans_all!$A$80:$A$126,0))*INDEX(SR_mission_minutes!G$2:G$43,MATCH($A172,SR_mission_minutes!$A$2:$A$43)),"-")</f>
        <v>0</v>
      </c>
      <c r="H172" s="128">
        <f>IFERROR(INDEX(lifespans_all!H$80:H$126,MATCH($A172,lifespans_all!$A$80:$A$126,0))*INDEX(SR_mission_minutes!H$2:H$43,MATCH($A172,SR_mission_minutes!$A$2:$A$43)),"-")</f>
        <v>0</v>
      </c>
      <c r="I172" s="128">
        <f>IFERROR(INDEX(lifespans_all!I$80:I$126,MATCH($A172,lifespans_all!$A$80:$A$126,0))*INDEX(SR_mission_minutes!I$2:I$43,MATCH($A172,SR_mission_minutes!$A$2:$A$43)),"-")</f>
        <v>0</v>
      </c>
      <c r="J172" s="128">
        <f>IFERROR(INDEX(lifespans_all!J$80:J$126,MATCH($A172,lifespans_all!$A$80:$A$126,0))*INDEX(SR_mission_minutes!J$2:J$43,MATCH($A172,SR_mission_minutes!$A$2:$A$43)),"-")</f>
        <v>0</v>
      </c>
      <c r="K172" s="128">
        <f>IFERROR(INDEX(lifespans_all!K$80:K$126,MATCH($A172,lifespans_all!$A$80:$A$126,0))*INDEX(SR_mission_minutes!K$2:K$43,MATCH($A172,SR_mission_minutes!$A$2:$A$43)),"-")</f>
        <v>0</v>
      </c>
      <c r="L172" s="128">
        <f>IFERROR(INDEX(lifespans_all!L$80:L$126,MATCH($A172,lifespans_all!$A$80:$A$126,0))*INDEX(SR_mission_minutes!L$2:L$43,MATCH($A172,SR_mission_minutes!$A$2:$A$43)),"-")</f>
        <v>0</v>
      </c>
      <c r="M172" s="128">
        <f>IFERROR(INDEX(lifespans_all!M$80:M$126,MATCH($A172,lifespans_all!$A$80:$A$126,0))*INDEX(SR_mission_minutes!M$2:M$43,MATCH($A172,SR_mission_minutes!$A$2:$A$43)),"-")</f>
        <v>0</v>
      </c>
      <c r="N172" s="128">
        <f>IFERROR(INDEX(lifespans_all!N$80:N$126,MATCH($A172,lifespans_all!$A$80:$A$126,0))*INDEX(SR_mission_minutes!N$2:N$43,MATCH($A172,SR_mission_minutes!$A$2:$A$43)),"-")</f>
        <v>0</v>
      </c>
      <c r="O172" s="128">
        <f>IFERROR(INDEX(lifespans_all!O$80:O$126,MATCH($A172,lifespans_all!$A$80:$A$126,0))*INDEX(SR_mission_minutes!O$2:O$43,MATCH($A172,SR_mission_minutes!$A$2:$A$43)),"-")</f>
        <v>0</v>
      </c>
      <c r="P172" s="128">
        <f>IFERROR(INDEX(lifespans_all!P$80:P$126,MATCH($A172,lifespans_all!$A$80:$A$126,0))*INDEX(SR_mission_minutes!P$2:P$43,MATCH($A172,SR_mission_minutes!$A$2:$A$43)),"-")</f>
        <v>0</v>
      </c>
      <c r="Q172" s="128">
        <f>IFERROR(INDEX(lifespans_all!Q$80:Q$126,MATCH($A172,lifespans_all!$A$80:$A$126,0))*INDEX(SR_mission_minutes!Q$2:Q$43,MATCH($A172,SR_mission_minutes!$A$2:$A$43)),"-")</f>
        <v>0</v>
      </c>
      <c r="R172" s="128">
        <f>IFERROR(INDEX(lifespans_all!R$80:R$126,MATCH($A172,lifespans_all!$A$80:$A$126,0))*INDEX(SR_mission_minutes!R$2:R$43,MATCH($A172,SR_mission_minutes!$A$2:$A$43)),"-")</f>
        <v>0</v>
      </c>
      <c r="S172" s="128">
        <f>IFERROR(INDEX(lifespans_all!S$80:S$126,MATCH($A172,lifespans_all!$A$80:$A$126,0))*INDEX(SR_mission_minutes!S$2:S$43,MATCH($A172,SR_mission_minutes!$A$2:$A$43)),"-")</f>
        <v>0</v>
      </c>
      <c r="T172" s="128">
        <f>IFERROR(INDEX(lifespans_all!T$80:T$126,MATCH($A172,lifespans_all!$A$80:$A$126,0))*INDEX(SR_mission_minutes!T$2:T$43,MATCH($A172,SR_mission_minutes!$A$2:$A$43)),"-")</f>
        <v>0</v>
      </c>
      <c r="U172" s="128">
        <f>IFERROR(INDEX(lifespans_all!U$80:U$126,MATCH($A172,lifespans_all!$A$80:$A$126,0))*INDEX(SR_mission_minutes!U$2:U$43,MATCH($A172,SR_mission_minutes!$A$2:$A$43)),"-")</f>
        <v>0</v>
      </c>
      <c r="V172" s="128">
        <f>IFERROR(INDEX(lifespans_all!V$80:V$126,MATCH($A172,lifespans_all!$A$80:$A$126,0))*INDEX(SR_mission_minutes!V$2:V$43,MATCH($A172,SR_mission_minutes!$A$2:$A$43)),"-")</f>
        <v>0</v>
      </c>
      <c r="W172" s="128">
        <f>IFERROR(INDEX(lifespans_all!W$80:W$126,MATCH($A172,lifespans_all!$A$80:$A$126,0))*INDEX(SR_mission_minutes!W$2:W$43,MATCH($A172,SR_mission_minutes!$A$2:$A$43)),"-")</f>
        <v>0</v>
      </c>
    </row>
    <row r="173" spans="1:23" x14ac:dyDescent="0.25">
      <c r="A173" s="46" t="s">
        <v>44</v>
      </c>
      <c r="B173" s="46" t="s">
        <v>57</v>
      </c>
      <c r="C173" s="135"/>
      <c r="D173" s="128">
        <f>IFERROR(INDEX(lifespans_all!D$158:D$212,MATCH($A173,lifespans_all!$A$158:$A$212,0))*INDEX(SR_mission_minutes!D$2:D$43,MATCH($A173,SR_mission_minutes!$A$2:$A$43)),"-")</f>
        <v>66700.388888888891</v>
      </c>
      <c r="E173" s="128">
        <f>IFERROR(INDEX(lifespans_all!E$80:E$126,MATCH($A173,lifespans_all!$A$80:$A$126,0))*INDEX(SR_mission_minutes!E$2:E$43,MATCH($A173,SR_mission_minutes!$A$2:$A$43)),"-")</f>
        <v>0</v>
      </c>
      <c r="F173" s="128">
        <f>IFERROR(INDEX(lifespans_all!F$80:F$126,MATCH($A173,lifespans_all!$A$80:$A$126,0))*INDEX(SR_mission_minutes!F$2:F$43,MATCH($A173,SR_mission_minutes!$A$2:$A$43)),"-")</f>
        <v>0</v>
      </c>
      <c r="G173" s="128">
        <f>IFERROR(INDEX(lifespans_all!G$80:G$126,MATCH($A173,lifespans_all!$A$80:$A$126,0))*INDEX(SR_mission_minutes!G$2:G$43,MATCH($A173,SR_mission_minutes!$A$2:$A$43)),"-")</f>
        <v>0</v>
      </c>
      <c r="H173" s="128">
        <f>IFERROR(INDEX(lifespans_all!H$80:H$126,MATCH($A173,lifespans_all!$A$80:$A$126,0))*INDEX(SR_mission_minutes!H$2:H$43,MATCH($A173,SR_mission_minutes!$A$2:$A$43)),"-")</f>
        <v>0</v>
      </c>
      <c r="I173" s="128">
        <f>IFERROR(INDEX(lifespans_all!I$80:I$126,MATCH($A173,lifespans_all!$A$80:$A$126,0))*INDEX(SR_mission_minutes!I$2:I$43,MATCH($A173,SR_mission_minutes!$A$2:$A$43)),"-")</f>
        <v>0</v>
      </c>
      <c r="J173" s="128">
        <f>IFERROR(INDEX(lifespans_all!J$80:J$126,MATCH($A173,lifespans_all!$A$80:$A$126,0))*INDEX(SR_mission_minutes!J$2:J$43,MATCH($A173,SR_mission_minutes!$A$2:$A$43)),"-")</f>
        <v>0</v>
      </c>
      <c r="K173" s="128">
        <f>IFERROR(INDEX(lifespans_all!K$80:K$126,MATCH($A173,lifespans_all!$A$80:$A$126,0))*INDEX(SR_mission_minutes!K$2:K$43,MATCH($A173,SR_mission_minutes!$A$2:$A$43)),"-")</f>
        <v>0</v>
      </c>
      <c r="L173" s="128">
        <f>IFERROR(INDEX(lifespans_all!L$80:L$126,MATCH($A173,lifespans_all!$A$80:$A$126,0))*INDEX(SR_mission_minutes!L$2:L$43,MATCH($A173,SR_mission_minutes!$A$2:$A$43)),"-")</f>
        <v>0</v>
      </c>
      <c r="M173" s="128">
        <f>IFERROR(INDEX(lifespans_all!M$80:M$126,MATCH($A173,lifespans_all!$A$80:$A$126,0))*INDEX(SR_mission_minutes!M$2:M$43,MATCH($A173,SR_mission_minutes!$A$2:$A$43)),"-")</f>
        <v>0</v>
      </c>
      <c r="N173" s="128">
        <f>IFERROR(INDEX(lifespans_all!N$80:N$126,MATCH($A173,lifespans_all!$A$80:$A$126,0))*INDEX(SR_mission_minutes!N$2:N$43,MATCH($A173,SR_mission_minutes!$A$2:$A$43)),"-")</f>
        <v>0</v>
      </c>
      <c r="O173" s="128">
        <f>IFERROR(INDEX(lifespans_all!O$80:O$126,MATCH($A173,lifespans_all!$A$80:$A$126,0))*INDEX(SR_mission_minutes!O$2:O$43,MATCH($A173,SR_mission_minutes!$A$2:$A$43)),"-")</f>
        <v>0</v>
      </c>
      <c r="P173" s="128">
        <f>IFERROR(INDEX(lifespans_all!P$80:P$126,MATCH($A173,lifespans_all!$A$80:$A$126,0))*INDEX(SR_mission_minutes!P$2:P$43,MATCH($A173,SR_mission_minutes!$A$2:$A$43)),"-")</f>
        <v>0</v>
      </c>
      <c r="Q173" s="128">
        <f>IFERROR(INDEX(lifespans_all!Q$80:Q$126,MATCH($A173,lifespans_all!$A$80:$A$126,0))*INDEX(SR_mission_minutes!Q$2:Q$43,MATCH($A173,SR_mission_minutes!$A$2:$A$43)),"-")</f>
        <v>0</v>
      </c>
      <c r="R173" s="128">
        <f>IFERROR(INDEX(lifespans_all!R$80:R$126,MATCH($A173,lifespans_all!$A$80:$A$126,0))*INDEX(SR_mission_minutes!R$2:R$43,MATCH($A173,SR_mission_minutes!$A$2:$A$43)),"-")</f>
        <v>0</v>
      </c>
      <c r="S173" s="128">
        <f>IFERROR(INDEX(lifespans_all!S$80:S$126,MATCH($A173,lifespans_all!$A$80:$A$126,0))*INDEX(SR_mission_minutes!S$2:S$43,MATCH($A173,SR_mission_minutes!$A$2:$A$43)),"-")</f>
        <v>0</v>
      </c>
      <c r="T173" s="128">
        <f>IFERROR(INDEX(lifespans_all!T$80:T$126,MATCH($A173,lifespans_all!$A$80:$A$126,0))*INDEX(SR_mission_minutes!T$2:T$43,MATCH($A173,SR_mission_minutes!$A$2:$A$43)),"-")</f>
        <v>0</v>
      </c>
      <c r="U173" s="128">
        <f>IFERROR(INDEX(lifespans_all!U$80:U$126,MATCH($A173,lifespans_all!$A$80:$A$126,0))*INDEX(SR_mission_minutes!U$2:U$43,MATCH($A173,SR_mission_minutes!$A$2:$A$43)),"-")</f>
        <v>0</v>
      </c>
      <c r="V173" s="128">
        <f>IFERROR(INDEX(lifespans_all!V$80:V$126,MATCH($A173,lifespans_all!$A$80:$A$126,0))*INDEX(SR_mission_minutes!V$2:V$43,MATCH($A173,SR_mission_minutes!$A$2:$A$43)),"-")</f>
        <v>0</v>
      </c>
      <c r="W173" s="128">
        <f>IFERROR(INDEX(lifespans_all!W$80:W$126,MATCH($A173,lifespans_all!$A$80:$A$126,0))*INDEX(SR_mission_minutes!W$2:W$43,MATCH($A173,SR_mission_minutes!$A$2:$A$43)),"-")</f>
        <v>0</v>
      </c>
    </row>
    <row r="174" spans="1:23" x14ac:dyDescent="0.25">
      <c r="A174" s="46" t="s">
        <v>78</v>
      </c>
      <c r="B174" s="46" t="s">
        <v>57</v>
      </c>
      <c r="C174" s="135"/>
      <c r="D174" s="128">
        <f>IFERROR(INDEX(lifespans_all!D$158:D$212,MATCH($A174,lifespans_all!$A$158:$A$212,0))*INDEX(SR_mission_minutes!D$2:D$43,MATCH($A174,SR_mission_minutes!$A$2:$A$43)),"-")</f>
        <v>66700.388888888891</v>
      </c>
      <c r="E174" s="128">
        <f>IFERROR(INDEX(lifespans_all!E$80:E$126,MATCH($A174,lifespans_all!$A$80:$A$126,0))*INDEX(SR_mission_minutes!E$2:E$43,MATCH($A174,SR_mission_minutes!$A$2:$A$43)),"-")</f>
        <v>66700.388888888891</v>
      </c>
      <c r="F174" s="128">
        <f>IFERROR(INDEX(lifespans_all!F$80:F$126,MATCH($A174,lifespans_all!$A$80:$A$126,0))*INDEX(SR_mission_minutes!F$2:F$43,MATCH($A174,SR_mission_minutes!$A$2:$A$43)),"-")</f>
        <v>66700.388888888891</v>
      </c>
      <c r="G174" s="128">
        <f>IFERROR(INDEX(lifespans_all!G$80:G$126,MATCH($A174,lifespans_all!$A$80:$A$126,0))*INDEX(SR_mission_minutes!G$2:G$43,MATCH($A174,SR_mission_minutes!$A$2:$A$43)),"-")</f>
        <v>66700.388888888891</v>
      </c>
      <c r="H174" s="128">
        <f>IFERROR(INDEX(lifespans_all!H$80:H$126,MATCH($A174,lifespans_all!$A$80:$A$126,0))*INDEX(SR_mission_minutes!H$2:H$43,MATCH($A174,SR_mission_minutes!$A$2:$A$43)),"-")</f>
        <v>66700.388888888891</v>
      </c>
      <c r="I174" s="128">
        <f>IFERROR(INDEX(lifespans_all!I$80:I$126,MATCH($A174,lifespans_all!$A$80:$A$126,0))*INDEX(SR_mission_minutes!I$2:I$43,MATCH($A174,SR_mission_minutes!$A$2:$A$43)),"-")</f>
        <v>0</v>
      </c>
      <c r="J174" s="128">
        <f>IFERROR(INDEX(lifespans_all!J$80:J$126,MATCH($A174,lifespans_all!$A$80:$A$126,0))*INDEX(SR_mission_minutes!J$2:J$43,MATCH($A174,SR_mission_minutes!$A$2:$A$43)),"-")</f>
        <v>0</v>
      </c>
      <c r="K174" s="128">
        <f>IFERROR(INDEX(lifespans_all!K$80:K$126,MATCH($A174,lifespans_all!$A$80:$A$126,0))*INDEX(SR_mission_minutes!K$2:K$43,MATCH($A174,SR_mission_minutes!$A$2:$A$43)),"-")</f>
        <v>0</v>
      </c>
      <c r="L174" s="128">
        <f>IFERROR(INDEX(lifespans_all!L$80:L$126,MATCH($A174,lifespans_all!$A$80:$A$126,0))*INDEX(SR_mission_minutes!L$2:L$43,MATCH($A174,SR_mission_minutes!$A$2:$A$43)),"-")</f>
        <v>0</v>
      </c>
      <c r="M174" s="128">
        <f>IFERROR(INDEX(lifespans_all!M$80:M$126,MATCH($A174,lifespans_all!$A$80:$A$126,0))*INDEX(SR_mission_minutes!M$2:M$43,MATCH($A174,SR_mission_minutes!$A$2:$A$43)),"-")</f>
        <v>0</v>
      </c>
      <c r="N174" s="128">
        <f>IFERROR(INDEX(lifespans_all!N$80:N$126,MATCH($A174,lifespans_all!$A$80:$A$126,0))*INDEX(SR_mission_minutes!N$2:N$43,MATCH($A174,SR_mission_minutes!$A$2:$A$43)),"-")</f>
        <v>0</v>
      </c>
      <c r="O174" s="128">
        <f>IFERROR(INDEX(lifespans_all!O$80:O$126,MATCH($A174,lifespans_all!$A$80:$A$126,0))*INDEX(SR_mission_minutes!O$2:O$43,MATCH($A174,SR_mission_minutes!$A$2:$A$43)),"-")</f>
        <v>0</v>
      </c>
      <c r="P174" s="128">
        <f>IFERROR(INDEX(lifespans_all!P$80:P$126,MATCH($A174,lifespans_all!$A$80:$A$126,0))*INDEX(SR_mission_minutes!P$2:P$43,MATCH($A174,SR_mission_minutes!$A$2:$A$43)),"-")</f>
        <v>0</v>
      </c>
      <c r="Q174" s="128">
        <f>IFERROR(INDEX(lifespans_all!Q$80:Q$126,MATCH($A174,lifespans_all!$A$80:$A$126,0))*INDEX(SR_mission_minutes!Q$2:Q$43,MATCH($A174,SR_mission_minutes!$A$2:$A$43)),"-")</f>
        <v>0</v>
      </c>
      <c r="R174" s="128">
        <f>IFERROR(INDEX(lifespans_all!R$80:R$126,MATCH($A174,lifespans_all!$A$80:$A$126,0))*INDEX(SR_mission_minutes!R$2:R$43,MATCH($A174,SR_mission_minutes!$A$2:$A$43)),"-")</f>
        <v>0</v>
      </c>
      <c r="S174" s="128">
        <f>IFERROR(INDEX(lifespans_all!S$80:S$126,MATCH($A174,lifespans_all!$A$80:$A$126,0))*INDEX(SR_mission_minutes!S$2:S$43,MATCH($A174,SR_mission_minutes!$A$2:$A$43)),"-")</f>
        <v>0</v>
      </c>
      <c r="T174" s="128">
        <f>IFERROR(INDEX(lifespans_all!T$80:T$126,MATCH($A174,lifespans_all!$A$80:$A$126,0))*INDEX(SR_mission_minutes!T$2:T$43,MATCH($A174,SR_mission_minutes!$A$2:$A$43)),"-")</f>
        <v>0</v>
      </c>
      <c r="U174" s="128">
        <f>IFERROR(INDEX(lifespans_all!U$80:U$126,MATCH($A174,lifespans_all!$A$80:$A$126,0))*INDEX(SR_mission_minutes!U$2:U$43,MATCH($A174,SR_mission_minutes!$A$2:$A$43)),"-")</f>
        <v>0</v>
      </c>
      <c r="V174" s="128">
        <f>IFERROR(INDEX(lifespans_all!V$80:V$126,MATCH($A174,lifespans_all!$A$80:$A$126,0))*INDEX(SR_mission_minutes!V$2:V$43,MATCH($A174,SR_mission_minutes!$A$2:$A$43)),"-")</f>
        <v>0</v>
      </c>
      <c r="W174" s="128">
        <f>IFERROR(INDEX(lifespans_all!W$80:W$126,MATCH($A174,lifespans_all!$A$80:$A$126,0))*INDEX(SR_mission_minutes!W$2:W$43,MATCH($A174,SR_mission_minutes!$A$2:$A$43)),"-")</f>
        <v>0</v>
      </c>
    </row>
    <row r="175" spans="1:23" x14ac:dyDescent="0.25">
      <c r="A175" s="46" t="s">
        <v>45</v>
      </c>
      <c r="B175" s="46" t="s">
        <v>57</v>
      </c>
      <c r="C175" s="135"/>
      <c r="D175" s="128">
        <f>IFERROR(INDEX(lifespans_all!D$158:D$212,MATCH($A175,lifespans_all!$A$158:$A$212,0))*INDEX(SR_mission_minutes!D$2:D$43,MATCH($A175,SR_mission_minutes!$A$2:$A$43)),"-")</f>
        <v>66700.388888888891</v>
      </c>
      <c r="E175" s="128">
        <f>IFERROR(INDEX(lifespans_all!E$80:E$126,MATCH($A175,lifespans_all!$A$80:$A$126,0))*INDEX(SR_mission_minutes!E$2:E$43,MATCH($A175,SR_mission_minutes!$A$2:$A$43)),"-")</f>
        <v>66700.388888888891</v>
      </c>
      <c r="F175" s="128">
        <f>IFERROR(INDEX(lifespans_all!F$80:F$126,MATCH($A175,lifespans_all!$A$80:$A$126,0))*INDEX(SR_mission_minutes!F$2:F$43,MATCH($A175,SR_mission_minutes!$A$2:$A$43)),"-")</f>
        <v>66700.388888888891</v>
      </c>
      <c r="G175" s="128">
        <f>IFERROR(INDEX(lifespans_all!G$80:G$126,MATCH($A175,lifespans_all!$A$80:$A$126,0))*INDEX(SR_mission_minutes!G$2:G$43,MATCH($A175,SR_mission_minutes!$A$2:$A$43)),"-")</f>
        <v>0</v>
      </c>
      <c r="H175" s="128">
        <f>IFERROR(INDEX(lifespans_all!H$80:H$126,MATCH($A175,lifespans_all!$A$80:$A$126,0))*INDEX(SR_mission_minutes!H$2:H$43,MATCH($A175,SR_mission_minutes!$A$2:$A$43)),"-")</f>
        <v>0</v>
      </c>
      <c r="I175" s="128">
        <f>IFERROR(INDEX(lifespans_all!I$80:I$126,MATCH($A175,lifespans_all!$A$80:$A$126,0))*INDEX(SR_mission_minutes!I$2:I$43,MATCH($A175,SR_mission_minutes!$A$2:$A$43)),"-")</f>
        <v>0</v>
      </c>
      <c r="J175" s="128">
        <f>IFERROR(INDEX(lifespans_all!J$80:J$126,MATCH($A175,lifespans_all!$A$80:$A$126,0))*INDEX(SR_mission_minutes!J$2:J$43,MATCH($A175,SR_mission_minutes!$A$2:$A$43)),"-")</f>
        <v>0</v>
      </c>
      <c r="K175" s="128">
        <f>IFERROR(INDEX(lifespans_all!K$80:K$126,MATCH($A175,lifespans_all!$A$80:$A$126,0))*INDEX(SR_mission_minutes!K$2:K$43,MATCH($A175,SR_mission_minutes!$A$2:$A$43)),"-")</f>
        <v>0</v>
      </c>
      <c r="L175" s="128">
        <f>IFERROR(INDEX(lifespans_all!L$80:L$126,MATCH($A175,lifespans_all!$A$80:$A$126,0))*INDEX(SR_mission_minutes!L$2:L$43,MATCH($A175,SR_mission_minutes!$A$2:$A$43)),"-")</f>
        <v>0</v>
      </c>
      <c r="M175" s="128">
        <f>IFERROR(INDEX(lifespans_all!M$80:M$126,MATCH($A175,lifespans_all!$A$80:$A$126,0))*INDEX(SR_mission_minutes!M$2:M$43,MATCH($A175,SR_mission_minutes!$A$2:$A$43)),"-")</f>
        <v>0</v>
      </c>
      <c r="N175" s="128">
        <f>IFERROR(INDEX(lifespans_all!N$80:N$126,MATCH($A175,lifespans_all!$A$80:$A$126,0))*INDEX(SR_mission_minutes!N$2:N$43,MATCH($A175,SR_mission_minutes!$A$2:$A$43)),"-")</f>
        <v>0</v>
      </c>
      <c r="O175" s="128">
        <f>IFERROR(INDEX(lifespans_all!O$80:O$126,MATCH($A175,lifespans_all!$A$80:$A$126,0))*INDEX(SR_mission_minutes!O$2:O$43,MATCH($A175,SR_mission_minutes!$A$2:$A$43)),"-")</f>
        <v>0</v>
      </c>
      <c r="P175" s="128">
        <f>IFERROR(INDEX(lifespans_all!P$80:P$126,MATCH($A175,lifespans_all!$A$80:$A$126,0))*INDEX(SR_mission_minutes!P$2:P$43,MATCH($A175,SR_mission_minutes!$A$2:$A$43)),"-")</f>
        <v>0</v>
      </c>
      <c r="Q175" s="128">
        <f>IFERROR(INDEX(lifespans_all!Q$80:Q$126,MATCH($A175,lifespans_all!$A$80:$A$126,0))*INDEX(SR_mission_minutes!Q$2:Q$43,MATCH($A175,SR_mission_minutes!$A$2:$A$43)),"-")</f>
        <v>0</v>
      </c>
      <c r="R175" s="128">
        <f>IFERROR(INDEX(lifespans_all!R$80:R$126,MATCH($A175,lifespans_all!$A$80:$A$126,0))*INDEX(SR_mission_minutes!R$2:R$43,MATCH($A175,SR_mission_minutes!$A$2:$A$43)),"-")</f>
        <v>0</v>
      </c>
      <c r="S175" s="128">
        <f>IFERROR(INDEX(lifespans_all!S$80:S$126,MATCH($A175,lifespans_all!$A$80:$A$126,0))*INDEX(SR_mission_minutes!S$2:S$43,MATCH($A175,SR_mission_minutes!$A$2:$A$43)),"-")</f>
        <v>0</v>
      </c>
      <c r="T175" s="128">
        <f>IFERROR(INDEX(lifespans_all!T$80:T$126,MATCH($A175,lifespans_all!$A$80:$A$126,0))*INDEX(SR_mission_minutes!T$2:T$43,MATCH($A175,SR_mission_minutes!$A$2:$A$43)),"-")</f>
        <v>0</v>
      </c>
      <c r="U175" s="128">
        <f>IFERROR(INDEX(lifespans_all!U$80:U$126,MATCH($A175,lifespans_all!$A$80:$A$126,0))*INDEX(SR_mission_minutes!U$2:U$43,MATCH($A175,SR_mission_minutes!$A$2:$A$43)),"-")</f>
        <v>0</v>
      </c>
      <c r="V175" s="128">
        <f>IFERROR(INDEX(lifespans_all!V$80:V$126,MATCH($A175,lifespans_all!$A$80:$A$126,0))*INDEX(SR_mission_minutes!V$2:V$43,MATCH($A175,SR_mission_minutes!$A$2:$A$43)),"-")</f>
        <v>0</v>
      </c>
      <c r="W175" s="128">
        <f>IFERROR(INDEX(lifespans_all!W$80:W$126,MATCH($A175,lifespans_all!$A$80:$A$126,0))*INDEX(SR_mission_minutes!W$2:W$43,MATCH($A175,SR_mission_minutes!$A$2:$A$43)),"-")</f>
        <v>0</v>
      </c>
    </row>
    <row r="176" spans="1:23" x14ac:dyDescent="0.25">
      <c r="A176" s="46" t="s">
        <v>46</v>
      </c>
      <c r="B176" s="46" t="s">
        <v>59</v>
      </c>
      <c r="C176" s="135"/>
      <c r="D176" s="128">
        <f>IFERROR(INDEX(lifespans_all!D$158:D$212,MATCH($A176,lifespans_all!$A$158:$A$212,0))*INDEX(SR_mission_minutes!D$2:D$43,MATCH($A176,SR_mission_minutes!$A$2:$A$43)),"-")</f>
        <v>114879</v>
      </c>
      <c r="E176" s="128">
        <f>IFERROR(INDEX(lifespans_all!E$80:E$126,MATCH($A176,lifespans_all!$A$80:$A$126,0))*INDEX(SR_mission_minutes!E$2:E$43,MATCH($A176,SR_mission_minutes!$A$2:$A$43)),"-")</f>
        <v>114879</v>
      </c>
      <c r="F176" s="128">
        <f>IFERROR(INDEX(lifespans_all!F$80:F$126,MATCH($A176,lifespans_all!$A$80:$A$126,0))*INDEX(SR_mission_minutes!F$2:F$43,MATCH($A176,SR_mission_minutes!$A$2:$A$43)),"-")</f>
        <v>114879</v>
      </c>
      <c r="G176" s="128">
        <f>IFERROR(INDEX(lifespans_all!G$80:G$126,MATCH($A176,lifespans_all!$A$80:$A$126,0))*INDEX(SR_mission_minutes!G$2:G$43,MATCH($A176,SR_mission_minutes!$A$2:$A$43)),"-")</f>
        <v>114879</v>
      </c>
      <c r="H176" s="128">
        <f>IFERROR(INDEX(lifespans_all!H$80:H$126,MATCH($A176,lifespans_all!$A$80:$A$126,0))*INDEX(SR_mission_minutes!H$2:H$43,MATCH($A176,SR_mission_minutes!$A$2:$A$43)),"-")</f>
        <v>114879</v>
      </c>
      <c r="I176" s="128">
        <f>IFERROR(INDEX(lifespans_all!I$80:I$126,MATCH($A176,lifespans_all!$A$80:$A$126,0))*INDEX(SR_mission_minutes!I$2:I$43,MATCH($A176,SR_mission_minutes!$A$2:$A$43)),"-")</f>
        <v>114879</v>
      </c>
      <c r="J176" s="128">
        <f>IFERROR(INDEX(lifespans_all!J$80:J$126,MATCH($A176,lifespans_all!$A$80:$A$126,0))*INDEX(SR_mission_minutes!J$2:J$43,MATCH($A176,SR_mission_minutes!$A$2:$A$43)),"-")</f>
        <v>114879</v>
      </c>
      <c r="K176" s="128">
        <f>IFERROR(INDEX(lifespans_all!K$80:K$126,MATCH($A176,lifespans_all!$A$80:$A$126,0))*INDEX(SR_mission_minutes!K$2:K$43,MATCH($A176,SR_mission_minutes!$A$2:$A$43)),"-")</f>
        <v>114879</v>
      </c>
      <c r="L176" s="128">
        <f>IFERROR(INDEX(lifespans_all!L$80:L$126,MATCH($A176,lifespans_all!$A$80:$A$126,0))*INDEX(SR_mission_minutes!L$2:L$43,MATCH($A176,SR_mission_minutes!$A$2:$A$43)),"-")</f>
        <v>114879</v>
      </c>
      <c r="M176" s="128">
        <f>IFERROR(INDEX(lifespans_all!M$80:M$126,MATCH($A176,lifespans_all!$A$80:$A$126,0))*INDEX(SR_mission_minutes!M$2:M$43,MATCH($A176,SR_mission_minutes!$A$2:$A$43)),"-")</f>
        <v>114879</v>
      </c>
      <c r="N176" s="128">
        <f>IFERROR(INDEX(lifespans_all!N$80:N$126,MATCH($A176,lifespans_all!$A$80:$A$126,0))*INDEX(SR_mission_minutes!N$2:N$43,MATCH($A176,SR_mission_minutes!$A$2:$A$43)),"-")</f>
        <v>114879</v>
      </c>
      <c r="O176" s="128">
        <f>IFERROR(INDEX(lifespans_all!O$80:O$126,MATCH($A176,lifespans_all!$A$80:$A$126,0))*INDEX(SR_mission_minutes!O$2:O$43,MATCH($A176,SR_mission_minutes!$A$2:$A$43)),"-")</f>
        <v>114879</v>
      </c>
      <c r="P176" s="128">
        <f>IFERROR(INDEX(lifespans_all!P$80:P$126,MATCH($A176,lifespans_all!$A$80:$A$126,0))*INDEX(SR_mission_minutes!P$2:P$43,MATCH($A176,SR_mission_minutes!$A$2:$A$43)),"-")</f>
        <v>114879</v>
      </c>
      <c r="Q176" s="128">
        <f>IFERROR(INDEX(lifespans_all!Q$80:Q$126,MATCH($A176,lifespans_all!$A$80:$A$126,0))*INDEX(SR_mission_minutes!Q$2:Q$43,MATCH($A176,SR_mission_minutes!$A$2:$A$43)),"-")</f>
        <v>114879</v>
      </c>
      <c r="R176" s="128">
        <f>IFERROR(INDEX(lifespans_all!R$80:R$126,MATCH($A176,lifespans_all!$A$80:$A$126,0))*INDEX(SR_mission_minutes!R$2:R$43,MATCH($A176,SR_mission_minutes!$A$2:$A$43)),"-")</f>
        <v>114879</v>
      </c>
      <c r="S176" s="128">
        <f>IFERROR(INDEX(lifespans_all!S$80:S$126,MATCH($A176,lifespans_all!$A$80:$A$126,0))*INDEX(SR_mission_minutes!S$2:S$43,MATCH($A176,SR_mission_minutes!$A$2:$A$43)),"-")</f>
        <v>114879</v>
      </c>
      <c r="T176" s="128">
        <f>IFERROR(INDEX(lifespans_all!T$80:T$126,MATCH($A176,lifespans_all!$A$80:$A$126,0))*INDEX(SR_mission_minutes!T$2:T$43,MATCH($A176,SR_mission_minutes!$A$2:$A$43)),"-")</f>
        <v>114879</v>
      </c>
      <c r="U176" s="128">
        <f>IFERROR(INDEX(lifespans_all!U$80:U$126,MATCH($A176,lifespans_all!$A$80:$A$126,0))*INDEX(SR_mission_minutes!U$2:U$43,MATCH($A176,SR_mission_minutes!$A$2:$A$43)),"-")</f>
        <v>114879</v>
      </c>
      <c r="V176" s="128">
        <f>IFERROR(INDEX(lifespans_all!V$80:V$126,MATCH($A176,lifespans_all!$A$80:$A$126,0))*INDEX(SR_mission_minutes!V$2:V$43,MATCH($A176,SR_mission_minutes!$A$2:$A$43)),"-")</f>
        <v>114879</v>
      </c>
      <c r="W176" s="128">
        <f>IFERROR(INDEX(lifespans_all!W$80:W$126,MATCH($A176,lifespans_all!$A$80:$A$126,0))*INDEX(SR_mission_minutes!W$2:W$43,MATCH($A176,SR_mission_minutes!$A$2:$A$43)),"-")</f>
        <v>114879</v>
      </c>
    </row>
    <row r="177" spans="1:23" x14ac:dyDescent="0.25">
      <c r="A177" s="46" t="s">
        <v>70</v>
      </c>
      <c r="B177" s="46" t="s">
        <v>59</v>
      </c>
      <c r="C177" s="135"/>
      <c r="D177" s="128" t="str">
        <f>IFERROR(INDEX(lifespans_all!D$158:D$212,MATCH($A177,lifespans_all!$A$158:$A$212,0))*INDEX(SR_mission_minutes!D$2:D$43,MATCH($A177,SR_mission_minutes!$A$2:$A$43)),"-")</f>
        <v>-</v>
      </c>
      <c r="E177" s="128" t="str">
        <f>IFERROR(INDEX(lifespans_all!E$80:E$126,MATCH($A177,lifespans_all!$A$80:$A$126,0))*INDEX(SR_mission_minutes!E$2:E$43,MATCH($A177,SR_mission_minutes!$A$2:$A$43)),"-")</f>
        <v>-</v>
      </c>
      <c r="F177" s="128" t="str">
        <f>IFERROR(INDEX(lifespans_all!F$80:F$126,MATCH($A177,lifespans_all!$A$80:$A$126,0))*INDEX(SR_mission_minutes!F$2:F$43,MATCH($A177,SR_mission_minutes!$A$2:$A$43)),"-")</f>
        <v>-</v>
      </c>
      <c r="G177" s="128" t="str">
        <f>IFERROR(INDEX(lifespans_all!G$80:G$126,MATCH($A177,lifespans_all!$A$80:$A$126,0))*INDEX(SR_mission_minutes!G$2:G$43,MATCH($A177,SR_mission_minutes!$A$2:$A$43)),"-")</f>
        <v>-</v>
      </c>
      <c r="H177" s="128" t="str">
        <f>IFERROR(INDEX(lifespans_all!H$80:H$126,MATCH($A177,lifespans_all!$A$80:$A$126,0))*INDEX(SR_mission_minutes!H$2:H$43,MATCH($A177,SR_mission_minutes!$A$2:$A$43)),"-")</f>
        <v>-</v>
      </c>
      <c r="I177" s="128" t="str">
        <f>IFERROR(INDEX(lifespans_all!I$80:I$126,MATCH($A177,lifespans_all!$A$80:$A$126,0))*INDEX(SR_mission_minutes!I$2:I$43,MATCH($A177,SR_mission_minutes!$A$2:$A$43)),"-")</f>
        <v>-</v>
      </c>
      <c r="J177" s="128" t="str">
        <f>IFERROR(INDEX(lifespans_all!J$80:J$126,MATCH($A177,lifespans_all!$A$80:$A$126,0))*INDEX(SR_mission_minutes!J$2:J$43,MATCH($A177,SR_mission_minutes!$A$2:$A$43)),"-")</f>
        <v>-</v>
      </c>
      <c r="K177" s="128" t="str">
        <f>IFERROR(INDEX(lifespans_all!K$80:K$126,MATCH($A177,lifespans_all!$A$80:$A$126,0))*INDEX(SR_mission_minutes!K$2:K$43,MATCH($A177,SR_mission_minutes!$A$2:$A$43)),"-")</f>
        <v>-</v>
      </c>
      <c r="L177" s="128" t="str">
        <f>IFERROR(INDEX(lifespans_all!L$80:L$126,MATCH($A177,lifespans_all!$A$80:$A$126,0))*INDEX(SR_mission_minutes!L$2:L$43,MATCH($A177,SR_mission_minutes!$A$2:$A$43)),"-")</f>
        <v>-</v>
      </c>
      <c r="M177" s="128" t="str">
        <f>IFERROR(INDEX(lifespans_all!M$80:M$126,MATCH($A177,lifespans_all!$A$80:$A$126,0))*INDEX(SR_mission_minutes!M$2:M$43,MATCH($A177,SR_mission_minutes!$A$2:$A$43)),"-")</f>
        <v>-</v>
      </c>
      <c r="N177" s="128" t="str">
        <f>IFERROR(INDEX(lifespans_all!N$80:N$126,MATCH($A177,lifespans_all!$A$80:$A$126,0))*INDEX(SR_mission_minutes!N$2:N$43,MATCH($A177,SR_mission_minutes!$A$2:$A$43)),"-")</f>
        <v>-</v>
      </c>
      <c r="O177" s="128" t="str">
        <f>IFERROR(INDEX(lifespans_all!O$80:O$126,MATCH($A177,lifespans_all!$A$80:$A$126,0))*INDEX(SR_mission_minutes!O$2:O$43,MATCH($A177,SR_mission_minutes!$A$2:$A$43)),"-")</f>
        <v>-</v>
      </c>
      <c r="P177" s="128" t="str">
        <f>IFERROR(INDEX(lifespans_all!P$80:P$126,MATCH($A177,lifespans_all!$A$80:$A$126,0))*INDEX(SR_mission_minutes!P$2:P$43,MATCH($A177,SR_mission_minutes!$A$2:$A$43)),"-")</f>
        <v>-</v>
      </c>
      <c r="Q177" s="128" t="str">
        <f>IFERROR(INDEX(lifespans_all!Q$80:Q$126,MATCH($A177,lifespans_all!$A$80:$A$126,0))*INDEX(SR_mission_minutes!Q$2:Q$43,MATCH($A177,SR_mission_minutes!$A$2:$A$43)),"-")</f>
        <v>-</v>
      </c>
      <c r="R177" s="128" t="str">
        <f>IFERROR(INDEX(lifespans_all!R$80:R$126,MATCH($A177,lifespans_all!$A$80:$A$126,0))*INDEX(SR_mission_minutes!R$2:R$43,MATCH($A177,SR_mission_minutes!$A$2:$A$43)),"-")</f>
        <v>-</v>
      </c>
      <c r="S177" s="128" t="str">
        <f>IFERROR(INDEX(lifespans_all!S$80:S$126,MATCH($A177,lifespans_all!$A$80:$A$126,0))*INDEX(SR_mission_minutes!S$2:S$43,MATCH($A177,SR_mission_minutes!$A$2:$A$43)),"-")</f>
        <v>-</v>
      </c>
      <c r="T177" s="128" t="str">
        <f>IFERROR(INDEX(lifespans_all!T$80:T$126,MATCH($A177,lifespans_all!$A$80:$A$126,0))*INDEX(SR_mission_minutes!T$2:T$43,MATCH($A177,SR_mission_minutes!$A$2:$A$43)),"-")</f>
        <v>-</v>
      </c>
      <c r="U177" s="128" t="str">
        <f>IFERROR(INDEX(lifespans_all!U$80:U$126,MATCH($A177,lifespans_all!$A$80:$A$126,0))*INDEX(SR_mission_minutes!U$2:U$43,MATCH($A177,SR_mission_minutes!$A$2:$A$43)),"-")</f>
        <v>-</v>
      </c>
      <c r="V177" s="128" t="str">
        <f>IFERROR(INDEX(lifespans_all!V$80:V$126,MATCH($A177,lifespans_all!$A$80:$A$126,0))*INDEX(SR_mission_minutes!V$2:V$43,MATCH($A177,SR_mission_minutes!$A$2:$A$43)),"-")</f>
        <v>-</v>
      </c>
      <c r="W177" s="128" t="str">
        <f>IFERROR(INDEX(lifespans_all!W$80:W$126,MATCH($A177,lifespans_all!$A$80:$A$126,0))*INDEX(SR_mission_minutes!W$2:W$43,MATCH($A177,SR_mission_minutes!$A$2:$A$43)),"-")</f>
        <v>-</v>
      </c>
    </row>
    <row r="178" spans="1:23" x14ac:dyDescent="0.25">
      <c r="A178" s="46" t="s">
        <v>47</v>
      </c>
      <c r="B178" s="46" t="s">
        <v>64</v>
      </c>
      <c r="C178" s="135"/>
      <c r="D178" s="128" t="str">
        <f>IFERROR(INDEX(lifespans_all!D$158:D$212,MATCH($A178,lifespans_all!$A$158:$A$212,0))*INDEX(SR_mission_minutes!D$2:D$43,MATCH($A178,SR_mission_minutes!$A$2:$A$43)),"-")</f>
        <v>-</v>
      </c>
      <c r="E178" s="128" t="str">
        <f>IFERROR(INDEX(lifespans_all!E$80:E$126,MATCH($A178,lifespans_all!$A$80:$A$126,0))*INDEX(SR_mission_minutes!E$2:E$43,MATCH($A178,SR_mission_minutes!$A$2:$A$43)),"-")</f>
        <v>-</v>
      </c>
      <c r="F178" s="128" t="str">
        <f>IFERROR(INDEX(lifespans_all!F$80:F$126,MATCH($A178,lifespans_all!$A$80:$A$126,0))*INDEX(SR_mission_minutes!F$2:F$43,MATCH($A178,SR_mission_minutes!$A$2:$A$43)),"-")</f>
        <v>-</v>
      </c>
      <c r="G178" s="128" t="str">
        <f>IFERROR(INDEX(lifespans_all!G$80:G$126,MATCH($A178,lifespans_all!$A$80:$A$126,0))*INDEX(SR_mission_minutes!G$2:G$43,MATCH($A178,SR_mission_minutes!$A$2:$A$43)),"-")</f>
        <v>-</v>
      </c>
      <c r="H178" s="128" t="str">
        <f>IFERROR(INDEX(lifespans_all!H$80:H$126,MATCH($A178,lifespans_all!$A$80:$A$126,0))*INDEX(SR_mission_minutes!H$2:H$43,MATCH($A178,SR_mission_minutes!$A$2:$A$43)),"-")</f>
        <v>-</v>
      </c>
      <c r="I178" s="128" t="str">
        <f>IFERROR(INDEX(lifespans_all!I$80:I$126,MATCH($A178,lifespans_all!$A$80:$A$126,0))*INDEX(SR_mission_minutes!I$2:I$43,MATCH($A178,SR_mission_minutes!$A$2:$A$43)),"-")</f>
        <v>-</v>
      </c>
      <c r="J178" s="128" t="str">
        <f>IFERROR(INDEX(lifespans_all!J$80:J$126,MATCH($A178,lifespans_all!$A$80:$A$126,0))*INDEX(SR_mission_minutes!J$2:J$43,MATCH($A178,SR_mission_minutes!$A$2:$A$43)),"-")</f>
        <v>-</v>
      </c>
      <c r="K178" s="128" t="str">
        <f>IFERROR(INDEX(lifespans_all!K$80:K$126,MATCH($A178,lifespans_all!$A$80:$A$126,0))*INDEX(SR_mission_minutes!K$2:K$43,MATCH($A178,SR_mission_minutes!$A$2:$A$43)),"-")</f>
        <v>-</v>
      </c>
      <c r="L178" s="128" t="str">
        <f>IFERROR(INDEX(lifespans_all!L$80:L$126,MATCH($A178,lifespans_all!$A$80:$A$126,0))*INDEX(SR_mission_minutes!L$2:L$43,MATCH($A178,SR_mission_minutes!$A$2:$A$43)),"-")</f>
        <v>-</v>
      </c>
      <c r="M178" s="128" t="str">
        <f>IFERROR(INDEX(lifespans_all!M$80:M$126,MATCH($A178,lifespans_all!$A$80:$A$126,0))*INDEX(SR_mission_minutes!M$2:M$43,MATCH($A178,SR_mission_minutes!$A$2:$A$43)),"-")</f>
        <v>-</v>
      </c>
      <c r="N178" s="128" t="str">
        <f>IFERROR(INDEX(lifespans_all!N$80:N$126,MATCH($A178,lifespans_all!$A$80:$A$126,0))*INDEX(SR_mission_minutes!N$2:N$43,MATCH($A178,SR_mission_minutes!$A$2:$A$43)),"-")</f>
        <v>-</v>
      </c>
      <c r="O178" s="128" t="str">
        <f>IFERROR(INDEX(lifespans_all!O$80:O$126,MATCH($A178,lifespans_all!$A$80:$A$126,0))*INDEX(SR_mission_minutes!O$2:O$43,MATCH($A178,SR_mission_minutes!$A$2:$A$43)),"-")</f>
        <v>-</v>
      </c>
      <c r="P178" s="128" t="str">
        <f>IFERROR(INDEX(lifespans_all!P$80:P$126,MATCH($A178,lifespans_all!$A$80:$A$126,0))*INDEX(SR_mission_minutes!P$2:P$43,MATCH($A178,SR_mission_minutes!$A$2:$A$43)),"-")</f>
        <v>-</v>
      </c>
      <c r="Q178" s="128" t="str">
        <f>IFERROR(INDEX(lifespans_all!Q$80:Q$126,MATCH($A178,lifespans_all!$A$80:$A$126,0))*INDEX(SR_mission_minutes!Q$2:Q$43,MATCH($A178,SR_mission_minutes!$A$2:$A$43)),"-")</f>
        <v>-</v>
      </c>
      <c r="R178" s="128" t="str">
        <f>IFERROR(INDEX(lifespans_all!R$80:R$126,MATCH($A178,lifespans_all!$A$80:$A$126,0))*INDEX(SR_mission_minutes!R$2:R$43,MATCH($A178,SR_mission_minutes!$A$2:$A$43)),"-")</f>
        <v>-</v>
      </c>
      <c r="S178" s="128" t="str">
        <f>IFERROR(INDEX(lifespans_all!S$80:S$126,MATCH($A178,lifespans_all!$A$80:$A$126,0))*INDEX(SR_mission_minutes!S$2:S$43,MATCH($A178,SR_mission_minutes!$A$2:$A$43)),"-")</f>
        <v>-</v>
      </c>
      <c r="T178" s="128" t="str">
        <f>IFERROR(INDEX(lifespans_all!T$80:T$126,MATCH($A178,lifespans_all!$A$80:$A$126,0))*INDEX(SR_mission_minutes!T$2:T$43,MATCH($A178,SR_mission_minutes!$A$2:$A$43)),"-")</f>
        <v>-</v>
      </c>
      <c r="U178" s="128" t="str">
        <f>IFERROR(INDEX(lifespans_all!U$80:U$126,MATCH($A178,lifespans_all!$A$80:$A$126,0))*INDEX(SR_mission_minutes!U$2:U$43,MATCH($A178,SR_mission_minutes!$A$2:$A$43)),"-")</f>
        <v>-</v>
      </c>
      <c r="V178" s="128" t="str">
        <f>IFERROR(INDEX(lifespans_all!V$80:V$126,MATCH($A178,lifespans_all!$A$80:$A$126,0))*INDEX(SR_mission_minutes!V$2:V$43,MATCH($A178,SR_mission_minutes!$A$2:$A$43)),"-")</f>
        <v>-</v>
      </c>
      <c r="W178" s="128" t="str">
        <f>IFERROR(INDEX(lifespans_all!W$80:W$126,MATCH($A178,lifespans_all!$A$80:$A$126,0))*INDEX(SR_mission_minutes!W$2:W$43,MATCH($A178,SR_mission_minutes!$A$2:$A$43)),"-")</f>
        <v>-</v>
      </c>
    </row>
    <row r="179" spans="1:23" x14ac:dyDescent="0.25">
      <c r="A179" s="46" t="s">
        <v>48</v>
      </c>
      <c r="B179" s="46" t="s">
        <v>64</v>
      </c>
      <c r="C179" s="135"/>
      <c r="D179" s="128" t="str">
        <f>IFERROR(INDEX(lifespans_all!D$158:D$212,MATCH($A179,lifespans_all!$A$158:$A$212,0))*INDEX(SR_mission_minutes!D$2:D$43,MATCH($A179,SR_mission_minutes!$A$2:$A$43)),"-")</f>
        <v>-</v>
      </c>
      <c r="E179" s="128" t="str">
        <f>IFERROR(INDEX(lifespans_all!E$80:E$126,MATCH($A179,lifespans_all!$A$80:$A$126,0))*INDEX(SR_mission_minutes!E$2:E$43,MATCH($A179,SR_mission_minutes!$A$2:$A$43)),"-")</f>
        <v>-</v>
      </c>
      <c r="F179" s="128" t="str">
        <f>IFERROR(INDEX(lifespans_all!F$80:F$126,MATCH($A179,lifespans_all!$A$80:$A$126,0))*INDEX(SR_mission_minutes!F$2:F$43,MATCH($A179,SR_mission_minutes!$A$2:$A$43)),"-")</f>
        <v>-</v>
      </c>
      <c r="G179" s="128" t="str">
        <f>IFERROR(INDEX(lifespans_all!G$80:G$126,MATCH($A179,lifespans_all!$A$80:$A$126,0))*INDEX(SR_mission_minutes!G$2:G$43,MATCH($A179,SR_mission_minutes!$A$2:$A$43)),"-")</f>
        <v>-</v>
      </c>
      <c r="H179" s="128" t="str">
        <f>IFERROR(INDEX(lifespans_all!H$80:H$126,MATCH($A179,lifespans_all!$A$80:$A$126,0))*INDEX(SR_mission_minutes!H$2:H$43,MATCH($A179,SR_mission_minutes!$A$2:$A$43)),"-")</f>
        <v>-</v>
      </c>
      <c r="I179" s="128" t="str">
        <f>IFERROR(INDEX(lifespans_all!I$80:I$126,MATCH($A179,lifespans_all!$A$80:$A$126,0))*INDEX(SR_mission_minutes!I$2:I$43,MATCH($A179,SR_mission_minutes!$A$2:$A$43)),"-")</f>
        <v>-</v>
      </c>
      <c r="J179" s="128" t="str">
        <f>IFERROR(INDEX(lifespans_all!J$80:J$126,MATCH($A179,lifespans_all!$A$80:$A$126,0))*INDEX(SR_mission_minutes!J$2:J$43,MATCH($A179,SR_mission_minutes!$A$2:$A$43)),"-")</f>
        <v>-</v>
      </c>
      <c r="K179" s="128" t="str">
        <f>IFERROR(INDEX(lifespans_all!K$80:K$126,MATCH($A179,lifespans_all!$A$80:$A$126,0))*INDEX(SR_mission_minutes!K$2:K$43,MATCH($A179,SR_mission_minutes!$A$2:$A$43)),"-")</f>
        <v>-</v>
      </c>
      <c r="L179" s="128" t="str">
        <f>IFERROR(INDEX(lifespans_all!L$80:L$126,MATCH($A179,lifespans_all!$A$80:$A$126,0))*INDEX(SR_mission_minutes!L$2:L$43,MATCH($A179,SR_mission_minutes!$A$2:$A$43)),"-")</f>
        <v>-</v>
      </c>
      <c r="M179" s="128" t="str">
        <f>IFERROR(INDEX(lifespans_all!M$80:M$126,MATCH($A179,lifespans_all!$A$80:$A$126,0))*INDEX(SR_mission_minutes!M$2:M$43,MATCH($A179,SR_mission_minutes!$A$2:$A$43)),"-")</f>
        <v>-</v>
      </c>
      <c r="N179" s="128" t="str">
        <f>IFERROR(INDEX(lifespans_all!N$80:N$126,MATCH($A179,lifespans_all!$A$80:$A$126,0))*INDEX(SR_mission_minutes!N$2:N$43,MATCH($A179,SR_mission_minutes!$A$2:$A$43)),"-")</f>
        <v>-</v>
      </c>
      <c r="O179" s="128" t="str">
        <f>IFERROR(INDEX(lifespans_all!O$80:O$126,MATCH($A179,lifespans_all!$A$80:$A$126,0))*INDEX(SR_mission_minutes!O$2:O$43,MATCH($A179,SR_mission_minutes!$A$2:$A$43)),"-")</f>
        <v>-</v>
      </c>
      <c r="P179" s="128" t="str">
        <f>IFERROR(INDEX(lifespans_all!P$80:P$126,MATCH($A179,lifespans_all!$A$80:$A$126,0))*INDEX(SR_mission_minutes!P$2:P$43,MATCH($A179,SR_mission_minutes!$A$2:$A$43)),"-")</f>
        <v>-</v>
      </c>
      <c r="Q179" s="128" t="str">
        <f>IFERROR(INDEX(lifespans_all!Q$80:Q$126,MATCH($A179,lifespans_all!$A$80:$A$126,0))*INDEX(SR_mission_minutes!Q$2:Q$43,MATCH($A179,SR_mission_minutes!$A$2:$A$43)),"-")</f>
        <v>-</v>
      </c>
      <c r="R179" s="128" t="str">
        <f>IFERROR(INDEX(lifespans_all!R$80:R$126,MATCH($A179,lifespans_all!$A$80:$A$126,0))*INDEX(SR_mission_minutes!R$2:R$43,MATCH($A179,SR_mission_minutes!$A$2:$A$43)),"-")</f>
        <v>-</v>
      </c>
      <c r="S179" s="128" t="str">
        <f>IFERROR(INDEX(lifespans_all!S$80:S$126,MATCH($A179,lifespans_all!$A$80:$A$126,0))*INDEX(SR_mission_minutes!S$2:S$43,MATCH($A179,SR_mission_minutes!$A$2:$A$43)),"-")</f>
        <v>-</v>
      </c>
      <c r="T179" s="128" t="str">
        <f>IFERROR(INDEX(lifespans_all!T$80:T$126,MATCH($A179,lifespans_all!$A$80:$A$126,0))*INDEX(SR_mission_minutes!T$2:T$43,MATCH($A179,SR_mission_minutes!$A$2:$A$43)),"-")</f>
        <v>-</v>
      </c>
      <c r="U179" s="128" t="str">
        <f>IFERROR(INDEX(lifespans_all!U$80:U$126,MATCH($A179,lifespans_all!$A$80:$A$126,0))*INDEX(SR_mission_minutes!U$2:U$43,MATCH($A179,SR_mission_minutes!$A$2:$A$43)),"-")</f>
        <v>-</v>
      </c>
      <c r="V179" s="128" t="str">
        <f>IFERROR(INDEX(lifespans_all!V$80:V$126,MATCH($A179,lifespans_all!$A$80:$A$126,0))*INDEX(SR_mission_minutes!V$2:V$43,MATCH($A179,SR_mission_minutes!$A$2:$A$43)),"-")</f>
        <v>-</v>
      </c>
      <c r="W179" s="128" t="str">
        <f>IFERROR(INDEX(lifespans_all!W$80:W$126,MATCH($A179,lifespans_all!$A$80:$A$126,0))*INDEX(SR_mission_minutes!W$2:W$43,MATCH($A179,SR_mission_minutes!$A$2:$A$43)),"-")</f>
        <v>-</v>
      </c>
    </row>
    <row r="180" spans="1:23" x14ac:dyDescent="0.25">
      <c r="A180" s="46" t="s">
        <v>49</v>
      </c>
      <c r="B180" s="46" t="s">
        <v>57</v>
      </c>
      <c r="C180" s="135"/>
      <c r="D180" s="128">
        <f>IFERROR(INDEX(lifespans_all!D$158:D$212,MATCH($A180,lifespans_all!$A$158:$A$212,0))*INDEX(SR_mission_minutes!D$2:D$43,MATCH($A180,SR_mission_minutes!$A$2:$A$43)),"-")</f>
        <v>0</v>
      </c>
      <c r="E180" s="128">
        <f>IFERROR(INDEX(lifespans_all!E$80:E$126,MATCH($A180,lifespans_all!$A$80:$A$126,0))*INDEX(SR_mission_minutes!E$2:E$43,MATCH($A180,SR_mission_minutes!$A$2:$A$43)),"-")</f>
        <v>0</v>
      </c>
      <c r="F180" s="128">
        <f>IFERROR(INDEX(lifespans_all!F$80:F$126,MATCH($A180,lifespans_all!$A$80:$A$126,0))*INDEX(SR_mission_minutes!F$2:F$43,MATCH($A180,SR_mission_minutes!$A$2:$A$43)),"-")</f>
        <v>0</v>
      </c>
      <c r="G180" s="128">
        <f>IFERROR(INDEX(lifespans_all!G$80:G$126,MATCH($A180,lifespans_all!$A$80:$A$126,0))*INDEX(SR_mission_minutes!G$2:G$43,MATCH($A180,SR_mission_minutes!$A$2:$A$43)),"-")</f>
        <v>0</v>
      </c>
      <c r="H180" s="128">
        <f>IFERROR(INDEX(lifespans_all!H$80:H$126,MATCH($A180,lifespans_all!$A$80:$A$126,0))*INDEX(SR_mission_minutes!H$2:H$43,MATCH($A180,SR_mission_minutes!$A$2:$A$43)),"-")</f>
        <v>0</v>
      </c>
      <c r="I180" s="128">
        <f>IFERROR(INDEX(lifespans_all!I$80:I$126,MATCH($A180,lifespans_all!$A$80:$A$126,0))*INDEX(SR_mission_minutes!I$2:I$43,MATCH($A180,SR_mission_minutes!$A$2:$A$43)),"-")</f>
        <v>0</v>
      </c>
      <c r="J180" s="128">
        <f>IFERROR(INDEX(lifespans_all!J$80:J$126,MATCH($A180,lifespans_all!$A$80:$A$126,0))*INDEX(SR_mission_minutes!J$2:J$43,MATCH($A180,SR_mission_minutes!$A$2:$A$43)),"-")</f>
        <v>0</v>
      </c>
      <c r="K180" s="128">
        <f>IFERROR(INDEX(lifespans_all!K$80:K$126,MATCH($A180,lifespans_all!$A$80:$A$126,0))*INDEX(SR_mission_minutes!K$2:K$43,MATCH($A180,SR_mission_minutes!$A$2:$A$43)),"-")</f>
        <v>0</v>
      </c>
      <c r="L180" s="128">
        <f>IFERROR(INDEX(lifespans_all!L$80:L$126,MATCH($A180,lifespans_all!$A$80:$A$126,0))*INDEX(SR_mission_minutes!L$2:L$43,MATCH($A180,SR_mission_minutes!$A$2:$A$43)),"-")</f>
        <v>0</v>
      </c>
      <c r="M180" s="128">
        <f>IFERROR(INDEX(lifespans_all!M$80:M$126,MATCH($A180,lifespans_all!$A$80:$A$126,0))*INDEX(SR_mission_minutes!M$2:M$43,MATCH($A180,SR_mission_minutes!$A$2:$A$43)),"-")</f>
        <v>0</v>
      </c>
      <c r="N180" s="128">
        <f>IFERROR(INDEX(lifespans_all!N$80:N$126,MATCH($A180,lifespans_all!$A$80:$A$126,0))*INDEX(SR_mission_minutes!N$2:N$43,MATCH($A180,SR_mission_minutes!$A$2:$A$43)),"-")</f>
        <v>0</v>
      </c>
      <c r="O180" s="128">
        <f>IFERROR(INDEX(lifespans_all!O$80:O$126,MATCH($A180,lifespans_all!$A$80:$A$126,0))*INDEX(SR_mission_minutes!O$2:O$43,MATCH($A180,SR_mission_minutes!$A$2:$A$43)),"-")</f>
        <v>0</v>
      </c>
      <c r="P180" s="128">
        <f>IFERROR(INDEX(lifespans_all!P$80:P$126,MATCH($A180,lifespans_all!$A$80:$A$126,0))*INDEX(SR_mission_minutes!P$2:P$43,MATCH($A180,SR_mission_minutes!$A$2:$A$43)),"-")</f>
        <v>0</v>
      </c>
      <c r="Q180" s="128">
        <f>IFERROR(INDEX(lifespans_all!Q$80:Q$126,MATCH($A180,lifespans_all!$A$80:$A$126,0))*INDEX(SR_mission_minutes!Q$2:Q$43,MATCH($A180,SR_mission_minutes!$A$2:$A$43)),"-")</f>
        <v>0</v>
      </c>
      <c r="R180" s="128">
        <f>IFERROR(INDEX(lifespans_all!R$80:R$126,MATCH($A180,lifespans_all!$A$80:$A$126,0))*INDEX(SR_mission_minutes!R$2:R$43,MATCH($A180,SR_mission_minutes!$A$2:$A$43)),"-")</f>
        <v>0</v>
      </c>
      <c r="S180" s="128">
        <f>IFERROR(INDEX(lifespans_all!S$80:S$126,MATCH($A180,lifespans_all!$A$80:$A$126,0))*INDEX(SR_mission_minutes!S$2:S$43,MATCH($A180,SR_mission_minutes!$A$2:$A$43)),"-")</f>
        <v>0</v>
      </c>
      <c r="T180" s="128">
        <f>IFERROR(INDEX(lifespans_all!T$80:T$126,MATCH($A180,lifespans_all!$A$80:$A$126,0))*INDEX(SR_mission_minutes!T$2:T$43,MATCH($A180,SR_mission_minutes!$A$2:$A$43)),"-")</f>
        <v>0</v>
      </c>
      <c r="U180" s="128">
        <f>IFERROR(INDEX(lifespans_all!U$80:U$126,MATCH($A180,lifespans_all!$A$80:$A$126,0))*INDEX(SR_mission_minutes!U$2:U$43,MATCH($A180,SR_mission_minutes!$A$2:$A$43)),"-")</f>
        <v>0</v>
      </c>
      <c r="V180" s="128">
        <f>IFERROR(INDEX(lifespans_all!V$80:V$126,MATCH($A180,lifespans_all!$A$80:$A$126,0))*INDEX(SR_mission_minutes!V$2:V$43,MATCH($A180,SR_mission_minutes!$A$2:$A$43)),"-")</f>
        <v>0</v>
      </c>
      <c r="W180" s="128">
        <f>IFERROR(INDEX(lifespans_all!W$80:W$126,MATCH($A180,lifespans_all!$A$80:$A$126,0))*INDEX(SR_mission_minutes!W$2:W$43,MATCH($A180,SR_mission_minutes!$A$2:$A$43)),"-")</f>
        <v>0</v>
      </c>
    </row>
    <row r="181" spans="1:23" x14ac:dyDescent="0.25">
      <c r="A181" s="46" t="s">
        <v>50</v>
      </c>
      <c r="B181" s="46" t="s">
        <v>61</v>
      </c>
      <c r="C181" s="135"/>
      <c r="D181" s="128">
        <f>IFERROR(INDEX(lifespans_all!D$158:D$212,MATCH($A181,lifespans_all!$A$158:$A$212,0))*INDEX(SR_mission_minutes!D$2:D$43,MATCH($A181,SR_mission_minutes!$A$2:$A$43)),"-")</f>
        <v>33739.333333333336</v>
      </c>
      <c r="E181" s="128">
        <f>IFERROR(INDEX(lifespans_all!E$80:E$126,MATCH($A181,lifespans_all!$A$80:$A$126,0))*INDEX(SR_mission_minutes!E$2:E$43,MATCH($A181,SR_mission_minutes!$A$2:$A$43)),"-")</f>
        <v>33739.333333333336</v>
      </c>
      <c r="F181" s="128">
        <f>IFERROR(INDEX(lifespans_all!F$80:F$126,MATCH($A181,lifespans_all!$A$80:$A$126,0))*INDEX(SR_mission_minutes!F$2:F$43,MATCH($A181,SR_mission_minutes!$A$2:$A$43)),"-")</f>
        <v>33739.333333333336</v>
      </c>
      <c r="G181" s="128">
        <f>IFERROR(INDEX(lifespans_all!G$80:G$126,MATCH($A181,lifespans_all!$A$80:$A$126,0))*INDEX(SR_mission_minutes!G$2:G$43,MATCH($A181,SR_mission_minutes!$A$2:$A$43)),"-")</f>
        <v>33739.333333333336</v>
      </c>
      <c r="H181" s="128">
        <f>IFERROR(INDEX(lifespans_all!H$80:H$126,MATCH($A181,lifespans_all!$A$80:$A$126,0))*INDEX(SR_mission_minutes!H$2:H$43,MATCH($A181,SR_mission_minutes!$A$2:$A$43)),"-")</f>
        <v>33739.333333333336</v>
      </c>
      <c r="I181" s="128">
        <f>IFERROR(INDEX(lifespans_all!I$80:I$126,MATCH($A181,lifespans_all!$A$80:$A$126,0))*INDEX(SR_mission_minutes!I$2:I$43,MATCH($A181,SR_mission_minutes!$A$2:$A$43)),"-")</f>
        <v>0</v>
      </c>
      <c r="J181" s="128">
        <f>IFERROR(INDEX(lifespans_all!J$80:J$126,MATCH($A181,lifespans_all!$A$80:$A$126,0))*INDEX(SR_mission_minutes!J$2:J$43,MATCH($A181,SR_mission_minutes!$A$2:$A$43)),"-")</f>
        <v>0</v>
      </c>
      <c r="K181" s="128">
        <f>IFERROR(INDEX(lifespans_all!K$80:K$126,MATCH($A181,lifespans_all!$A$80:$A$126,0))*INDEX(SR_mission_minutes!K$2:K$43,MATCH($A181,SR_mission_minutes!$A$2:$A$43)),"-")</f>
        <v>0</v>
      </c>
      <c r="L181" s="128">
        <f>IFERROR(INDEX(lifespans_all!L$80:L$126,MATCH($A181,lifespans_all!$A$80:$A$126,0))*INDEX(SR_mission_minutes!L$2:L$43,MATCH($A181,SR_mission_minutes!$A$2:$A$43)),"-")</f>
        <v>0</v>
      </c>
      <c r="M181" s="128">
        <f>IFERROR(INDEX(lifespans_all!M$80:M$126,MATCH($A181,lifespans_all!$A$80:$A$126,0))*INDEX(SR_mission_minutes!M$2:M$43,MATCH($A181,SR_mission_minutes!$A$2:$A$43)),"-")</f>
        <v>0</v>
      </c>
      <c r="N181" s="128">
        <f>IFERROR(INDEX(lifespans_all!N$80:N$126,MATCH($A181,lifespans_all!$A$80:$A$126,0))*INDEX(SR_mission_minutes!N$2:N$43,MATCH($A181,SR_mission_minutes!$A$2:$A$43)),"-")</f>
        <v>0</v>
      </c>
      <c r="O181" s="128">
        <f>IFERROR(INDEX(lifespans_all!O$80:O$126,MATCH($A181,lifespans_all!$A$80:$A$126,0))*INDEX(SR_mission_minutes!O$2:O$43,MATCH($A181,SR_mission_minutes!$A$2:$A$43)),"-")</f>
        <v>0</v>
      </c>
      <c r="P181" s="128">
        <f>IFERROR(INDEX(lifespans_all!P$80:P$126,MATCH($A181,lifespans_all!$A$80:$A$126,0))*INDEX(SR_mission_minutes!P$2:P$43,MATCH($A181,SR_mission_minutes!$A$2:$A$43)),"-")</f>
        <v>0</v>
      </c>
      <c r="Q181" s="128">
        <f>IFERROR(INDEX(lifespans_all!Q$80:Q$126,MATCH($A181,lifespans_all!$A$80:$A$126,0))*INDEX(SR_mission_minutes!Q$2:Q$43,MATCH($A181,SR_mission_minutes!$A$2:$A$43)),"-")</f>
        <v>0</v>
      </c>
      <c r="R181" s="128">
        <f>IFERROR(INDEX(lifespans_all!R$80:R$126,MATCH($A181,lifespans_all!$A$80:$A$126,0))*INDEX(SR_mission_minutes!R$2:R$43,MATCH($A181,SR_mission_minutes!$A$2:$A$43)),"-")</f>
        <v>0</v>
      </c>
      <c r="S181" s="128">
        <f>IFERROR(INDEX(lifespans_all!S$80:S$126,MATCH($A181,lifespans_all!$A$80:$A$126,0))*INDEX(SR_mission_minutes!S$2:S$43,MATCH($A181,SR_mission_minutes!$A$2:$A$43)),"-")</f>
        <v>0</v>
      </c>
      <c r="T181" s="128">
        <f>IFERROR(INDEX(lifespans_all!T$80:T$126,MATCH($A181,lifespans_all!$A$80:$A$126,0))*INDEX(SR_mission_minutes!T$2:T$43,MATCH($A181,SR_mission_minutes!$A$2:$A$43)),"-")</f>
        <v>0</v>
      </c>
      <c r="U181" s="128">
        <f>IFERROR(INDEX(lifespans_all!U$80:U$126,MATCH($A181,lifespans_all!$A$80:$A$126,0))*INDEX(SR_mission_minutes!U$2:U$43,MATCH($A181,SR_mission_minutes!$A$2:$A$43)),"-")</f>
        <v>0</v>
      </c>
      <c r="V181" s="128">
        <f>IFERROR(INDEX(lifespans_all!V$80:V$126,MATCH($A181,lifespans_all!$A$80:$A$126,0))*INDEX(SR_mission_minutes!V$2:V$43,MATCH($A181,SR_mission_minutes!$A$2:$A$43)),"-")</f>
        <v>0</v>
      </c>
      <c r="W181" s="128">
        <f>IFERROR(INDEX(lifespans_all!W$80:W$126,MATCH($A181,lifespans_all!$A$80:$A$126,0))*INDEX(SR_mission_minutes!W$2:W$43,MATCH($A181,SR_mission_minutes!$A$2:$A$43)),"-")</f>
        <v>0</v>
      </c>
    </row>
    <row r="182" spans="1:23" x14ac:dyDescent="0.25">
      <c r="A182" s="46" t="s">
        <v>79</v>
      </c>
      <c r="B182" s="46" t="s">
        <v>59</v>
      </c>
      <c r="C182" s="135"/>
      <c r="D182" s="128">
        <f>IFERROR(INDEX(lifespans_all!D$158:D$212,MATCH($A182,lifespans_all!$A$158:$A$212,0))*INDEX(SR_mission_minutes!D$2:D$43,MATCH($A182,SR_mission_minutes!$A$2:$A$43)),"-")</f>
        <v>114879</v>
      </c>
      <c r="E182" s="128">
        <f>IFERROR(INDEX(lifespans_all!E$80:E$126,MATCH($A182,lifespans_all!$A$80:$A$126,0))*INDEX(SR_mission_minutes!E$2:E$43,MATCH($A182,SR_mission_minutes!$A$2:$A$43)),"-")</f>
        <v>114879</v>
      </c>
      <c r="F182" s="128">
        <f>IFERROR(INDEX(lifespans_all!F$80:F$126,MATCH($A182,lifespans_all!$A$80:$A$126,0))*INDEX(SR_mission_minutes!F$2:F$43,MATCH($A182,SR_mission_minutes!$A$2:$A$43)),"-")</f>
        <v>114879</v>
      </c>
      <c r="G182" s="128">
        <f>IFERROR(INDEX(lifespans_all!G$80:G$126,MATCH($A182,lifespans_all!$A$80:$A$126,0))*INDEX(SR_mission_minutes!G$2:G$43,MATCH($A182,SR_mission_minutes!$A$2:$A$43)),"-")</f>
        <v>114879</v>
      </c>
      <c r="H182" s="128">
        <f>IFERROR(INDEX(lifespans_all!H$80:H$126,MATCH($A182,lifespans_all!$A$80:$A$126,0))*INDEX(SR_mission_minutes!H$2:H$43,MATCH($A182,SR_mission_minutes!$A$2:$A$43)),"-")</f>
        <v>114879</v>
      </c>
      <c r="I182" s="128">
        <f>IFERROR(INDEX(lifespans_all!I$80:I$126,MATCH($A182,lifespans_all!$A$80:$A$126,0))*INDEX(SR_mission_minutes!I$2:I$43,MATCH($A182,SR_mission_minutes!$A$2:$A$43)),"-")</f>
        <v>114879</v>
      </c>
      <c r="J182" s="128">
        <f>IFERROR(INDEX(lifespans_all!J$80:J$126,MATCH($A182,lifespans_all!$A$80:$A$126,0))*INDEX(SR_mission_minutes!J$2:J$43,MATCH($A182,SR_mission_minutes!$A$2:$A$43)),"-")</f>
        <v>114879</v>
      </c>
      <c r="K182" s="128">
        <f>IFERROR(INDEX(lifespans_all!K$80:K$126,MATCH($A182,lifespans_all!$A$80:$A$126,0))*INDEX(SR_mission_minutes!K$2:K$43,MATCH($A182,SR_mission_minutes!$A$2:$A$43)),"-")</f>
        <v>114879</v>
      </c>
      <c r="L182" s="128">
        <f>IFERROR(INDEX(lifespans_all!L$80:L$126,MATCH($A182,lifespans_all!$A$80:$A$126,0))*INDEX(SR_mission_minutes!L$2:L$43,MATCH($A182,SR_mission_minutes!$A$2:$A$43)),"-")</f>
        <v>114879</v>
      </c>
      <c r="M182" s="128">
        <f>IFERROR(INDEX(lifespans_all!M$80:M$126,MATCH($A182,lifespans_all!$A$80:$A$126,0))*INDEX(SR_mission_minutes!M$2:M$43,MATCH($A182,SR_mission_minutes!$A$2:$A$43)),"-")</f>
        <v>114879</v>
      </c>
      <c r="N182" s="128">
        <f>IFERROR(INDEX(lifespans_all!N$80:N$126,MATCH($A182,lifespans_all!$A$80:$A$126,0))*INDEX(SR_mission_minutes!N$2:N$43,MATCH($A182,SR_mission_minutes!$A$2:$A$43)),"-")</f>
        <v>114879</v>
      </c>
      <c r="O182" s="128">
        <f>IFERROR(INDEX(lifespans_all!O$80:O$126,MATCH($A182,lifespans_all!$A$80:$A$126,0))*INDEX(SR_mission_minutes!O$2:O$43,MATCH($A182,SR_mission_minutes!$A$2:$A$43)),"-")</f>
        <v>114879</v>
      </c>
      <c r="P182" s="128">
        <f>IFERROR(INDEX(lifespans_all!P$80:P$126,MATCH($A182,lifespans_all!$A$80:$A$126,0))*INDEX(SR_mission_minutes!P$2:P$43,MATCH($A182,SR_mission_minutes!$A$2:$A$43)),"-")</f>
        <v>114879</v>
      </c>
      <c r="Q182" s="128">
        <f>IFERROR(INDEX(lifespans_all!Q$80:Q$126,MATCH($A182,lifespans_all!$A$80:$A$126,0))*INDEX(SR_mission_minutes!Q$2:Q$43,MATCH($A182,SR_mission_minutes!$A$2:$A$43)),"-")</f>
        <v>114879</v>
      </c>
      <c r="R182" s="128">
        <f>IFERROR(INDEX(lifespans_all!R$80:R$126,MATCH($A182,lifespans_all!$A$80:$A$126,0))*INDEX(SR_mission_minutes!R$2:R$43,MATCH($A182,SR_mission_minutes!$A$2:$A$43)),"-")</f>
        <v>114879</v>
      </c>
      <c r="S182" s="128">
        <f>IFERROR(INDEX(lifespans_all!S$80:S$126,MATCH($A182,lifespans_all!$A$80:$A$126,0))*INDEX(SR_mission_minutes!S$2:S$43,MATCH($A182,SR_mission_minutes!$A$2:$A$43)),"-")</f>
        <v>114879</v>
      </c>
      <c r="T182" s="128">
        <f>IFERROR(INDEX(lifespans_all!T$80:T$126,MATCH($A182,lifespans_all!$A$80:$A$126,0))*INDEX(SR_mission_minutes!T$2:T$43,MATCH($A182,SR_mission_minutes!$A$2:$A$43)),"-")</f>
        <v>114879</v>
      </c>
      <c r="U182" s="128">
        <f>IFERROR(INDEX(lifespans_all!U$80:U$126,MATCH($A182,lifespans_all!$A$80:$A$126,0))*INDEX(SR_mission_minutes!U$2:U$43,MATCH($A182,SR_mission_minutes!$A$2:$A$43)),"-")</f>
        <v>114879</v>
      </c>
      <c r="V182" s="128">
        <f>IFERROR(INDEX(lifespans_all!V$80:V$126,MATCH($A182,lifespans_all!$A$80:$A$126,0))*INDEX(SR_mission_minutes!V$2:V$43,MATCH($A182,SR_mission_minutes!$A$2:$A$43)),"-")</f>
        <v>114879</v>
      </c>
      <c r="W182" s="128">
        <f>IFERROR(INDEX(lifespans_all!W$80:W$126,MATCH($A182,lifespans_all!$A$80:$A$126,0))*INDEX(SR_mission_minutes!W$2:W$43,MATCH($A182,SR_mission_minutes!$A$2:$A$43)),"-")</f>
        <v>114879</v>
      </c>
    </row>
    <row r="183" spans="1:23" x14ac:dyDescent="0.25">
      <c r="A183" s="46" t="s">
        <v>80</v>
      </c>
      <c r="B183" s="46" t="s">
        <v>62</v>
      </c>
      <c r="C183" s="135"/>
      <c r="D183" s="128" t="str">
        <f>IFERROR(INDEX(lifespans_all!D$158:D$212,MATCH($A183,lifespans_all!$A$158:$A$212,0))*INDEX(SR_mission_minutes!D$2:D$43,MATCH($A183,SR_mission_minutes!$A$2:$A$43)),"-")</f>
        <v>-</v>
      </c>
      <c r="E183" s="128" t="str">
        <f>IFERROR(INDEX(lifespans_all!E$80:E$126,MATCH($A183,lifespans_all!$A$80:$A$126,0))*INDEX(SR_mission_minutes!E$2:E$43,MATCH($A183,SR_mission_minutes!$A$2:$A$43)),"-")</f>
        <v>-</v>
      </c>
      <c r="F183" s="128" t="str">
        <f>IFERROR(INDEX(lifespans_all!F$80:F$126,MATCH($A183,lifespans_all!$A$80:$A$126,0))*INDEX(SR_mission_minutes!F$2:F$43,MATCH($A183,SR_mission_minutes!$A$2:$A$43)),"-")</f>
        <v>-</v>
      </c>
      <c r="G183" s="128" t="str">
        <f>IFERROR(INDEX(lifespans_all!G$80:G$126,MATCH($A183,lifespans_all!$A$80:$A$126,0))*INDEX(SR_mission_minutes!G$2:G$43,MATCH($A183,SR_mission_minutes!$A$2:$A$43)),"-")</f>
        <v>-</v>
      </c>
      <c r="H183" s="128" t="str">
        <f>IFERROR(INDEX(lifespans_all!H$80:H$126,MATCH($A183,lifespans_all!$A$80:$A$126,0))*INDEX(SR_mission_minutes!H$2:H$43,MATCH($A183,SR_mission_minutes!$A$2:$A$43)),"-")</f>
        <v>-</v>
      </c>
      <c r="I183" s="128" t="str">
        <f>IFERROR(INDEX(lifespans_all!I$80:I$126,MATCH($A183,lifespans_all!$A$80:$A$126,0))*INDEX(SR_mission_minutes!I$2:I$43,MATCH($A183,SR_mission_minutes!$A$2:$A$43)),"-")</f>
        <v>-</v>
      </c>
      <c r="J183" s="128" t="str">
        <f>IFERROR(INDEX(lifespans_all!J$80:J$126,MATCH($A183,lifespans_all!$A$80:$A$126,0))*INDEX(SR_mission_minutes!J$2:J$43,MATCH($A183,SR_mission_minutes!$A$2:$A$43)),"-")</f>
        <v>-</v>
      </c>
      <c r="K183" s="128" t="str">
        <f>IFERROR(INDEX(lifespans_all!K$80:K$126,MATCH($A183,lifespans_all!$A$80:$A$126,0))*INDEX(SR_mission_minutes!K$2:K$43,MATCH($A183,SR_mission_minutes!$A$2:$A$43)),"-")</f>
        <v>-</v>
      </c>
      <c r="L183" s="128" t="str">
        <f>IFERROR(INDEX(lifespans_all!L$80:L$126,MATCH($A183,lifespans_all!$A$80:$A$126,0))*INDEX(SR_mission_minutes!L$2:L$43,MATCH($A183,SR_mission_minutes!$A$2:$A$43)),"-")</f>
        <v>-</v>
      </c>
      <c r="M183" s="128" t="str">
        <f>IFERROR(INDEX(lifespans_all!M$80:M$126,MATCH($A183,lifespans_all!$A$80:$A$126,0))*INDEX(SR_mission_minutes!M$2:M$43,MATCH($A183,SR_mission_minutes!$A$2:$A$43)),"-")</f>
        <v>-</v>
      </c>
      <c r="N183" s="128" t="str">
        <f>IFERROR(INDEX(lifespans_all!N$80:N$126,MATCH($A183,lifespans_all!$A$80:$A$126,0))*INDEX(SR_mission_minutes!N$2:N$43,MATCH($A183,SR_mission_minutes!$A$2:$A$43)),"-")</f>
        <v>-</v>
      </c>
      <c r="O183" s="128" t="str">
        <f>IFERROR(INDEX(lifespans_all!O$80:O$126,MATCH($A183,lifespans_all!$A$80:$A$126,0))*INDEX(SR_mission_minutes!O$2:O$43,MATCH($A183,SR_mission_minutes!$A$2:$A$43)),"-")</f>
        <v>-</v>
      </c>
      <c r="P183" s="128" t="str">
        <f>IFERROR(INDEX(lifespans_all!P$80:P$126,MATCH($A183,lifespans_all!$A$80:$A$126,0))*INDEX(SR_mission_minutes!P$2:P$43,MATCH($A183,SR_mission_minutes!$A$2:$A$43)),"-")</f>
        <v>-</v>
      </c>
      <c r="Q183" s="128" t="str">
        <f>IFERROR(INDEX(lifespans_all!Q$80:Q$126,MATCH($A183,lifespans_all!$A$80:$A$126,0))*INDEX(SR_mission_minutes!Q$2:Q$43,MATCH($A183,SR_mission_minutes!$A$2:$A$43)),"-")</f>
        <v>-</v>
      </c>
      <c r="R183" s="128" t="str">
        <f>IFERROR(INDEX(lifespans_all!R$80:R$126,MATCH($A183,lifespans_all!$A$80:$A$126,0))*INDEX(SR_mission_minutes!R$2:R$43,MATCH($A183,SR_mission_minutes!$A$2:$A$43)),"-")</f>
        <v>-</v>
      </c>
      <c r="S183" s="128" t="str">
        <f>IFERROR(INDEX(lifespans_all!S$80:S$126,MATCH($A183,lifespans_all!$A$80:$A$126,0))*INDEX(SR_mission_minutes!S$2:S$43,MATCH($A183,SR_mission_minutes!$A$2:$A$43)),"-")</f>
        <v>-</v>
      </c>
      <c r="T183" s="128" t="str">
        <f>IFERROR(INDEX(lifespans_all!T$80:T$126,MATCH($A183,lifespans_all!$A$80:$A$126,0))*INDEX(SR_mission_minutes!T$2:T$43,MATCH($A183,SR_mission_minutes!$A$2:$A$43)),"-")</f>
        <v>-</v>
      </c>
      <c r="U183" s="128" t="str">
        <f>IFERROR(INDEX(lifespans_all!U$80:U$126,MATCH($A183,lifespans_all!$A$80:$A$126,0))*INDEX(SR_mission_minutes!U$2:U$43,MATCH($A183,SR_mission_minutes!$A$2:$A$43)),"-")</f>
        <v>-</v>
      </c>
      <c r="V183" s="128" t="str">
        <f>IFERROR(INDEX(lifespans_all!V$80:V$126,MATCH($A183,lifespans_all!$A$80:$A$126,0))*INDEX(SR_mission_minutes!V$2:V$43,MATCH($A183,SR_mission_minutes!$A$2:$A$43)),"-")</f>
        <v>-</v>
      </c>
      <c r="W183" s="128" t="str">
        <f>IFERROR(INDEX(lifespans_all!W$80:W$126,MATCH($A183,lifespans_all!$A$80:$A$126,0))*INDEX(SR_mission_minutes!W$2:W$43,MATCH($A183,SR_mission_minutes!$A$2:$A$43)),"-")</f>
        <v>-</v>
      </c>
    </row>
    <row r="184" spans="1:23" x14ac:dyDescent="0.25">
      <c r="A184" s="46" t="s">
        <v>81</v>
      </c>
      <c r="B184" s="46" t="s">
        <v>57</v>
      </c>
      <c r="C184" s="135"/>
      <c r="D184" s="128">
        <f>IFERROR(INDEX(lifespans_all!D$158:D$212,MATCH($A184,lifespans_all!$A$158:$A$212,0))*INDEX(SR_mission_minutes!D$2:D$43,MATCH($A184,SR_mission_minutes!$A$2:$A$43)),"-")</f>
        <v>66700.388888888891</v>
      </c>
      <c r="E184" s="128">
        <f>IFERROR(INDEX(lifespans_all!E$80:E$126,MATCH($A184,lifespans_all!$A$80:$A$126,0))*INDEX(SR_mission_minutes!E$2:E$43,MATCH($A184,SR_mission_minutes!$A$2:$A$43)),"-")</f>
        <v>66700.388888888891</v>
      </c>
      <c r="F184" s="128">
        <f>IFERROR(INDEX(lifespans_all!F$80:F$126,MATCH($A184,lifespans_all!$A$80:$A$126,0))*INDEX(SR_mission_minutes!F$2:F$43,MATCH($A184,SR_mission_minutes!$A$2:$A$43)),"-")</f>
        <v>66700.388888888891</v>
      </c>
      <c r="G184" s="128">
        <f>IFERROR(INDEX(lifespans_all!G$80:G$126,MATCH($A184,lifespans_all!$A$80:$A$126,0))*INDEX(SR_mission_minutes!G$2:G$43,MATCH($A184,SR_mission_minutes!$A$2:$A$43)),"-")</f>
        <v>66700.388888888891</v>
      </c>
      <c r="H184" s="128">
        <f>IFERROR(INDEX(lifespans_all!H$80:H$126,MATCH($A184,lifespans_all!$A$80:$A$126,0))*INDEX(SR_mission_minutes!H$2:H$43,MATCH($A184,SR_mission_minutes!$A$2:$A$43)),"-")</f>
        <v>66700.388888888891</v>
      </c>
      <c r="I184" s="128">
        <f>IFERROR(INDEX(lifespans_all!I$80:I$126,MATCH($A184,lifespans_all!$A$80:$A$126,0))*INDEX(SR_mission_minutes!I$2:I$43,MATCH($A184,SR_mission_minutes!$A$2:$A$43)),"-")</f>
        <v>66700.388888888891</v>
      </c>
      <c r="J184" s="128">
        <f>IFERROR(INDEX(lifespans_all!J$80:J$126,MATCH($A184,lifespans_all!$A$80:$A$126,0))*INDEX(SR_mission_minutes!J$2:J$43,MATCH($A184,SR_mission_minutes!$A$2:$A$43)),"-")</f>
        <v>66700.388888888891</v>
      </c>
      <c r="K184" s="128">
        <f>IFERROR(INDEX(lifespans_all!K$80:K$126,MATCH($A184,lifespans_all!$A$80:$A$126,0))*INDEX(SR_mission_minutes!K$2:K$43,MATCH($A184,SR_mission_minutes!$A$2:$A$43)),"-")</f>
        <v>0</v>
      </c>
      <c r="L184" s="128">
        <f>IFERROR(INDEX(lifespans_all!L$80:L$126,MATCH($A184,lifespans_all!$A$80:$A$126,0))*INDEX(SR_mission_minutes!L$2:L$43,MATCH($A184,SR_mission_minutes!$A$2:$A$43)),"-")</f>
        <v>0</v>
      </c>
      <c r="M184" s="128">
        <f>IFERROR(INDEX(lifespans_all!M$80:M$126,MATCH($A184,lifespans_all!$A$80:$A$126,0))*INDEX(SR_mission_minutes!M$2:M$43,MATCH($A184,SR_mission_minutes!$A$2:$A$43)),"-")</f>
        <v>0</v>
      </c>
      <c r="N184" s="128">
        <f>IFERROR(INDEX(lifespans_all!N$80:N$126,MATCH($A184,lifespans_all!$A$80:$A$126,0))*INDEX(SR_mission_minutes!N$2:N$43,MATCH($A184,SR_mission_minutes!$A$2:$A$43)),"-")</f>
        <v>0</v>
      </c>
      <c r="O184" s="128">
        <f>IFERROR(INDEX(lifespans_all!O$80:O$126,MATCH($A184,lifespans_all!$A$80:$A$126,0))*INDEX(SR_mission_minutes!O$2:O$43,MATCH($A184,SR_mission_minutes!$A$2:$A$43)),"-")</f>
        <v>0</v>
      </c>
      <c r="P184" s="128">
        <f>IFERROR(INDEX(lifespans_all!P$80:P$126,MATCH($A184,lifespans_all!$A$80:$A$126,0))*INDEX(SR_mission_minutes!P$2:P$43,MATCH($A184,SR_mission_minutes!$A$2:$A$43)),"-")</f>
        <v>0</v>
      </c>
      <c r="Q184" s="128">
        <f>IFERROR(INDEX(lifespans_all!Q$80:Q$126,MATCH($A184,lifespans_all!$A$80:$A$126,0))*INDEX(SR_mission_minutes!Q$2:Q$43,MATCH($A184,SR_mission_minutes!$A$2:$A$43)),"-")</f>
        <v>0</v>
      </c>
      <c r="R184" s="128">
        <f>IFERROR(INDEX(lifespans_all!R$80:R$126,MATCH($A184,lifespans_all!$A$80:$A$126,0))*INDEX(SR_mission_minutes!R$2:R$43,MATCH($A184,SR_mission_minutes!$A$2:$A$43)),"-")</f>
        <v>0</v>
      </c>
      <c r="S184" s="128">
        <f>IFERROR(INDEX(lifespans_all!S$80:S$126,MATCH($A184,lifespans_all!$A$80:$A$126,0))*INDEX(SR_mission_minutes!S$2:S$43,MATCH($A184,SR_mission_minutes!$A$2:$A$43)),"-")</f>
        <v>0</v>
      </c>
      <c r="T184" s="128">
        <f>IFERROR(INDEX(lifespans_all!T$80:T$126,MATCH($A184,lifespans_all!$A$80:$A$126,0))*INDEX(SR_mission_minutes!T$2:T$43,MATCH($A184,SR_mission_minutes!$A$2:$A$43)),"-")</f>
        <v>0</v>
      </c>
      <c r="U184" s="128">
        <f>IFERROR(INDEX(lifespans_all!U$80:U$126,MATCH($A184,lifespans_all!$A$80:$A$126,0))*INDEX(SR_mission_minutes!U$2:U$43,MATCH($A184,SR_mission_minutes!$A$2:$A$43)),"-")</f>
        <v>0</v>
      </c>
      <c r="V184" s="128">
        <f>IFERROR(INDEX(lifespans_all!V$80:V$126,MATCH($A184,lifespans_all!$A$80:$A$126,0))*INDEX(SR_mission_minutes!V$2:V$43,MATCH($A184,SR_mission_minutes!$A$2:$A$43)),"-")</f>
        <v>0</v>
      </c>
      <c r="W184" s="128">
        <f>IFERROR(INDEX(lifespans_all!W$80:W$126,MATCH($A184,lifespans_all!$A$80:$A$126,0))*INDEX(SR_mission_minutes!W$2:W$43,MATCH($A184,SR_mission_minutes!$A$2:$A$43)),"-")</f>
        <v>0</v>
      </c>
    </row>
    <row r="185" spans="1:23" x14ac:dyDescent="0.25">
      <c r="A185" s="46" t="s">
        <v>51</v>
      </c>
      <c r="B185" s="46" t="s">
        <v>56</v>
      </c>
      <c r="C185" s="135"/>
      <c r="D185" s="128">
        <f>IFERROR(INDEX(lifespans_all!D$158:D$212,MATCH($A185,lifespans_all!$A$158:$A$212,0))*INDEX(SR_mission_minutes!D$2:D$43,MATCH($A185,SR_mission_minutes!$A$2:$A$43)),"-")</f>
        <v>2364.2857142857142</v>
      </c>
      <c r="E185" s="128">
        <f>IFERROR(INDEX(lifespans_all!E$80:E$126,MATCH($A185,lifespans_all!$A$80:$A$126,0))*INDEX(SR_mission_minutes!E$2:E$43,MATCH($A185,SR_mission_minutes!$A$2:$A$43)),"-")</f>
        <v>2364.2857142857142</v>
      </c>
      <c r="F185" s="128">
        <f>IFERROR(INDEX(lifespans_all!F$80:F$126,MATCH($A185,lifespans_all!$A$80:$A$126,0))*INDEX(SR_mission_minutes!F$2:F$43,MATCH($A185,SR_mission_minutes!$A$2:$A$43)),"-")</f>
        <v>0</v>
      </c>
      <c r="G185" s="128">
        <f>IFERROR(INDEX(lifespans_all!G$80:G$126,MATCH($A185,lifespans_all!$A$80:$A$126,0))*INDEX(SR_mission_minutes!G$2:G$43,MATCH($A185,SR_mission_minutes!$A$2:$A$43)),"-")</f>
        <v>0</v>
      </c>
      <c r="H185" s="128">
        <f>IFERROR(INDEX(lifespans_all!H$80:H$126,MATCH($A185,lifespans_all!$A$80:$A$126,0))*INDEX(SR_mission_minutes!H$2:H$43,MATCH($A185,SR_mission_minutes!$A$2:$A$43)),"-")</f>
        <v>0</v>
      </c>
      <c r="I185" s="128">
        <f>IFERROR(INDEX(lifespans_all!I$80:I$126,MATCH($A185,lifespans_all!$A$80:$A$126,0))*INDEX(SR_mission_minutes!I$2:I$43,MATCH($A185,SR_mission_minutes!$A$2:$A$43)),"-")</f>
        <v>0</v>
      </c>
      <c r="J185" s="128">
        <f>IFERROR(INDEX(lifespans_all!J$80:J$126,MATCH($A185,lifespans_all!$A$80:$A$126,0))*INDEX(SR_mission_minutes!J$2:J$43,MATCH($A185,SR_mission_minutes!$A$2:$A$43)),"-")</f>
        <v>0</v>
      </c>
      <c r="K185" s="128">
        <f>IFERROR(INDEX(lifespans_all!K$80:K$126,MATCH($A185,lifespans_all!$A$80:$A$126,0))*INDEX(SR_mission_minutes!K$2:K$43,MATCH($A185,SR_mission_minutes!$A$2:$A$43)),"-")</f>
        <v>0</v>
      </c>
      <c r="L185" s="128">
        <f>IFERROR(INDEX(lifespans_all!L$80:L$126,MATCH($A185,lifespans_all!$A$80:$A$126,0))*INDEX(SR_mission_minutes!L$2:L$43,MATCH($A185,SR_mission_minutes!$A$2:$A$43)),"-")</f>
        <v>0</v>
      </c>
      <c r="M185" s="128">
        <f>IFERROR(INDEX(lifespans_all!M$80:M$126,MATCH($A185,lifespans_all!$A$80:$A$126,0))*INDEX(SR_mission_minutes!M$2:M$43,MATCH($A185,SR_mission_minutes!$A$2:$A$43)),"-")</f>
        <v>0</v>
      </c>
      <c r="N185" s="128">
        <f>IFERROR(INDEX(lifespans_all!N$80:N$126,MATCH($A185,lifespans_all!$A$80:$A$126,0))*INDEX(SR_mission_minutes!N$2:N$43,MATCH($A185,SR_mission_minutes!$A$2:$A$43)),"-")</f>
        <v>0</v>
      </c>
      <c r="O185" s="128">
        <f>IFERROR(INDEX(lifespans_all!O$80:O$126,MATCH($A185,lifespans_all!$A$80:$A$126,0))*INDEX(SR_mission_minutes!O$2:O$43,MATCH($A185,SR_mission_minutes!$A$2:$A$43)),"-")</f>
        <v>0</v>
      </c>
      <c r="P185" s="128">
        <f>IFERROR(INDEX(lifespans_all!P$80:P$126,MATCH($A185,lifespans_all!$A$80:$A$126,0))*INDEX(SR_mission_minutes!P$2:P$43,MATCH($A185,SR_mission_minutes!$A$2:$A$43)),"-")</f>
        <v>0</v>
      </c>
      <c r="Q185" s="128">
        <f>IFERROR(INDEX(lifespans_all!Q$80:Q$126,MATCH($A185,lifespans_all!$A$80:$A$126,0))*INDEX(SR_mission_minutes!Q$2:Q$43,MATCH($A185,SR_mission_minutes!$A$2:$A$43)),"-")</f>
        <v>0</v>
      </c>
      <c r="R185" s="128">
        <f>IFERROR(INDEX(lifespans_all!R$80:R$126,MATCH($A185,lifespans_all!$A$80:$A$126,0))*INDEX(SR_mission_minutes!R$2:R$43,MATCH($A185,SR_mission_minutes!$A$2:$A$43)),"-")</f>
        <v>0</v>
      </c>
      <c r="S185" s="128">
        <f>IFERROR(INDEX(lifespans_all!S$80:S$126,MATCH($A185,lifespans_all!$A$80:$A$126,0))*INDEX(SR_mission_minutes!S$2:S$43,MATCH($A185,SR_mission_minutes!$A$2:$A$43)),"-")</f>
        <v>0</v>
      </c>
      <c r="T185" s="128">
        <f>IFERROR(INDEX(lifespans_all!T$80:T$126,MATCH($A185,lifespans_all!$A$80:$A$126,0))*INDEX(SR_mission_minutes!T$2:T$43,MATCH($A185,SR_mission_minutes!$A$2:$A$43)),"-")</f>
        <v>0</v>
      </c>
      <c r="U185" s="128">
        <f>IFERROR(INDEX(lifespans_all!U$80:U$126,MATCH($A185,lifespans_all!$A$80:$A$126,0))*INDEX(SR_mission_minutes!U$2:U$43,MATCH($A185,SR_mission_minutes!$A$2:$A$43)),"-")</f>
        <v>0</v>
      </c>
      <c r="V185" s="128">
        <f>IFERROR(INDEX(lifespans_all!V$80:V$126,MATCH($A185,lifespans_all!$A$80:$A$126,0))*INDEX(SR_mission_minutes!V$2:V$43,MATCH($A185,SR_mission_minutes!$A$2:$A$43)),"-")</f>
        <v>0</v>
      </c>
      <c r="W185" s="128">
        <f>IFERROR(INDEX(lifespans_all!W$80:W$126,MATCH($A185,lifespans_all!$A$80:$A$126,0))*INDEX(SR_mission_minutes!W$2:W$43,MATCH($A185,SR_mission_minutes!$A$2:$A$43)),"-")</f>
        <v>0</v>
      </c>
    </row>
    <row r="186" spans="1:23" x14ac:dyDescent="0.25">
      <c r="A186" s="46" t="s">
        <v>52</v>
      </c>
      <c r="B186" s="46" t="s">
        <v>56</v>
      </c>
      <c r="C186" s="135"/>
      <c r="D186" s="128">
        <f>IFERROR(INDEX(lifespans_all!D$158:D$212,MATCH($A186,lifespans_all!$A$158:$A$212,0))*INDEX(SR_mission_minutes!D$2:D$43,MATCH($A186,SR_mission_minutes!$A$2:$A$43)),"-")</f>
        <v>2364.2857142857142</v>
      </c>
      <c r="E186" s="128">
        <f>IFERROR(INDEX(lifespans_all!E$80:E$126,MATCH($A186,lifespans_all!$A$80:$A$126,0))*INDEX(SR_mission_minutes!E$2:E$43,MATCH($A186,SR_mission_minutes!$A$2:$A$43)),"-")</f>
        <v>2364.2857142857142</v>
      </c>
      <c r="F186" s="128">
        <f>IFERROR(INDEX(lifespans_all!F$80:F$126,MATCH($A186,lifespans_all!$A$80:$A$126,0))*INDEX(SR_mission_minutes!F$2:F$43,MATCH($A186,SR_mission_minutes!$A$2:$A$43)),"-")</f>
        <v>0</v>
      </c>
      <c r="G186" s="128">
        <f>IFERROR(INDEX(lifespans_all!G$80:G$126,MATCH($A186,lifespans_all!$A$80:$A$126,0))*INDEX(SR_mission_minutes!G$2:G$43,MATCH($A186,SR_mission_minutes!$A$2:$A$43)),"-")</f>
        <v>0</v>
      </c>
      <c r="H186" s="128">
        <f>IFERROR(INDEX(lifespans_all!H$80:H$126,MATCH($A186,lifespans_all!$A$80:$A$126,0))*INDEX(SR_mission_minutes!H$2:H$43,MATCH($A186,SR_mission_minutes!$A$2:$A$43)),"-")</f>
        <v>0</v>
      </c>
      <c r="I186" s="128">
        <f>IFERROR(INDEX(lifespans_all!I$80:I$126,MATCH($A186,lifespans_all!$A$80:$A$126,0))*INDEX(SR_mission_minutes!I$2:I$43,MATCH($A186,SR_mission_minutes!$A$2:$A$43)),"-")</f>
        <v>0</v>
      </c>
      <c r="J186" s="128">
        <f>IFERROR(INDEX(lifespans_all!J$80:J$126,MATCH($A186,lifespans_all!$A$80:$A$126,0))*INDEX(SR_mission_minutes!J$2:J$43,MATCH($A186,SR_mission_minutes!$A$2:$A$43)),"-")</f>
        <v>0</v>
      </c>
      <c r="K186" s="128">
        <f>IFERROR(INDEX(lifespans_all!K$80:K$126,MATCH($A186,lifespans_all!$A$80:$A$126,0))*INDEX(SR_mission_minutes!K$2:K$43,MATCH($A186,SR_mission_minutes!$A$2:$A$43)),"-")</f>
        <v>0</v>
      </c>
      <c r="L186" s="128">
        <f>IFERROR(INDEX(lifespans_all!L$80:L$126,MATCH($A186,lifespans_all!$A$80:$A$126,0))*INDEX(SR_mission_minutes!L$2:L$43,MATCH($A186,SR_mission_minutes!$A$2:$A$43)),"-")</f>
        <v>0</v>
      </c>
      <c r="M186" s="128">
        <f>IFERROR(INDEX(lifespans_all!M$80:M$126,MATCH($A186,lifespans_all!$A$80:$A$126,0))*INDEX(SR_mission_minutes!M$2:M$43,MATCH($A186,SR_mission_minutes!$A$2:$A$43)),"-")</f>
        <v>0</v>
      </c>
      <c r="N186" s="128">
        <f>IFERROR(INDEX(lifespans_all!N$80:N$126,MATCH($A186,lifespans_all!$A$80:$A$126,0))*INDEX(SR_mission_minutes!N$2:N$43,MATCH($A186,SR_mission_minutes!$A$2:$A$43)),"-")</f>
        <v>0</v>
      </c>
      <c r="O186" s="128">
        <f>IFERROR(INDEX(lifespans_all!O$80:O$126,MATCH($A186,lifespans_all!$A$80:$A$126,0))*INDEX(SR_mission_minutes!O$2:O$43,MATCH($A186,SR_mission_minutes!$A$2:$A$43)),"-")</f>
        <v>0</v>
      </c>
      <c r="P186" s="128">
        <f>IFERROR(INDEX(lifespans_all!P$80:P$126,MATCH($A186,lifespans_all!$A$80:$A$126,0))*INDEX(SR_mission_minutes!P$2:P$43,MATCH($A186,SR_mission_minutes!$A$2:$A$43)),"-")</f>
        <v>0</v>
      </c>
      <c r="Q186" s="128">
        <f>IFERROR(INDEX(lifespans_all!Q$80:Q$126,MATCH($A186,lifespans_all!$A$80:$A$126,0))*INDEX(SR_mission_minutes!Q$2:Q$43,MATCH($A186,SR_mission_minutes!$A$2:$A$43)),"-")</f>
        <v>0</v>
      </c>
      <c r="R186" s="128">
        <f>IFERROR(INDEX(lifespans_all!R$80:R$126,MATCH($A186,lifespans_all!$A$80:$A$126,0))*INDEX(SR_mission_minutes!R$2:R$43,MATCH($A186,SR_mission_minutes!$A$2:$A$43)),"-")</f>
        <v>0</v>
      </c>
      <c r="S186" s="128">
        <f>IFERROR(INDEX(lifespans_all!S$80:S$126,MATCH($A186,lifespans_all!$A$80:$A$126,0))*INDEX(SR_mission_minutes!S$2:S$43,MATCH($A186,SR_mission_minutes!$A$2:$A$43)),"-")</f>
        <v>0</v>
      </c>
      <c r="T186" s="128">
        <f>IFERROR(INDEX(lifespans_all!T$80:T$126,MATCH($A186,lifespans_all!$A$80:$A$126,0))*INDEX(SR_mission_minutes!T$2:T$43,MATCH($A186,SR_mission_minutes!$A$2:$A$43)),"-")</f>
        <v>0</v>
      </c>
      <c r="U186" s="128">
        <f>IFERROR(INDEX(lifespans_all!U$80:U$126,MATCH($A186,lifespans_all!$A$80:$A$126,0))*INDEX(SR_mission_minutes!U$2:U$43,MATCH($A186,SR_mission_minutes!$A$2:$A$43)),"-")</f>
        <v>0</v>
      </c>
      <c r="V186" s="128">
        <f>IFERROR(INDEX(lifespans_all!V$80:V$126,MATCH($A186,lifespans_all!$A$80:$A$126,0))*INDEX(SR_mission_minutes!V$2:V$43,MATCH($A186,SR_mission_minutes!$A$2:$A$43)),"-")</f>
        <v>0</v>
      </c>
      <c r="W186" s="128">
        <f>IFERROR(INDEX(lifespans_all!W$80:W$126,MATCH($A186,lifespans_all!$A$80:$A$126,0))*INDEX(SR_mission_minutes!W$2:W$43,MATCH($A186,SR_mission_minutes!$A$2:$A$43)),"-")</f>
        <v>0</v>
      </c>
    </row>
    <row r="187" spans="1:23" x14ac:dyDescent="0.25">
      <c r="A187" s="46" t="s">
        <v>53</v>
      </c>
      <c r="B187" s="46" t="s">
        <v>56</v>
      </c>
      <c r="C187" s="135"/>
      <c r="D187" s="128">
        <f>IFERROR(INDEX(lifespans_all!D$158:D$212,MATCH($A187,lifespans_all!$A$158:$A$212,0))*INDEX(SR_mission_minutes!D$2:D$43,MATCH($A187,SR_mission_minutes!$A$2:$A$43)),"-")</f>
        <v>2364.2857142857142</v>
      </c>
      <c r="E187" s="128">
        <f>IFERROR(INDEX(lifespans_all!E$80:E$126,MATCH($A187,lifespans_all!$A$80:$A$126,0))*INDEX(SR_mission_minutes!E$2:E$43,MATCH($A187,SR_mission_minutes!$A$2:$A$43)),"-")</f>
        <v>2364.2857142857142</v>
      </c>
      <c r="F187" s="128">
        <f>IFERROR(INDEX(lifespans_all!F$80:F$126,MATCH($A187,lifespans_all!$A$80:$A$126,0))*INDEX(SR_mission_minutes!F$2:F$43,MATCH($A187,SR_mission_minutes!$A$2:$A$43)),"-")</f>
        <v>0</v>
      </c>
      <c r="G187" s="128">
        <f>IFERROR(INDEX(lifespans_all!G$80:G$126,MATCH($A187,lifespans_all!$A$80:$A$126,0))*INDEX(SR_mission_minutes!G$2:G$43,MATCH($A187,SR_mission_minutes!$A$2:$A$43)),"-")</f>
        <v>0</v>
      </c>
      <c r="H187" s="128">
        <f>IFERROR(INDEX(lifespans_all!H$80:H$126,MATCH($A187,lifespans_all!$A$80:$A$126,0))*INDEX(SR_mission_minutes!H$2:H$43,MATCH($A187,SR_mission_minutes!$A$2:$A$43)),"-")</f>
        <v>0</v>
      </c>
      <c r="I187" s="128">
        <f>IFERROR(INDEX(lifespans_all!I$80:I$126,MATCH($A187,lifespans_all!$A$80:$A$126,0))*INDEX(SR_mission_minutes!I$2:I$43,MATCH($A187,SR_mission_minutes!$A$2:$A$43)),"-")</f>
        <v>0</v>
      </c>
      <c r="J187" s="128">
        <f>IFERROR(INDEX(lifespans_all!J$80:J$126,MATCH($A187,lifespans_all!$A$80:$A$126,0))*INDEX(SR_mission_minutes!J$2:J$43,MATCH($A187,SR_mission_minutes!$A$2:$A$43)),"-")</f>
        <v>0</v>
      </c>
      <c r="K187" s="128">
        <f>IFERROR(INDEX(lifespans_all!K$80:K$126,MATCH($A187,lifespans_all!$A$80:$A$126,0))*INDEX(SR_mission_minutes!K$2:K$43,MATCH($A187,SR_mission_minutes!$A$2:$A$43)),"-")</f>
        <v>0</v>
      </c>
      <c r="L187" s="128">
        <f>IFERROR(INDEX(lifespans_all!L$80:L$126,MATCH($A187,lifespans_all!$A$80:$A$126,0))*INDEX(SR_mission_minutes!L$2:L$43,MATCH($A187,SR_mission_minutes!$A$2:$A$43)),"-")</f>
        <v>0</v>
      </c>
      <c r="M187" s="128">
        <f>IFERROR(INDEX(lifespans_all!M$80:M$126,MATCH($A187,lifespans_all!$A$80:$A$126,0))*INDEX(SR_mission_minutes!M$2:M$43,MATCH($A187,SR_mission_minutes!$A$2:$A$43)),"-")</f>
        <v>0</v>
      </c>
      <c r="N187" s="128">
        <f>IFERROR(INDEX(lifespans_all!N$80:N$126,MATCH($A187,lifespans_all!$A$80:$A$126,0))*INDEX(SR_mission_minutes!N$2:N$43,MATCH($A187,SR_mission_minutes!$A$2:$A$43)),"-")</f>
        <v>0</v>
      </c>
      <c r="O187" s="128">
        <f>IFERROR(INDEX(lifespans_all!O$80:O$126,MATCH($A187,lifespans_all!$A$80:$A$126,0))*INDEX(SR_mission_minutes!O$2:O$43,MATCH($A187,SR_mission_minutes!$A$2:$A$43)),"-")</f>
        <v>0</v>
      </c>
      <c r="P187" s="128">
        <f>IFERROR(INDEX(lifespans_all!P$80:P$126,MATCH($A187,lifespans_all!$A$80:$A$126,0))*INDEX(SR_mission_minutes!P$2:P$43,MATCH($A187,SR_mission_minutes!$A$2:$A$43)),"-")</f>
        <v>0</v>
      </c>
      <c r="Q187" s="128">
        <f>IFERROR(INDEX(lifespans_all!Q$80:Q$126,MATCH($A187,lifespans_all!$A$80:$A$126,0))*INDEX(SR_mission_minutes!Q$2:Q$43,MATCH($A187,SR_mission_minutes!$A$2:$A$43)),"-")</f>
        <v>0</v>
      </c>
      <c r="R187" s="128">
        <f>IFERROR(INDEX(lifespans_all!R$80:R$126,MATCH($A187,lifespans_all!$A$80:$A$126,0))*INDEX(SR_mission_minutes!R$2:R$43,MATCH($A187,SR_mission_minutes!$A$2:$A$43)),"-")</f>
        <v>0</v>
      </c>
      <c r="S187" s="128">
        <f>IFERROR(INDEX(lifespans_all!S$80:S$126,MATCH($A187,lifespans_all!$A$80:$A$126,0))*INDEX(SR_mission_minutes!S$2:S$43,MATCH($A187,SR_mission_minutes!$A$2:$A$43)),"-")</f>
        <v>0</v>
      </c>
      <c r="T187" s="128">
        <f>IFERROR(INDEX(lifespans_all!T$80:T$126,MATCH($A187,lifespans_all!$A$80:$A$126,0))*INDEX(SR_mission_minutes!T$2:T$43,MATCH($A187,SR_mission_minutes!$A$2:$A$43)),"-")</f>
        <v>0</v>
      </c>
      <c r="U187" s="128">
        <f>IFERROR(INDEX(lifespans_all!U$80:U$126,MATCH($A187,lifespans_all!$A$80:$A$126,0))*INDEX(SR_mission_minutes!U$2:U$43,MATCH($A187,SR_mission_minutes!$A$2:$A$43)),"-")</f>
        <v>0</v>
      </c>
      <c r="V187" s="128">
        <f>IFERROR(INDEX(lifespans_all!V$80:V$126,MATCH($A187,lifespans_all!$A$80:$A$126,0))*INDEX(SR_mission_minutes!V$2:V$43,MATCH($A187,SR_mission_minutes!$A$2:$A$43)),"-")</f>
        <v>0</v>
      </c>
      <c r="W187" s="128">
        <f>IFERROR(INDEX(lifespans_all!W$80:W$126,MATCH($A187,lifespans_all!$A$80:$A$126,0))*INDEX(SR_mission_minutes!W$2:W$43,MATCH($A187,SR_mission_minutes!$A$2:$A$43)),"-")</f>
        <v>0</v>
      </c>
    </row>
    <row r="188" spans="1:23" x14ac:dyDescent="0.25">
      <c r="A188" s="46" t="s">
        <v>54</v>
      </c>
      <c r="B188" s="46" t="s">
        <v>57</v>
      </c>
      <c r="C188" s="135"/>
      <c r="D188" s="128">
        <f>IFERROR(INDEX(lifespans_all!D$158:D$212,MATCH($A188,lifespans_all!$A$158:$A$212,0))*INDEX(SR_mission_minutes!D$2:D$43,MATCH($A188,SR_mission_minutes!$A$2:$A$43)),"-")</f>
        <v>66700.388888888891</v>
      </c>
      <c r="E188" s="128">
        <f>IFERROR(INDEX(lifespans_all!E$80:E$126,MATCH($A188,lifespans_all!$A$80:$A$126,0))*INDEX(SR_mission_minutes!E$2:E$43,MATCH($A188,SR_mission_minutes!$A$2:$A$43)),"-")</f>
        <v>0</v>
      </c>
      <c r="F188" s="128">
        <f>IFERROR(INDEX(lifespans_all!F$80:F$126,MATCH($A188,lifespans_all!$A$80:$A$126,0))*INDEX(SR_mission_minutes!F$2:F$43,MATCH($A188,SR_mission_minutes!$A$2:$A$43)),"-")</f>
        <v>0</v>
      </c>
      <c r="G188" s="128">
        <f>IFERROR(INDEX(lifespans_all!G$80:G$126,MATCH($A188,lifespans_all!$A$80:$A$126,0))*INDEX(SR_mission_minutes!G$2:G$43,MATCH($A188,SR_mission_minutes!$A$2:$A$43)),"-")</f>
        <v>0</v>
      </c>
      <c r="H188" s="128">
        <f>IFERROR(INDEX(lifespans_all!H$80:H$126,MATCH($A188,lifespans_all!$A$80:$A$126,0))*INDEX(SR_mission_minutes!H$2:H$43,MATCH($A188,SR_mission_minutes!$A$2:$A$43)),"-")</f>
        <v>0</v>
      </c>
      <c r="I188" s="128">
        <f>IFERROR(INDEX(lifespans_all!I$80:I$126,MATCH($A188,lifespans_all!$A$80:$A$126,0))*INDEX(SR_mission_minutes!I$2:I$43,MATCH($A188,SR_mission_minutes!$A$2:$A$43)),"-")</f>
        <v>0</v>
      </c>
      <c r="J188" s="128">
        <f>IFERROR(INDEX(lifespans_all!J$80:J$126,MATCH($A188,lifespans_all!$A$80:$A$126,0))*INDEX(SR_mission_minutes!J$2:J$43,MATCH($A188,SR_mission_minutes!$A$2:$A$43)),"-")</f>
        <v>0</v>
      </c>
      <c r="K188" s="128">
        <f>IFERROR(INDEX(lifespans_all!K$80:K$126,MATCH($A188,lifespans_all!$A$80:$A$126,0))*INDEX(SR_mission_minutes!K$2:K$43,MATCH($A188,SR_mission_minutes!$A$2:$A$43)),"-")</f>
        <v>0</v>
      </c>
      <c r="L188" s="128">
        <f>IFERROR(INDEX(lifespans_all!L$80:L$126,MATCH($A188,lifespans_all!$A$80:$A$126,0))*INDEX(SR_mission_minutes!L$2:L$43,MATCH($A188,SR_mission_minutes!$A$2:$A$43)),"-")</f>
        <v>0</v>
      </c>
      <c r="M188" s="128">
        <f>IFERROR(INDEX(lifespans_all!M$80:M$126,MATCH($A188,lifespans_all!$A$80:$A$126,0))*INDEX(SR_mission_minutes!M$2:M$43,MATCH($A188,SR_mission_minutes!$A$2:$A$43)),"-")</f>
        <v>0</v>
      </c>
      <c r="N188" s="128">
        <f>IFERROR(INDEX(lifespans_all!N$80:N$126,MATCH($A188,lifespans_all!$A$80:$A$126,0))*INDEX(SR_mission_minutes!N$2:N$43,MATCH($A188,SR_mission_minutes!$A$2:$A$43)),"-")</f>
        <v>0</v>
      </c>
      <c r="O188" s="128">
        <f>IFERROR(INDEX(lifespans_all!O$80:O$126,MATCH($A188,lifespans_all!$A$80:$A$126,0))*INDEX(SR_mission_minutes!O$2:O$43,MATCH($A188,SR_mission_minutes!$A$2:$A$43)),"-")</f>
        <v>0</v>
      </c>
      <c r="P188" s="128">
        <f>IFERROR(INDEX(lifespans_all!P$80:P$126,MATCH($A188,lifespans_all!$A$80:$A$126,0))*INDEX(SR_mission_minutes!P$2:P$43,MATCH($A188,SR_mission_minutes!$A$2:$A$43)),"-")</f>
        <v>0</v>
      </c>
      <c r="Q188" s="128">
        <f>IFERROR(INDEX(lifespans_all!Q$80:Q$126,MATCH($A188,lifespans_all!$A$80:$A$126,0))*INDEX(SR_mission_minutes!Q$2:Q$43,MATCH($A188,SR_mission_minutes!$A$2:$A$43)),"-")</f>
        <v>0</v>
      </c>
      <c r="R188" s="128">
        <f>IFERROR(INDEX(lifespans_all!R$80:R$126,MATCH($A188,lifespans_all!$A$80:$A$126,0))*INDEX(SR_mission_minutes!R$2:R$43,MATCH($A188,SR_mission_minutes!$A$2:$A$43)),"-")</f>
        <v>0</v>
      </c>
      <c r="S188" s="128">
        <f>IFERROR(INDEX(lifespans_all!S$80:S$126,MATCH($A188,lifespans_all!$A$80:$A$126,0))*INDEX(SR_mission_minutes!S$2:S$43,MATCH($A188,SR_mission_minutes!$A$2:$A$43)),"-")</f>
        <v>0</v>
      </c>
      <c r="T188" s="128">
        <f>IFERROR(INDEX(lifespans_all!T$80:T$126,MATCH($A188,lifespans_all!$A$80:$A$126,0))*INDEX(SR_mission_minutes!T$2:T$43,MATCH($A188,SR_mission_minutes!$A$2:$A$43)),"-")</f>
        <v>0</v>
      </c>
      <c r="U188" s="128">
        <f>IFERROR(INDEX(lifespans_all!U$80:U$126,MATCH($A188,lifespans_all!$A$80:$A$126,0))*INDEX(SR_mission_minutes!U$2:U$43,MATCH($A188,SR_mission_minutes!$A$2:$A$43)),"-")</f>
        <v>0</v>
      </c>
      <c r="V188" s="128">
        <f>IFERROR(INDEX(lifespans_all!V$80:V$126,MATCH($A188,lifespans_all!$A$80:$A$126,0))*INDEX(SR_mission_minutes!V$2:V$43,MATCH($A188,SR_mission_minutes!$A$2:$A$43)),"-")</f>
        <v>0</v>
      </c>
      <c r="W188" s="128">
        <f>IFERROR(INDEX(lifespans_all!W$80:W$126,MATCH($A188,lifespans_all!$A$80:$A$126,0))*INDEX(SR_mission_minutes!W$2:W$43,MATCH($A188,SR_mission_minutes!$A$2:$A$43)),"-")</f>
        <v>0</v>
      </c>
    </row>
    <row r="189" spans="1:23" x14ac:dyDescent="0.25">
      <c r="A189" s="46" t="s">
        <v>55</v>
      </c>
      <c r="B189" s="46" t="s">
        <v>57</v>
      </c>
      <c r="C189" s="135"/>
      <c r="D189" s="128">
        <f>IFERROR(INDEX(lifespans_all!D$158:D$212,MATCH($A189,lifespans_all!$A$158:$A$212,0))*INDEX(SR_mission_minutes!D$2:D$43,MATCH($A189,SR_mission_minutes!$A$2:$A$43)),"-")</f>
        <v>33739.333333333336</v>
      </c>
      <c r="E189" s="128">
        <f>IFERROR(INDEX(lifespans_all!E$80:E$126,MATCH($A189,lifespans_all!$A$80:$A$126,0))*INDEX(SR_mission_minutes!E$2:E$43,MATCH($A189,SR_mission_minutes!$A$2:$A$43)),"-")</f>
        <v>33739.333333333336</v>
      </c>
      <c r="F189" s="128">
        <f>IFERROR(INDEX(lifespans_all!F$80:F$126,MATCH($A189,lifespans_all!$A$80:$A$126,0))*INDEX(SR_mission_minutes!F$2:F$43,MATCH($A189,SR_mission_minutes!$A$2:$A$43)),"-")</f>
        <v>33739.333333333336</v>
      </c>
      <c r="G189" s="128">
        <f>IFERROR(INDEX(lifespans_all!G$80:G$126,MATCH($A189,lifespans_all!$A$80:$A$126,0))*INDEX(SR_mission_minutes!G$2:G$43,MATCH($A189,SR_mission_minutes!$A$2:$A$43)),"-")</f>
        <v>33739.333333333336</v>
      </c>
      <c r="H189" s="128">
        <f>IFERROR(INDEX(lifespans_all!H$80:H$126,MATCH($A189,lifespans_all!$A$80:$A$126,0))*INDEX(SR_mission_minutes!H$2:H$43,MATCH($A189,SR_mission_minutes!$A$2:$A$43)),"-")</f>
        <v>0</v>
      </c>
      <c r="I189" s="128">
        <f>IFERROR(INDEX(lifespans_all!I$80:I$126,MATCH($A189,lifespans_all!$A$80:$A$126,0))*INDEX(SR_mission_minutes!I$2:I$43,MATCH($A189,SR_mission_minutes!$A$2:$A$43)),"-")</f>
        <v>0</v>
      </c>
      <c r="J189" s="128">
        <f>IFERROR(INDEX(lifespans_all!J$80:J$126,MATCH($A189,lifespans_all!$A$80:$A$126,0))*INDEX(SR_mission_minutes!J$2:J$43,MATCH($A189,SR_mission_minutes!$A$2:$A$43)),"-")</f>
        <v>0</v>
      </c>
      <c r="K189" s="128">
        <f>IFERROR(INDEX(lifespans_all!K$80:K$126,MATCH($A189,lifespans_all!$A$80:$A$126,0))*INDEX(SR_mission_minutes!K$2:K$43,MATCH($A189,SR_mission_minutes!$A$2:$A$43)),"-")</f>
        <v>0</v>
      </c>
      <c r="L189" s="128">
        <f>IFERROR(INDEX(lifespans_all!L$80:L$126,MATCH($A189,lifespans_all!$A$80:$A$126,0))*INDEX(SR_mission_minutes!L$2:L$43,MATCH($A189,SR_mission_minutes!$A$2:$A$43)),"-")</f>
        <v>0</v>
      </c>
      <c r="M189" s="128">
        <f>IFERROR(INDEX(lifespans_all!M$80:M$126,MATCH($A189,lifespans_all!$A$80:$A$126,0))*INDEX(SR_mission_minutes!M$2:M$43,MATCH($A189,SR_mission_minutes!$A$2:$A$43)),"-")</f>
        <v>0</v>
      </c>
      <c r="N189" s="128">
        <f>IFERROR(INDEX(lifespans_all!N$80:N$126,MATCH($A189,lifespans_all!$A$80:$A$126,0))*INDEX(SR_mission_minutes!N$2:N$43,MATCH($A189,SR_mission_minutes!$A$2:$A$43)),"-")</f>
        <v>0</v>
      </c>
      <c r="O189" s="128">
        <f>IFERROR(INDEX(lifespans_all!O$80:O$126,MATCH($A189,lifespans_all!$A$80:$A$126,0))*INDEX(SR_mission_minutes!O$2:O$43,MATCH($A189,SR_mission_minutes!$A$2:$A$43)),"-")</f>
        <v>0</v>
      </c>
      <c r="P189" s="128">
        <f>IFERROR(INDEX(lifespans_all!P$80:P$126,MATCH($A189,lifespans_all!$A$80:$A$126,0))*INDEX(SR_mission_minutes!P$2:P$43,MATCH($A189,SR_mission_minutes!$A$2:$A$43)),"-")</f>
        <v>0</v>
      </c>
      <c r="Q189" s="128">
        <f>IFERROR(INDEX(lifespans_all!Q$80:Q$126,MATCH($A189,lifespans_all!$A$80:$A$126,0))*INDEX(SR_mission_minutes!Q$2:Q$43,MATCH($A189,SR_mission_minutes!$A$2:$A$43)),"-")</f>
        <v>0</v>
      </c>
      <c r="R189" s="128">
        <f>IFERROR(INDEX(lifespans_all!R$80:R$126,MATCH($A189,lifespans_all!$A$80:$A$126,0))*INDEX(SR_mission_minutes!R$2:R$43,MATCH($A189,SR_mission_minutes!$A$2:$A$43)),"-")</f>
        <v>0</v>
      </c>
      <c r="S189" s="128">
        <f>IFERROR(INDEX(lifespans_all!S$80:S$126,MATCH($A189,lifespans_all!$A$80:$A$126,0))*INDEX(SR_mission_minutes!S$2:S$43,MATCH($A189,SR_mission_minutes!$A$2:$A$43)),"-")</f>
        <v>0</v>
      </c>
      <c r="T189" s="128">
        <f>IFERROR(INDEX(lifespans_all!T$80:T$126,MATCH($A189,lifespans_all!$A$80:$A$126,0))*INDEX(SR_mission_minutes!T$2:T$43,MATCH($A189,SR_mission_minutes!$A$2:$A$43)),"-")</f>
        <v>0</v>
      </c>
      <c r="U189" s="128">
        <f>IFERROR(INDEX(lifespans_all!U$80:U$126,MATCH($A189,lifespans_all!$A$80:$A$126,0))*INDEX(SR_mission_minutes!U$2:U$43,MATCH($A189,SR_mission_minutes!$A$2:$A$43)),"-")</f>
        <v>0</v>
      </c>
      <c r="V189" s="128">
        <f>IFERROR(INDEX(lifespans_all!V$80:V$126,MATCH($A189,lifespans_all!$A$80:$A$126,0))*INDEX(SR_mission_minutes!V$2:V$43,MATCH($A189,SR_mission_minutes!$A$2:$A$43)),"-")</f>
        <v>0</v>
      </c>
      <c r="W189" s="128">
        <f>IFERROR(INDEX(lifespans_all!W$80:W$126,MATCH($A189,lifespans_all!$A$80:$A$126,0))*INDEX(SR_mission_minutes!W$2:W$43,MATCH($A189,SR_mission_minutes!$A$2:$A$43)),"-")</f>
        <v>0</v>
      </c>
    </row>
    <row r="190" spans="1:23" x14ac:dyDescent="0.25">
      <c r="A190" s="38" t="s">
        <v>108</v>
      </c>
      <c r="B190" s="37" t="s">
        <v>59</v>
      </c>
      <c r="C190" s="38" t="s">
        <v>11</v>
      </c>
      <c r="D190" s="128">
        <f>IFERROR((INDEX(lifespans_all!D$205:D$212,MATCH($B190,lifespans_all!$B$205:$B$212,0))*SR_mission_minutes!D44)*POWER(1+(Settings!$C$31/100),D$1-2021),"-")</f>
        <v>68927.399999999994</v>
      </c>
      <c r="E190" s="128">
        <f>IFERROR((INDEX(lifespans_all!E$205:E$212,MATCH($B190,lifespans_all!$B$205:$B$212,0))*SR_mission_minutes!E44)*POWER(1+(Settings!$C$31/100),E$1-2021),"-")</f>
        <v>140611.89599999998</v>
      </c>
      <c r="F190" s="128">
        <f>IFERROR((INDEX(lifespans_all!F$205:F$212,MATCH($B190,lifespans_all!$B$205:$B$212,0))*SR_mission_minutes!F44)*POWER(1+(Settings!$C$31/100),F$1-2021),"-")</f>
        <v>215136.20087999999</v>
      </c>
      <c r="G190" s="128">
        <f>IFERROR((INDEX(lifespans_all!G$205:G$212,MATCH($B190,lifespans_all!$B$205:$B$212,0))*SR_mission_minutes!G44)*POWER(1+(Settings!$C$31/100),G$1-2021),"-")</f>
        <v>292585.23319679993</v>
      </c>
      <c r="H190" s="128">
        <f>IFERROR((INDEX(lifespans_all!H$205:H$212,MATCH($B190,lifespans_all!$B$205:$B$212,0))*SR_mission_minutes!H44)*POWER(1+(Settings!$C$31/100),H$1-2021),"-")</f>
        <v>373046.17232591996</v>
      </c>
      <c r="I190" s="128">
        <f>IFERROR((INDEX(lifespans_all!I$205:I$212,MATCH($B190,lifespans_all!$B$205:$B$212,0))*SR_mission_minutes!I44)*POWER(1+(Settings!$C$31/100),I$1-2021),"-")</f>
        <v>456608.51492692612</v>
      </c>
      <c r="J190" s="128">
        <f>IFERROR((INDEX(lifespans_all!J$205:J$212,MATCH($B190,lifespans_all!$B$205:$B$212,0))*SR_mission_minutes!J44)*POWER(1+(Settings!$C$31/100),J$1-2021),"-")</f>
        <v>543364.13276304211</v>
      </c>
      <c r="K190" s="128">
        <f>IFERROR((INDEX(lifespans_all!K$205:K$212,MATCH($B190,lifespans_all!$B$205:$B$212,0))*SR_mission_minutes!K44)*POWER(1+(Settings!$C$31/100),K$1-2021),"-")</f>
        <v>633407.33190663171</v>
      </c>
      <c r="L190" s="128">
        <f>IFERROR((INDEX(lifespans_all!L$205:L$212,MATCH($B190,lifespans_all!$B$205:$B$212,0))*SR_mission_minutes!L44)*POWER(1+(Settings!$C$31/100),L$1-2021),"-")</f>
        <v>726834.91336285998</v>
      </c>
      <c r="M190" s="128">
        <f>IFERROR((INDEX(lifespans_all!M$205:M$212,MATCH($B190,lifespans_all!$B$205:$B$212,0))*SR_mission_minutes!M44)*POWER(1+(Settings!$C$31/100),M$1-2021),"-")</f>
        <v>823746.23514457454</v>
      </c>
      <c r="N190" s="128">
        <f>IFERROR((INDEX(lifespans_all!N$205:N$212,MATCH($B190,lifespans_all!$B$205:$B$212,0))*SR_mission_minutes!N44)*POWER(1+(Settings!$C$31/100),N$1-2021),"-")</f>
        <v>1120294.8797966214</v>
      </c>
      <c r="O190" s="128">
        <f>IFERROR((INDEX(lifespans_all!O$205:O$212,MATCH($B190,lifespans_all!$B$205:$B$212,0))*SR_mission_minutes!O44)*POWER(1+(Settings!$C$31/100),O$1-2021),"-")</f>
        <v>1142700.7773925536</v>
      </c>
      <c r="P190" s="128">
        <f>IFERROR((INDEX(lifespans_all!P$205:P$212,MATCH($B190,lifespans_all!$B$205:$B$212,0))*SR_mission_minutes!P44)*POWER(1+(Settings!$C$31/100),P$1-2021),"-")</f>
        <v>1165554.792940405</v>
      </c>
      <c r="Q190" s="128">
        <f>IFERROR((INDEX(lifespans_all!Q$205:Q$212,MATCH($B190,lifespans_all!$B$205:$B$212,0))*SR_mission_minutes!Q44)*POWER(1+(Settings!$C$31/100),Q$1-2021),"-")</f>
        <v>1188865.8887992129</v>
      </c>
      <c r="R190" s="128">
        <f>IFERROR((INDEX(lifespans_all!R$205:R$212,MATCH($B190,lifespans_all!$B$205:$B$212,0))*SR_mission_minutes!R44)*POWER(1+(Settings!$C$31/100),R$1-2021),"-")</f>
        <v>1212643.2065751974</v>
      </c>
      <c r="S190" s="128">
        <f>IFERROR((INDEX(lifespans_all!S$205:S$212,MATCH($B190,lifespans_all!$B$205:$B$212,0))*SR_mission_minutes!S44)*POWER(1+(Settings!$C$31/100),S$1-2021),"-")</f>
        <v>1236896.0707067009</v>
      </c>
      <c r="T190" s="128">
        <f>IFERROR((INDEX(lifespans_all!T$205:T$212,MATCH($B190,lifespans_all!$B$205:$B$212,0))*SR_mission_minutes!T44)*POWER(1+(Settings!$C$31/100),T$1-2021),"-")</f>
        <v>1261633.9921208352</v>
      </c>
      <c r="U190" s="128">
        <f>IFERROR((INDEX(lifespans_all!U$205:U$212,MATCH($B190,lifespans_all!$B$205:$B$212,0))*SR_mission_minutes!U44)*POWER(1+(Settings!$C$31/100),U$1-2021),"-")</f>
        <v>1286866.6719632521</v>
      </c>
      <c r="V190" s="128">
        <f>IFERROR((INDEX(lifespans_all!V$205:V$212,MATCH($B190,lifespans_all!$B$205:$B$212,0))*SR_mission_minutes!V44)*POWER(1+(Settings!$C$31/100),V$1-2021),"-")</f>
        <v>1312604.0054025168</v>
      </c>
      <c r="W190" s="128">
        <f>IFERROR((INDEX(lifespans_all!W$205:W$212,MATCH($B190,lifespans_all!$B$205:$B$212,0))*SR_mission_minutes!W44)*POWER(1+(Settings!$C$31/100),W$1-2021),"-")</f>
        <v>1338856.0855105673</v>
      </c>
    </row>
    <row r="191" spans="1:23" x14ac:dyDescent="0.25">
      <c r="A191" s="38" t="s">
        <v>108</v>
      </c>
      <c r="B191" s="37" t="s">
        <v>57</v>
      </c>
      <c r="C191" s="38" t="s">
        <v>11</v>
      </c>
      <c r="D191" s="128">
        <f>IFERROR((INDEX(lifespans_all!D$205:D$212,MATCH($B191,lifespans_all!$B$205:$B$212,0))*SR_mission_minutes!D45)*POWER(1+(Settings!$C$31/100),D$1-2021),"-")</f>
        <v>146740.85555555558</v>
      </c>
      <c r="E191" s="128">
        <f>IFERROR((INDEX(lifespans_all!E$205:E$212,MATCH($B191,lifespans_all!$B$205:$B$212,0))*SR_mission_minutes!E45)*POWER(1+(Settings!$C$31/100),E$1-2021),"-")</f>
        <v>435420.13866666669</v>
      </c>
      <c r="F191" s="128">
        <f>IFERROR((INDEX(lifespans_all!F$205:F$212,MATCH($B191,lifespans_all!$B$205:$B$212,0))*SR_mission_minutes!F45)*POWER(1+(Settings!$C$31/100),F$1-2021),"-")</f>
        <v>666192.81216000009</v>
      </c>
      <c r="G191" s="128">
        <f>IFERROR((INDEX(lifespans_all!G$205:G$212,MATCH($B191,lifespans_all!$B$205:$B$212,0))*SR_mission_minutes!G45)*POWER(1+(Settings!$C$31/100),G$1-2021),"-")</f>
        <v>976805.21082959999</v>
      </c>
      <c r="H191" s="128">
        <f>IFERROR((INDEX(lifespans_all!H$205:H$212,MATCH($B191,lifespans_all!$B$205:$B$212,0))*SR_mission_minutes!H45)*POWER(1+(Settings!$C$31/100),H$1-2021),"-")</f>
        <v>1371774.2743389602</v>
      </c>
      <c r="I191" s="128">
        <f>IFERROR((INDEX(lifespans_all!I$205:I$212,MATCH($B191,lifespans_all!$B$205:$B$212,0))*SR_mission_minutes!I45)*POWER(1+(Settings!$C$31/100),I$1-2021),"-")</f>
        <v>1782151.3783043625</v>
      </c>
      <c r="J191" s="128">
        <f>IFERROR((INDEX(lifespans_all!J$205:J$212,MATCH($B191,lifespans_all!$B$205:$B$212,0))*SR_mission_minutes!J45)*POWER(1+(Settings!$C$31/100),J$1-2021),"-")</f>
        <v>2208394.8567186459</v>
      </c>
      <c r="K191" s="128">
        <f>IFERROR((INDEX(lifespans_all!K$205:K$212,MATCH($B191,lifespans_all!$B$205:$B$212,0))*SR_mission_minutes!K45)*POWER(1+(Settings!$C$31/100),K$1-2021),"-")</f>
        <v>2574357.4329748778</v>
      </c>
      <c r="L191" s="128">
        <f>IFERROR((INDEX(lifespans_all!L$205:L$212,MATCH($B191,lifespans_all!$B$205:$B$212,0))*SR_mission_minutes!L45)*POWER(1+(Settings!$C$31/100),L$1-2021),"-")</f>
        <v>2797774.881622341</v>
      </c>
      <c r="M191" s="128">
        <f>IFERROR((INDEX(lifespans_all!M$205:M$212,MATCH($B191,lifespans_all!$B$205:$B$212,0))*SR_mission_minutes!M45)*POWER(1+(Settings!$C$31/100),M$1-2021),"-")</f>
        <v>3029099.2852425124</v>
      </c>
      <c r="N191" s="128">
        <f>IFERROR((INDEX(lifespans_all!N$205:N$212,MATCH($B191,lifespans_all!$B$205:$B$212,0))*SR_mission_minutes!N45)*POWER(1+(Settings!$C$31/100),N$1-2021),"-")</f>
        <v>3089681.2709473628</v>
      </c>
      <c r="O191" s="128">
        <f>IFERROR((INDEX(lifespans_all!O$205:O$212,MATCH($B191,lifespans_all!$B$205:$B$212,0))*SR_mission_minutes!O45)*POWER(1+(Settings!$C$31/100),O$1-2021),"-")</f>
        <v>3151474.8963663094</v>
      </c>
      <c r="P191" s="128">
        <f>IFERROR((INDEX(lifespans_all!P$205:P$212,MATCH($B191,lifespans_all!$B$205:$B$212,0))*SR_mission_minutes!P45)*POWER(1+(Settings!$C$31/100),P$1-2021),"-")</f>
        <v>3214504.3942936361</v>
      </c>
      <c r="Q191" s="128">
        <f>IFERROR((INDEX(lifespans_all!Q$205:Q$212,MATCH($B191,lifespans_all!$B$205:$B$212,0))*SR_mission_minutes!Q45)*POWER(1+(Settings!$C$31/100),Q$1-2021),"-")</f>
        <v>3278794.4821795085</v>
      </c>
      <c r="R191" s="128">
        <f>IFERROR((INDEX(lifespans_all!R$205:R$212,MATCH($B191,lifespans_all!$B$205:$B$212,0))*SR_mission_minutes!R45)*POWER(1+(Settings!$C$31/100),R$1-2021),"-")</f>
        <v>3344370.371823099</v>
      </c>
      <c r="S191" s="128">
        <f>IFERROR((INDEX(lifespans_all!S$205:S$212,MATCH($B191,lifespans_all!$B$205:$B$212,0))*SR_mission_minutes!S45)*POWER(1+(Settings!$C$31/100),S$1-2021),"-")</f>
        <v>3411257.7792595602</v>
      </c>
      <c r="T191" s="128">
        <f>IFERROR((INDEX(lifespans_all!T$205:T$212,MATCH($B191,lifespans_all!$B$205:$B$212,0))*SR_mission_minutes!T45)*POWER(1+(Settings!$C$31/100),T$1-2021),"-")</f>
        <v>3479482.9348447518</v>
      </c>
      <c r="U191" s="128">
        <f>IFERROR((INDEX(lifespans_all!U$205:U$212,MATCH($B191,lifespans_all!$B$205:$B$212,0))*SR_mission_minutes!U45)*POWER(1+(Settings!$C$31/100),U$1-2021),"-")</f>
        <v>3549072.5935416473</v>
      </c>
      <c r="V191" s="128">
        <f>IFERROR((INDEX(lifespans_all!V$205:V$212,MATCH($B191,lifespans_all!$B$205:$B$212,0))*SR_mission_minutes!V45)*POWER(1+(Settings!$C$31/100),V$1-2021),"-")</f>
        <v>3620054.0454124799</v>
      </c>
      <c r="W191" s="128">
        <f>IFERROR((INDEX(lifespans_all!W$205:W$212,MATCH($B191,lifespans_all!$B$205:$B$212,0))*SR_mission_minutes!W45)*POWER(1+(Settings!$C$31/100),W$1-2021),"-")</f>
        <v>3692455.126320729</v>
      </c>
    </row>
    <row r="192" spans="1:23" x14ac:dyDescent="0.25">
      <c r="A192" s="38" t="s">
        <v>108</v>
      </c>
      <c r="B192" s="37" t="s">
        <v>56</v>
      </c>
      <c r="C192" s="38" t="s">
        <v>11</v>
      </c>
      <c r="D192" s="128">
        <f>IFERROR((INDEX(lifespans_all!D$205:D$212,MATCH($B192,lifespans_all!$B$205:$B$212,0))*SR_mission_minutes!D46)*POWER(1+(Settings!$C$31/100),D$1-2021),"-")</f>
        <v>2127.8571428571427</v>
      </c>
      <c r="E192" s="128">
        <f>IFERROR((INDEX(lifespans_all!E$205:E$212,MATCH($B192,lifespans_all!$B$205:$B$212,0))*SR_mission_minutes!E46)*POWER(1+(Settings!$C$31/100),E$1-2021),"-")</f>
        <v>4340.8285714285712</v>
      </c>
      <c r="F192" s="128">
        <f>IFERROR((INDEX(lifespans_all!F$205:F$212,MATCH($B192,lifespans_all!$B$205:$B$212,0))*SR_mission_minutes!F46)*POWER(1+(Settings!$C$31/100),F$1-2021),"-")</f>
        <v>16480.679142857145</v>
      </c>
      <c r="G192" s="128">
        <f>IFERROR((INDEX(lifespans_all!G$205:G$212,MATCH($B192,lifespans_all!$B$205:$B$212,0))*SR_mission_minutes!G46)*POWER(1+(Settings!$C$31/100),G$1-2021),"-")</f>
        <v>19068.391748571426</v>
      </c>
      <c r="H192" s="128">
        <f>IFERROR((INDEX(lifespans_all!H$205:H$212,MATCH($B192,lifespans_all!$B$205:$B$212,0))*SR_mission_minutes!H46)*POWER(1+(Settings!$C$31/100),H$1-2021),"-")</f>
        <v>21753.020586857143</v>
      </c>
      <c r="I192" s="128">
        <f>IFERROR((INDEX(lifespans_all!I$205:I$212,MATCH($B192,lifespans_all!$B$205:$B$212,0))*SR_mission_minutes!I46)*POWER(1+(Settings!$C$31/100),I$1-2021),"-")</f>
        <v>24537.407221974856</v>
      </c>
      <c r="J192" s="128">
        <f>IFERROR((INDEX(lifespans_all!J$205:J$212,MATCH($B192,lifespans_all!$B$205:$B$212,0))*SR_mission_minutes!J46)*POWER(1+(Settings!$C$31/100),J$1-2021),"-")</f>
        <v>27424.468114262541</v>
      </c>
      <c r="K192" s="128">
        <f>IFERROR((INDEX(lifespans_all!K$205:K$212,MATCH($B192,lifespans_all!$B$205:$B$212,0))*SR_mission_minutes!K46)*POWER(1+(Settings!$C$31/100),K$1-2021),"-")</f>
        <v>30417.19647935293</v>
      </c>
      <c r="L192" s="128">
        <f>IFERROR((INDEX(lifespans_all!L$205:L$212,MATCH($B192,lifespans_all!$B$205:$B$212,0))*SR_mission_minutes!L46)*POWER(1+(Settings!$C$31/100),L$1-2021),"-")</f>
        <v>33518.664191801239</v>
      </c>
      <c r="M192" s="128">
        <f>IFERROR((INDEX(lifespans_all!M$205:M$212,MATCH($B192,lifespans_all!$B$205:$B$212,0))*SR_mission_minutes!M46)*POWER(1+(Settings!$C$31/100),M$1-2021),"-")</f>
        <v>36732.023734155744</v>
      </c>
      <c r="N192" s="128">
        <f>IFERROR((INDEX(lifespans_all!N$205:N$212,MATCH($B192,lifespans_all!$B$205:$B$212,0))*SR_mission_minutes!N46)*POWER(1+(Settings!$C$31/100),N$1-2021),"-")</f>
        <v>37466.664208838862</v>
      </c>
      <c r="O192" s="128">
        <f>IFERROR((INDEX(lifespans_all!O$205:O$212,MATCH($B192,lifespans_all!$B$205:$B$212,0))*SR_mission_minutes!O46)*POWER(1+(Settings!$C$31/100),O$1-2021),"-")</f>
        <v>38215.997493015631</v>
      </c>
      <c r="P192" s="128">
        <f>IFERROR((INDEX(lifespans_all!P$205:P$212,MATCH($B192,lifespans_all!$B$205:$B$212,0))*SR_mission_minutes!P46)*POWER(1+(Settings!$C$31/100),P$1-2021),"-")</f>
        <v>38980.317442875952</v>
      </c>
      <c r="Q192" s="128">
        <f>IFERROR((INDEX(lifespans_all!Q$205:Q$212,MATCH($B192,lifespans_all!$B$205:$B$212,0))*SR_mission_minutes!Q46)*POWER(1+(Settings!$C$31/100),Q$1-2021),"-")</f>
        <v>39759.923791733469</v>
      </c>
      <c r="R192" s="128">
        <f>IFERROR((INDEX(lifespans_all!R$205:R$212,MATCH($B192,lifespans_all!$B$205:$B$212,0))*SR_mission_minutes!R46)*POWER(1+(Settings!$C$31/100),R$1-2021),"-")</f>
        <v>40555.122267568142</v>
      </c>
      <c r="S192" s="128">
        <f>IFERROR((INDEX(lifespans_all!S$205:S$212,MATCH($B192,lifespans_all!$B$205:$B$212,0))*SR_mission_minutes!S46)*POWER(1+(Settings!$C$31/100),S$1-2021),"-")</f>
        <v>41366.224712919495</v>
      </c>
      <c r="T192" s="128">
        <f>IFERROR((INDEX(lifespans_all!T$205:T$212,MATCH($B192,lifespans_all!$B$205:$B$212,0))*SR_mission_minutes!T46)*POWER(1+(Settings!$C$31/100),T$1-2021),"-")</f>
        <v>42193.549207177886</v>
      </c>
      <c r="U192" s="128">
        <f>IFERROR((INDEX(lifespans_all!U$205:U$212,MATCH($B192,lifespans_all!$B$205:$B$212,0))*SR_mission_minutes!U46)*POWER(1+(Settings!$C$31/100),U$1-2021),"-")</f>
        <v>43037.420191321449</v>
      </c>
      <c r="V192" s="128">
        <f>IFERROR((INDEX(lifespans_all!V$205:V$212,MATCH($B192,lifespans_all!$B$205:$B$212,0))*SR_mission_minutes!V46)*POWER(1+(Settings!$C$31/100),V$1-2021),"-")</f>
        <v>43898.168595147872</v>
      </c>
      <c r="W192" s="128">
        <f>IFERROR((INDEX(lifespans_all!W$205:W$212,MATCH($B192,lifespans_all!$B$205:$B$212,0))*SR_mission_minutes!W46)*POWER(1+(Settings!$C$31/100),W$1-2021),"-")</f>
        <v>44776.131967050831</v>
      </c>
    </row>
    <row r="193" spans="1:23" x14ac:dyDescent="0.25">
      <c r="A193" s="38" t="s">
        <v>108</v>
      </c>
      <c r="B193" s="37" t="s">
        <v>100</v>
      </c>
      <c r="C193" s="38" t="s">
        <v>11</v>
      </c>
      <c r="D193" s="128" t="str">
        <f>IFERROR((INDEX(lifespans_all!D$205:D$212,MATCH($B193,lifespans_all!$B$205:$B$212,0))*SR_mission_minutes!D47)*POWER(1+(Settings!$C$31/100),D$1-2021),"-")</f>
        <v>-</v>
      </c>
      <c r="E193" s="128" t="str">
        <f>IFERROR((INDEX(lifespans_all!E$205:E$212,MATCH($B193,lifespans_all!$B$205:$B$212,0))*SR_mission_minutes!E47)*POWER(1+(Settings!$C$31/100),E$1-2021),"-")</f>
        <v>-</v>
      </c>
      <c r="F193" s="128" t="str">
        <f>IFERROR((INDEX(lifespans_all!F$205:F$212,MATCH($B193,lifespans_all!$B$205:$B$212,0))*SR_mission_minutes!F47)*POWER(1+(Settings!$C$31/100),F$1-2021),"-")</f>
        <v>-</v>
      </c>
      <c r="G193" s="128" t="str">
        <f>IFERROR((INDEX(lifespans_all!G$205:G$212,MATCH($B193,lifespans_all!$B$205:$B$212,0))*SR_mission_minutes!G47)*POWER(1+(Settings!$C$31/100),G$1-2021),"-")</f>
        <v>-</v>
      </c>
      <c r="H193" s="128" t="str">
        <f>IFERROR((INDEX(lifespans_all!H$205:H$212,MATCH($B193,lifespans_all!$B$205:$B$212,0))*SR_mission_minutes!H47)*POWER(1+(Settings!$C$31/100),H$1-2021),"-")</f>
        <v>-</v>
      </c>
      <c r="I193" s="128" t="str">
        <f>IFERROR((INDEX(lifespans_all!I$205:I$212,MATCH($B193,lifespans_all!$B$205:$B$212,0))*SR_mission_minutes!I47)*POWER(1+(Settings!$C$31/100),I$1-2021),"-")</f>
        <v>-</v>
      </c>
      <c r="J193" s="128" t="str">
        <f>IFERROR((INDEX(lifespans_all!J$205:J$212,MATCH($B193,lifespans_all!$B$205:$B$212,0))*SR_mission_minutes!J47)*POWER(1+(Settings!$C$31/100),J$1-2021),"-")</f>
        <v>-</v>
      </c>
      <c r="K193" s="128" t="str">
        <f>IFERROR((INDEX(lifespans_all!K$205:K$212,MATCH($B193,lifespans_all!$B$205:$B$212,0))*SR_mission_minutes!K47)*POWER(1+(Settings!$C$31/100),K$1-2021),"-")</f>
        <v>-</v>
      </c>
      <c r="L193" s="128" t="str">
        <f>IFERROR((INDEX(lifespans_all!L$205:L$212,MATCH($B193,lifespans_all!$B$205:$B$212,0))*SR_mission_minutes!L47)*POWER(1+(Settings!$C$31/100),L$1-2021),"-")</f>
        <v>-</v>
      </c>
      <c r="M193" s="128" t="str">
        <f>IFERROR((INDEX(lifespans_all!M$205:M$212,MATCH($B193,lifespans_all!$B$205:$B$212,0))*SR_mission_minutes!M47)*POWER(1+(Settings!$C$31/100),M$1-2021),"-")</f>
        <v>-</v>
      </c>
      <c r="N193" s="128" t="str">
        <f>IFERROR((INDEX(lifespans_all!N$205:N$212,MATCH($B193,lifespans_all!$B$205:$B$212,0))*SR_mission_minutes!N47)*POWER(1+(Settings!$C$31/100),N$1-2021),"-")</f>
        <v>-</v>
      </c>
      <c r="O193" s="128" t="str">
        <f>IFERROR((INDEX(lifespans_all!O$205:O$212,MATCH($B193,lifespans_all!$B$205:$B$212,0))*SR_mission_minutes!O47)*POWER(1+(Settings!$C$31/100),O$1-2021),"-")</f>
        <v>-</v>
      </c>
      <c r="P193" s="128" t="str">
        <f>IFERROR((INDEX(lifespans_all!P$205:P$212,MATCH($B193,lifespans_all!$B$205:$B$212,0))*SR_mission_minutes!P47)*POWER(1+(Settings!$C$31/100),P$1-2021),"-")</f>
        <v>-</v>
      </c>
      <c r="Q193" s="128" t="str">
        <f>IFERROR((INDEX(lifespans_all!Q$205:Q$212,MATCH($B193,lifespans_all!$B$205:$B$212,0))*SR_mission_minutes!Q47)*POWER(1+(Settings!$C$31/100),Q$1-2021),"-")</f>
        <v>-</v>
      </c>
      <c r="R193" s="128" t="str">
        <f>IFERROR((INDEX(lifespans_all!R$205:R$212,MATCH($B193,lifespans_all!$B$205:$B$212,0))*SR_mission_minutes!R47)*POWER(1+(Settings!$C$31/100),R$1-2021),"-")</f>
        <v>-</v>
      </c>
      <c r="S193" s="128" t="str">
        <f>IFERROR((INDEX(lifespans_all!S$205:S$212,MATCH($B193,lifespans_all!$B$205:$B$212,0))*SR_mission_minutes!S47)*POWER(1+(Settings!$C$31/100),S$1-2021),"-")</f>
        <v>-</v>
      </c>
      <c r="T193" s="128" t="str">
        <f>IFERROR((INDEX(lifespans_all!T$205:T$212,MATCH($B193,lifespans_all!$B$205:$B$212,0))*SR_mission_minutes!T47)*POWER(1+(Settings!$C$31/100),T$1-2021),"-")</f>
        <v>-</v>
      </c>
      <c r="U193" s="128" t="str">
        <f>IFERROR((INDEX(lifespans_all!U$205:U$212,MATCH($B193,lifespans_all!$B$205:$B$212,0))*SR_mission_minutes!U47)*POWER(1+(Settings!$C$31/100),U$1-2021),"-")</f>
        <v>-</v>
      </c>
      <c r="V193" s="128" t="str">
        <f>IFERROR((INDEX(lifespans_all!V$205:V$212,MATCH($B193,lifespans_all!$B$205:$B$212,0))*SR_mission_minutes!V47)*POWER(1+(Settings!$C$31/100),V$1-2021),"-")</f>
        <v>-</v>
      </c>
      <c r="W193" s="128" t="str">
        <f>IFERROR((INDEX(lifespans_all!W$205:W$212,MATCH($B193,lifespans_all!$B$205:$B$212,0))*SR_mission_minutes!W47)*POWER(1+(Settings!$C$31/100),W$1-2021),"-")</f>
        <v>-</v>
      </c>
    </row>
    <row r="194" spans="1:23" x14ac:dyDescent="0.25">
      <c r="A194" s="38" t="s">
        <v>108</v>
      </c>
      <c r="B194" s="37" t="s">
        <v>60</v>
      </c>
      <c r="C194" s="38" t="s">
        <v>11</v>
      </c>
      <c r="D194" s="128">
        <f>IFERROR((INDEX(lifespans_all!D$205:D$212,MATCH($B194,lifespans_all!$B$205:$B$212,0))*SR_mission_minutes!D48)*POWER(1+(Settings!$C$31/100),D$1-2021),"-")</f>
        <v>92.100000000000009</v>
      </c>
      <c r="E194" s="128">
        <f>IFERROR((INDEX(lifespans_all!E$205:E$212,MATCH($B194,lifespans_all!$B$205:$B$212,0))*SR_mission_minutes!E48)*POWER(1+(Settings!$C$31/100),E$1-2021),"-")</f>
        <v>187.88400000000001</v>
      </c>
      <c r="F194" s="128">
        <f>IFERROR((INDEX(lifespans_all!F$205:F$212,MATCH($B194,lifespans_all!$B$205:$B$212,0))*SR_mission_minutes!F48)*POWER(1+(Settings!$C$31/100),F$1-2021),"-")</f>
        <v>287.46252000000004</v>
      </c>
      <c r="G194" s="128">
        <f>IFERROR((INDEX(lifespans_all!G$205:G$212,MATCH($B194,lifespans_all!$B$205:$B$212,0))*SR_mission_minutes!G48)*POWER(1+(Settings!$C$31/100),G$1-2021),"-")</f>
        <v>390.94902719999999</v>
      </c>
      <c r="H194" s="128">
        <f>IFERROR((INDEX(lifespans_all!H$205:H$212,MATCH($B194,lifespans_all!$B$205:$B$212,0))*SR_mission_minutes!H48)*POWER(1+(Settings!$C$31/100),H$1-2021),"-")</f>
        <v>996.92001935999997</v>
      </c>
      <c r="I194" s="128">
        <f>IFERROR((INDEX(lifespans_all!I$205:I$212,MATCH($B194,lifespans_all!$B$205:$B$212,0))*SR_mission_minutes!I48)*POWER(1+(Settings!$C$31/100),I$1-2021),"-")</f>
        <v>1118.5442617219201</v>
      </c>
      <c r="J194" s="128">
        <f>IFERROR((INDEX(lifespans_all!J$205:J$212,MATCH($B194,lifespans_all!$B$205:$B$212,0))*SR_mission_minutes!J48)*POWER(1+(Settings!$C$31/100),J$1-2021),"-")</f>
        <v>1244.634705770573</v>
      </c>
      <c r="K194" s="128">
        <f>IFERROR((INDEX(lifespans_all!K$205:K$212,MATCH($B194,lifespans_all!$B$205:$B$212,0))*SR_mission_minutes!K48)*POWER(1+(Settings!$C$31/100),K$1-2021),"-")</f>
        <v>1375.3213498764824</v>
      </c>
      <c r="L194" s="128">
        <f>IFERROR((INDEX(lifespans_all!L$205:L$212,MATCH($B194,lifespans_all!$B$205:$B$212,0))*SR_mission_minutes!L48)*POWER(1+(Settings!$C$31/100),L$1-2021),"-")</f>
        <v>1510.737605864321</v>
      </c>
      <c r="M194" s="128">
        <f>IFERROR((INDEX(lifespans_all!M$205:M$212,MATCH($B194,lifespans_all!$B$205:$B$212,0))*SR_mission_minutes!M48)*POWER(1+(Settings!$C$31/100),M$1-2021),"-")</f>
        <v>1651.0203835517225</v>
      </c>
      <c r="N194" s="128">
        <f>IFERROR((INDEX(lifespans_all!N$205:N$212,MATCH($B194,lifespans_all!$B$205:$B$212,0))*SR_mission_minutes!N48)*POWER(1+(Settings!$C$31/100),N$1-2021),"-")</f>
        <v>1684.040791222757</v>
      </c>
      <c r="O194" s="128">
        <f>IFERROR((INDEX(lifespans_all!O$205:O$212,MATCH($B194,lifespans_all!$B$205:$B$212,0))*SR_mission_minutes!O48)*POWER(1+(Settings!$C$31/100),O$1-2021),"-")</f>
        <v>1717.7216070472118</v>
      </c>
      <c r="P194" s="128">
        <f>IFERROR((INDEX(lifespans_all!P$205:P$212,MATCH($B194,lifespans_all!$B$205:$B$212,0))*SR_mission_minutes!P48)*POWER(1+(Settings!$C$31/100),P$1-2021),"-")</f>
        <v>1752.0760391881563</v>
      </c>
      <c r="Q194" s="128">
        <f>IFERROR((INDEX(lifespans_all!Q$205:Q$212,MATCH($B194,lifespans_all!$B$205:$B$212,0))*SR_mission_minutes!Q48)*POWER(1+(Settings!$C$31/100),Q$1-2021),"-")</f>
        <v>1787.1175599719193</v>
      </c>
      <c r="R194" s="128">
        <f>IFERROR((INDEX(lifespans_all!R$205:R$212,MATCH($B194,lifespans_all!$B$205:$B$212,0))*SR_mission_minutes!R48)*POWER(1+(Settings!$C$31/100),R$1-2021),"-")</f>
        <v>1822.8599111713579</v>
      </c>
      <c r="S194" s="128">
        <f>IFERROR((INDEX(lifespans_all!S$205:S$212,MATCH($B194,lifespans_all!$B$205:$B$212,0))*SR_mission_minutes!S48)*POWER(1+(Settings!$C$31/100),S$1-2021),"-")</f>
        <v>1859.3171093947844</v>
      </c>
      <c r="T194" s="128">
        <f>IFERROR((INDEX(lifespans_all!T$205:T$212,MATCH($B194,lifespans_all!$B$205:$B$212,0))*SR_mission_minutes!T48)*POWER(1+(Settings!$C$31/100),T$1-2021),"-")</f>
        <v>1896.5034515826806</v>
      </c>
      <c r="U194" s="128">
        <f>IFERROR((INDEX(lifespans_all!U$205:U$212,MATCH($B194,lifespans_all!$B$205:$B$212,0))*SR_mission_minutes!U48)*POWER(1+(Settings!$C$31/100),U$1-2021),"-")</f>
        <v>1934.4335206143344</v>
      </c>
      <c r="V194" s="128">
        <f>IFERROR((INDEX(lifespans_all!V$205:V$212,MATCH($B194,lifespans_all!$B$205:$B$212,0))*SR_mission_minutes!V48)*POWER(1+(Settings!$C$31/100),V$1-2021),"-")</f>
        <v>1973.1221910266208</v>
      </c>
      <c r="W194" s="128">
        <f>IFERROR((INDEX(lifespans_all!W$205:W$212,MATCH($B194,lifespans_all!$B$205:$B$212,0))*SR_mission_minutes!W48)*POWER(1+(Settings!$C$31/100),W$1-2021),"-")</f>
        <v>2012.5846348471532</v>
      </c>
    </row>
    <row r="195" spans="1:23" x14ac:dyDescent="0.25">
      <c r="A195" s="38" t="s">
        <v>108</v>
      </c>
      <c r="B195" s="37" t="s">
        <v>101</v>
      </c>
      <c r="C195" s="38" t="s">
        <v>11</v>
      </c>
      <c r="D195" s="128" t="str">
        <f>IFERROR((INDEX(lifespans_all!D$205:D$212,MATCH($B195,lifespans_all!$B$205:$B$212,0))*SR_mission_minutes!D49)*POWER(1+(Settings!$C$31/100),D$1-2021),"-")</f>
        <v>-</v>
      </c>
      <c r="E195" s="128" t="str">
        <f>IFERROR((INDEX(lifespans_all!E$205:E$212,MATCH($B195,lifespans_all!$B$205:$B$212,0))*SR_mission_minutes!E49)*POWER(1+(Settings!$C$31/100),E$1-2021),"-")</f>
        <v>-</v>
      </c>
      <c r="F195" s="128" t="str">
        <f>IFERROR((INDEX(lifespans_all!F$205:F$212,MATCH($B195,lifespans_all!$B$205:$B$212,0))*SR_mission_minutes!F49)*POWER(1+(Settings!$C$31/100),F$1-2021),"-")</f>
        <v>-</v>
      </c>
      <c r="G195" s="128" t="str">
        <f>IFERROR((INDEX(lifespans_all!G$205:G$212,MATCH($B195,lifespans_all!$B$205:$B$212,0))*SR_mission_minutes!G49)*POWER(1+(Settings!$C$31/100),G$1-2021),"-")</f>
        <v>-</v>
      </c>
      <c r="H195" s="128" t="str">
        <f>IFERROR((INDEX(lifespans_all!H$205:H$212,MATCH($B195,lifespans_all!$B$205:$B$212,0))*SR_mission_minutes!H49)*POWER(1+(Settings!$C$31/100),H$1-2021),"-")</f>
        <v>-</v>
      </c>
      <c r="I195" s="128" t="str">
        <f>IFERROR((INDEX(lifespans_all!I$205:I$212,MATCH($B195,lifespans_all!$B$205:$B$212,0))*SR_mission_minutes!I49)*POWER(1+(Settings!$C$31/100),I$1-2021),"-")</f>
        <v>-</v>
      </c>
      <c r="J195" s="128" t="str">
        <f>IFERROR((INDEX(lifespans_all!J$205:J$212,MATCH($B195,lifespans_all!$B$205:$B$212,0))*SR_mission_minutes!J49)*POWER(1+(Settings!$C$31/100),J$1-2021),"-")</f>
        <v>-</v>
      </c>
      <c r="K195" s="128" t="str">
        <f>IFERROR((INDEX(lifespans_all!K$205:K$212,MATCH($B195,lifespans_all!$B$205:$B$212,0))*SR_mission_minutes!K49)*POWER(1+(Settings!$C$31/100),K$1-2021),"-")</f>
        <v>-</v>
      </c>
      <c r="L195" s="128" t="str">
        <f>IFERROR((INDEX(lifespans_all!L$205:L$212,MATCH($B195,lifespans_all!$B$205:$B$212,0))*SR_mission_minutes!L49)*POWER(1+(Settings!$C$31/100),L$1-2021),"-")</f>
        <v>-</v>
      </c>
      <c r="M195" s="128" t="str">
        <f>IFERROR((INDEX(lifespans_all!M$205:M$212,MATCH($B195,lifespans_all!$B$205:$B$212,0))*SR_mission_minutes!M49)*POWER(1+(Settings!$C$31/100),M$1-2021),"-")</f>
        <v>-</v>
      </c>
      <c r="N195" s="128" t="str">
        <f>IFERROR((INDEX(lifespans_all!N$205:N$212,MATCH($B195,lifespans_all!$B$205:$B$212,0))*SR_mission_minutes!N49)*POWER(1+(Settings!$C$31/100),N$1-2021),"-")</f>
        <v>-</v>
      </c>
      <c r="O195" s="128" t="str">
        <f>IFERROR((INDEX(lifespans_all!O$205:O$212,MATCH($B195,lifespans_all!$B$205:$B$212,0))*SR_mission_minutes!O49)*POWER(1+(Settings!$C$31/100),O$1-2021),"-")</f>
        <v>-</v>
      </c>
      <c r="P195" s="128" t="str">
        <f>IFERROR((INDEX(lifespans_all!P$205:P$212,MATCH($B195,lifespans_all!$B$205:$B$212,0))*SR_mission_minutes!P49)*POWER(1+(Settings!$C$31/100),P$1-2021),"-")</f>
        <v>-</v>
      </c>
      <c r="Q195" s="128" t="str">
        <f>IFERROR((INDEX(lifespans_all!Q$205:Q$212,MATCH($B195,lifespans_all!$B$205:$B$212,0))*SR_mission_minutes!Q49)*POWER(1+(Settings!$C$31/100),Q$1-2021),"-")</f>
        <v>-</v>
      </c>
      <c r="R195" s="128" t="str">
        <f>IFERROR((INDEX(lifespans_all!R$205:R$212,MATCH($B195,lifespans_all!$B$205:$B$212,0))*SR_mission_minutes!R49)*POWER(1+(Settings!$C$31/100),R$1-2021),"-")</f>
        <v>-</v>
      </c>
      <c r="S195" s="128" t="str">
        <f>IFERROR((INDEX(lifespans_all!S$205:S$212,MATCH($B195,lifespans_all!$B$205:$B$212,0))*SR_mission_minutes!S49)*POWER(1+(Settings!$C$31/100),S$1-2021),"-")</f>
        <v>-</v>
      </c>
      <c r="T195" s="128" t="str">
        <f>IFERROR((INDEX(lifespans_all!T$205:T$212,MATCH($B195,lifespans_all!$B$205:$B$212,0))*SR_mission_minutes!T49)*POWER(1+(Settings!$C$31/100),T$1-2021),"-")</f>
        <v>-</v>
      </c>
      <c r="U195" s="128" t="str">
        <f>IFERROR((INDEX(lifespans_all!U$205:U$212,MATCH($B195,lifespans_all!$B$205:$B$212,0))*SR_mission_minutes!U49)*POWER(1+(Settings!$C$31/100),U$1-2021),"-")</f>
        <v>-</v>
      </c>
      <c r="V195" s="128" t="str">
        <f>IFERROR((INDEX(lifespans_all!V$205:V$212,MATCH($B195,lifespans_all!$B$205:$B$212,0))*SR_mission_minutes!V49)*POWER(1+(Settings!$C$31/100),V$1-2021),"-")</f>
        <v>-</v>
      </c>
      <c r="W195" s="128" t="str">
        <f>IFERROR((INDEX(lifespans_all!W$205:W$212,MATCH($B195,lifespans_all!$B$205:$B$212,0))*SR_mission_minutes!W49)*POWER(1+(Settings!$C$31/100),W$1-2021),"-")</f>
        <v>-</v>
      </c>
    </row>
    <row r="196" spans="1:23" x14ac:dyDescent="0.25">
      <c r="A196" s="38" t="s">
        <v>108</v>
      </c>
      <c r="B196" s="37" t="s">
        <v>58</v>
      </c>
      <c r="C196" s="38" t="s">
        <v>11</v>
      </c>
      <c r="D196" s="128">
        <f>IFERROR((INDEX(lifespans_all!D$205:D$212,MATCH($B196,lifespans_all!$B$205:$B$212,0))*SR_mission_minutes!D50)*POWER(1+(Settings!$C$31/100),D$1-2021),"-")</f>
        <v>1147</v>
      </c>
      <c r="E196" s="128">
        <f>IFERROR((INDEX(lifespans_all!E$205:E$212,MATCH($B196,lifespans_all!$B$205:$B$212,0))*SR_mission_minutes!E50)*POWER(1+(Settings!$C$31/100),E$1-2021),"-")</f>
        <v>2339.88</v>
      </c>
      <c r="F196" s="128">
        <f>IFERROR((INDEX(lifespans_all!F$205:F$212,MATCH($B196,lifespans_all!$B$205:$B$212,0))*SR_mission_minutes!F50)*POWER(1+(Settings!$C$31/100),F$1-2021),"-")</f>
        <v>3580.0164</v>
      </c>
      <c r="G196" s="128">
        <f>IFERROR((INDEX(lifespans_all!G$205:G$212,MATCH($B196,lifespans_all!$B$205:$B$212,0))*SR_mission_minutes!G50)*POWER(1+(Settings!$C$31/100),G$1-2021),"-")</f>
        <v>4868.8223039999993</v>
      </c>
      <c r="H196" s="128">
        <f>IFERROR((INDEX(lifespans_all!H$205:H$212,MATCH($B196,lifespans_all!$B$205:$B$212,0))*SR_mission_minutes!H50)*POWER(1+(Settings!$C$31/100),H$1-2021),"-")</f>
        <v>8690.8478126400005</v>
      </c>
      <c r="I196" s="128">
        <f>IFERROR((INDEX(lifespans_all!I$205:I$212,MATCH($B196,lifespans_all!$B$205:$B$212,0))*SR_mission_minutes!I50)*POWER(1+(Settings!$C$31/100),I$1-2021),"-")</f>
        <v>10131.045450163199</v>
      </c>
      <c r="J196" s="128">
        <f>IFERROR((INDEX(lifespans_all!J$205:J$212,MATCH($B196,lifespans_all!$B$205:$B$212,0))*SR_mission_minutes!J50)*POWER(1+(Settings!$C$31/100),J$1-2021),"-")</f>
        <v>11625.374654062272</v>
      </c>
      <c r="K196" s="128">
        <f>IFERROR((INDEX(lifespans_all!K$205:K$212,MATCH($B196,lifespans_all!$B$205:$B$212,0))*SR_mission_minutes!K50)*POWER(1+(Settings!$C$31/100),K$1-2021),"-")</f>
        <v>13175.424607937239</v>
      </c>
      <c r="L196" s="128">
        <f>IFERROR((INDEX(lifespans_all!L$205:L$212,MATCH($B196,lifespans_all!$B$205:$B$212,0))*SR_mission_minutes!L50)*POWER(1+(Settings!$C$31/100),L$1-2021),"-")</f>
        <v>14782.826410105585</v>
      </c>
      <c r="M196" s="128">
        <f>IFERROR((INDEX(lifespans_all!M$205:M$212,MATCH($B196,lifespans_all!$B$205:$B$212,0))*SR_mission_minutes!M50)*POWER(1+(Settings!$C$31/100),M$1-2021),"-")</f>
        <v>16449.254114517487</v>
      </c>
      <c r="N196" s="128">
        <f>IFERROR((INDEX(lifespans_all!N$205:N$212,MATCH($B196,lifespans_all!$B$205:$B$212,0))*SR_mission_minutes!N50)*POWER(1+(Settings!$C$31/100),N$1-2021),"-")</f>
        <v>16778.239196807837</v>
      </c>
      <c r="O196" s="128">
        <f>IFERROR((INDEX(lifespans_all!O$205:O$212,MATCH($B196,lifespans_all!$B$205:$B$212,0))*SR_mission_minutes!O50)*POWER(1+(Settings!$C$31/100),O$1-2021),"-")</f>
        <v>17113.803980743989</v>
      </c>
      <c r="P196" s="128">
        <f>IFERROR((INDEX(lifespans_all!P$205:P$212,MATCH($B196,lifespans_all!$B$205:$B$212,0))*SR_mission_minutes!P50)*POWER(1+(Settings!$C$31/100),P$1-2021),"-")</f>
        <v>17456.080060358872</v>
      </c>
      <c r="Q196" s="128">
        <f>IFERROR((INDEX(lifespans_all!Q$205:Q$212,MATCH($B196,lifespans_all!$B$205:$B$212,0))*SR_mission_minutes!Q50)*POWER(1+(Settings!$C$31/100),Q$1-2021),"-")</f>
        <v>17805.20166156605</v>
      </c>
      <c r="R196" s="128">
        <f>IFERROR((INDEX(lifespans_all!R$205:R$212,MATCH($B196,lifespans_all!$B$205:$B$212,0))*SR_mission_minutes!R50)*POWER(1+(Settings!$C$31/100),R$1-2021),"-")</f>
        <v>18161.305694797371</v>
      </c>
      <c r="S196" s="128">
        <f>IFERROR((INDEX(lifespans_all!S$205:S$212,MATCH($B196,lifespans_all!$B$205:$B$212,0))*SR_mission_minutes!S50)*POWER(1+(Settings!$C$31/100),S$1-2021),"-")</f>
        <v>18524.531808693315</v>
      </c>
      <c r="T196" s="128">
        <f>IFERROR((INDEX(lifespans_all!T$205:T$212,MATCH($B196,lifespans_all!$B$205:$B$212,0))*SR_mission_minutes!T50)*POWER(1+(Settings!$C$31/100),T$1-2021),"-")</f>
        <v>18895.022444867183</v>
      </c>
      <c r="U196" s="128">
        <f>IFERROR((INDEX(lifespans_all!U$205:U$212,MATCH($B196,lifespans_all!$B$205:$B$212,0))*SR_mission_minutes!U50)*POWER(1+(Settings!$C$31/100),U$1-2021),"-")</f>
        <v>19272.922893764531</v>
      </c>
      <c r="V196" s="128">
        <f>IFERROR((INDEX(lifespans_all!V$205:V$212,MATCH($B196,lifespans_all!$B$205:$B$212,0))*SR_mission_minutes!V50)*POWER(1+(Settings!$C$31/100),V$1-2021),"-")</f>
        <v>19658.381351639819</v>
      </c>
      <c r="W196" s="128">
        <f>IFERROR((INDEX(lifespans_all!W$205:W$212,MATCH($B196,lifespans_all!$B$205:$B$212,0))*SR_mission_minutes!W50)*POWER(1+(Settings!$C$31/100),W$1-2021),"-")</f>
        <v>20051.548978672614</v>
      </c>
    </row>
    <row r="197" spans="1:23" x14ac:dyDescent="0.25">
      <c r="A197" s="38" t="s">
        <v>108</v>
      </c>
      <c r="B197" s="37" t="s">
        <v>61</v>
      </c>
      <c r="C197" s="38" t="s">
        <v>11</v>
      </c>
      <c r="D197" s="128">
        <f>IFERROR((INDEX(lifespans_all!D$205:D$212,MATCH($B197,lifespans_all!$B$205:$B$212,0))*SR_mission_minutes!D51)*POWER(1+(Settings!$C$31/100),D$1-2021),"-")</f>
        <v>10121.800000000001</v>
      </c>
      <c r="E197" s="128">
        <f>IFERROR((INDEX(lifespans_all!E$205:E$212,MATCH($B197,lifespans_all!$B$205:$B$212,0))*SR_mission_minutes!E51)*POWER(1+(Settings!$C$31/100),E$1-2021),"-")</f>
        <v>55062.592000000011</v>
      </c>
      <c r="F197" s="128">
        <f>IFERROR((INDEX(lifespans_all!F$205:F$212,MATCH($B197,lifespans_all!$B$205:$B$212,0))*SR_mission_minutes!F51)*POWER(1+(Settings!$C$31/100),F$1-2021),"-")</f>
        <v>66694.564559999999</v>
      </c>
      <c r="G197" s="128">
        <f>IFERROR((INDEX(lifespans_all!G$205:G$212,MATCH($B197,lifespans_all!$B$205:$B$212,0))*SR_mission_minutes!G51)*POWER(1+(Settings!$C$31/100),G$1-2021),"-")</f>
        <v>78769.790985600004</v>
      </c>
      <c r="H197" s="128">
        <f>IFERROR((INDEX(lifespans_all!H$205:H$212,MATCH($B197,lifespans_all!$B$205:$B$212,0))*SR_mission_minutes!H51)*POWER(1+(Settings!$C$31/100),H$1-2021),"-")</f>
        <v>91301.348642400015</v>
      </c>
      <c r="I197" s="128">
        <f>IFERROR((INDEX(lifespans_all!I$205:I$212,MATCH($B197,lifespans_all!$B$205:$B$212,0))*SR_mission_minutes!I51)*POWER(1+(Settings!$C$31/100),I$1-2021),"-")</f>
        <v>141553.61093517698</v>
      </c>
      <c r="J197" s="128">
        <f>IFERROR((INDEX(lifespans_all!J$205:J$212,MATCH($B197,lifespans_all!$B$205:$B$212,0))*SR_mission_minutes!J51)*POWER(1+(Settings!$C$31/100),J$1-2021),"-")</f>
        <v>155783.47392918685</v>
      </c>
      <c r="K197" s="128">
        <f>IFERROR((INDEX(lifespans_all!K$205:K$212,MATCH($B197,lifespans_all!$B$205:$B$212,0))*SR_mission_minutes!K51)*POWER(1+(Settings!$C$31/100),K$1-2021),"-")</f>
        <v>170525.90999858305</v>
      </c>
      <c r="L197" s="128">
        <f>IFERROR((INDEX(lifespans_all!L$205:L$212,MATCH($B197,lifespans_all!$B$205:$B$212,0))*SR_mission_minutes!L51)*POWER(1+(Settings!$C$31/100),L$1-2021),"-")</f>
        <v>185795.73012118347</v>
      </c>
      <c r="M197" s="128">
        <f>IFERROR((INDEX(lifespans_all!M$205:M$212,MATCH($B197,lifespans_all!$B$205:$B$212,0))*SR_mission_minutes!M51)*POWER(1+(Settings!$C$31/100),M$1-2021),"-")</f>
        <v>201608.13268468846</v>
      </c>
      <c r="N197" s="128">
        <f>IFERROR((INDEX(lifespans_all!N$205:N$212,MATCH($B197,lifespans_all!$B$205:$B$212,0))*SR_mission_minutes!N51)*POWER(1+(Settings!$C$31/100),N$1-2021),"-")</f>
        <v>205640.29533838225</v>
      </c>
      <c r="O197" s="128">
        <f>IFERROR((INDEX(lifespans_all!O$205:O$212,MATCH($B197,lifespans_all!$B$205:$B$212,0))*SR_mission_minutes!O51)*POWER(1+(Settings!$C$31/100),O$1-2021),"-")</f>
        <v>209753.10124514982</v>
      </c>
      <c r="P197" s="128">
        <f>IFERROR((INDEX(lifespans_all!P$205:P$212,MATCH($B197,lifespans_all!$B$205:$B$212,0))*SR_mission_minutes!P51)*POWER(1+(Settings!$C$31/100),P$1-2021),"-")</f>
        <v>213948.16327005287</v>
      </c>
      <c r="Q197" s="128">
        <f>IFERROR((INDEX(lifespans_all!Q$205:Q$212,MATCH($B197,lifespans_all!$B$205:$B$212,0))*SR_mission_minutes!Q51)*POWER(1+(Settings!$C$31/100),Q$1-2021),"-")</f>
        <v>218227.12653545392</v>
      </c>
      <c r="R197" s="128">
        <f>IFERROR((INDEX(lifespans_all!R$205:R$212,MATCH($B197,lifespans_all!$B$205:$B$212,0))*SR_mission_minutes!R51)*POWER(1+(Settings!$C$31/100),R$1-2021),"-")</f>
        <v>222591.66906616301</v>
      </c>
      <c r="S197" s="128">
        <f>IFERROR((INDEX(lifespans_all!S$205:S$212,MATCH($B197,lifespans_all!$B$205:$B$212,0))*SR_mission_minutes!S51)*POWER(1+(Settings!$C$31/100),S$1-2021),"-")</f>
        <v>227043.50244748621</v>
      </c>
      <c r="T197" s="128">
        <f>IFERROR((INDEX(lifespans_all!T$205:T$212,MATCH($B197,lifespans_all!$B$205:$B$212,0))*SR_mission_minutes!T51)*POWER(1+(Settings!$C$31/100),T$1-2021),"-")</f>
        <v>231584.37249643597</v>
      </c>
      <c r="U197" s="128">
        <f>IFERROR((INDEX(lifespans_all!U$205:U$212,MATCH($B197,lifespans_all!$B$205:$B$212,0))*SR_mission_minutes!U51)*POWER(1+(Settings!$C$31/100),U$1-2021),"-")</f>
        <v>236216.05994636472</v>
      </c>
      <c r="V197" s="128">
        <f>IFERROR((INDEX(lifespans_all!V$205:V$212,MATCH($B197,lifespans_all!$B$205:$B$212,0))*SR_mission_minutes!V51)*POWER(1+(Settings!$C$31/100),V$1-2021),"-")</f>
        <v>240940.38114529199</v>
      </c>
      <c r="W197" s="128">
        <f>IFERROR((INDEX(lifespans_all!W$205:W$212,MATCH($B197,lifespans_all!$B$205:$B$212,0))*SR_mission_minutes!W51)*POWER(1+(Settings!$C$31/100),W$1-2021),"-")</f>
        <v>245759.18876819781</v>
      </c>
    </row>
    <row r="198" spans="1:23" x14ac:dyDescent="0.25">
      <c r="A198" s="66"/>
      <c r="B198" s="66"/>
      <c r="C198" s="66"/>
      <c r="D198" s="143"/>
      <c r="E198" s="3"/>
      <c r="F198" s="3"/>
      <c r="G198" s="3"/>
      <c r="H198" s="3"/>
      <c r="I198" s="3"/>
      <c r="J198" s="3"/>
      <c r="K198" s="3"/>
      <c r="L198" s="3"/>
      <c r="M198" s="3"/>
      <c r="N198" s="3"/>
      <c r="O198" s="3"/>
      <c r="P198" s="3"/>
      <c r="Q198" s="3"/>
      <c r="R198" s="3"/>
      <c r="S198" s="3"/>
      <c r="T198" s="3"/>
      <c r="U198" s="3"/>
      <c r="V198" s="3"/>
      <c r="W198" s="3"/>
    </row>
    <row r="199" spans="1:23" x14ac:dyDescent="0.25">
      <c r="A199" s="66"/>
      <c r="B199" s="66"/>
      <c r="C199" s="66"/>
      <c r="D199" s="39">
        <f t="shared" ref="D199:V199" si="34">SUM(D148:D197)</f>
        <v>1905271.9253968257</v>
      </c>
      <c r="E199" s="39">
        <f t="shared" si="34"/>
        <v>2080237.6319365075</v>
      </c>
      <c r="F199" s="39">
        <f t="shared" si="34"/>
        <v>2403553.2912184126</v>
      </c>
      <c r="G199" s="39">
        <f t="shared" si="34"/>
        <v>2674269.1758695492</v>
      </c>
      <c r="H199" s="39">
        <f t="shared" si="34"/>
        <v>2999448.7503928039</v>
      </c>
      <c r="I199" s="39">
        <f t="shared" si="34"/>
        <v>3314146.1677669925</v>
      </c>
      <c r="J199" s="39">
        <f t="shared" si="34"/>
        <v>3645781.4408849701</v>
      </c>
      <c r="K199" s="39">
        <f t="shared" si="34"/>
        <v>3987802.3395394818</v>
      </c>
      <c r="L199" s="39">
        <f t="shared" si="34"/>
        <v>4324761.4755363772</v>
      </c>
      <c r="M199" s="39">
        <f t="shared" si="34"/>
        <v>4673829.6735262228</v>
      </c>
      <c r="N199" s="39">
        <f t="shared" si="34"/>
        <v>4921210.1125014583</v>
      </c>
      <c r="O199" s="39">
        <f t="shared" si="34"/>
        <v>5010641.0203070426</v>
      </c>
      <c r="P199" s="39">
        <f t="shared" si="34"/>
        <v>5101860.5462687397</v>
      </c>
      <c r="Q199" s="39">
        <f t="shared" si="34"/>
        <v>5194904.4627496693</v>
      </c>
      <c r="R199" s="39">
        <f t="shared" si="34"/>
        <v>5289809.2575602187</v>
      </c>
      <c r="S199" s="39">
        <f t="shared" si="34"/>
        <v>5386612.1482669767</v>
      </c>
      <c r="T199" s="39">
        <f t="shared" si="34"/>
        <v>5485351.0967878737</v>
      </c>
      <c r="U199" s="39">
        <f t="shared" si="34"/>
        <v>5586064.8242791863</v>
      </c>
      <c r="V199" s="39">
        <f t="shared" si="34"/>
        <v>5688792.826320326</v>
      </c>
      <c r="W199" s="39">
        <f>SUM(W148:W197)</f>
        <v>5793575.3884022869</v>
      </c>
    </row>
    <row r="200" spans="1:23" ht="14.4" thickBot="1" x14ac:dyDescent="0.3">
      <c r="B200" s="3" t="s">
        <v>95</v>
      </c>
      <c r="D200" s="40"/>
      <c r="E200" s="40"/>
      <c r="F200" s="40"/>
      <c r="G200" s="40"/>
      <c r="H200" s="40"/>
      <c r="I200" s="40"/>
      <c r="J200" s="40"/>
      <c r="K200" s="40"/>
      <c r="L200" s="40"/>
      <c r="M200" s="3"/>
      <c r="N200" s="3"/>
      <c r="O200" s="40"/>
      <c r="P200" s="40"/>
      <c r="Q200" s="40"/>
      <c r="R200" s="40"/>
      <c r="S200" s="40"/>
      <c r="T200" s="40"/>
      <c r="U200" s="40"/>
      <c r="V200" s="40"/>
      <c r="W200" s="40"/>
    </row>
    <row r="201" spans="1:23" x14ac:dyDescent="0.25">
      <c r="B201" s="75" t="s">
        <v>102</v>
      </c>
      <c r="D201" s="97">
        <v>2021</v>
      </c>
      <c r="E201" s="98">
        <v>2022</v>
      </c>
      <c r="F201" s="97">
        <v>2023</v>
      </c>
      <c r="G201" s="98">
        <v>2024</v>
      </c>
      <c r="H201" s="97">
        <v>2025</v>
      </c>
      <c r="I201" s="98">
        <v>2026</v>
      </c>
      <c r="J201" s="97">
        <v>2027</v>
      </c>
      <c r="K201" s="98">
        <v>2028</v>
      </c>
      <c r="L201" s="97">
        <v>2029</v>
      </c>
      <c r="M201" s="98">
        <v>2030</v>
      </c>
      <c r="N201" s="97">
        <v>2031</v>
      </c>
      <c r="O201" s="98">
        <v>2032</v>
      </c>
      <c r="P201" s="97">
        <v>2033</v>
      </c>
      <c r="Q201" s="98">
        <v>2034</v>
      </c>
      <c r="R201" s="97">
        <v>2035</v>
      </c>
      <c r="S201" s="98">
        <v>2036</v>
      </c>
      <c r="T201" s="97">
        <v>2037</v>
      </c>
      <c r="U201" s="98">
        <v>2038</v>
      </c>
      <c r="V201" s="97">
        <v>2039</v>
      </c>
      <c r="W201" s="98">
        <v>2040</v>
      </c>
    </row>
    <row r="202" spans="1:23" x14ac:dyDescent="0.25">
      <c r="B202" s="50" t="s">
        <v>59</v>
      </c>
      <c r="D202" s="100">
        <f>SUMIF($B148:$B197,$B202,D$148:D$197)</f>
        <v>528443.4</v>
      </c>
      <c r="E202" s="100">
        <f t="shared" ref="E202:W202" si="35">SUMIF($B148:$B197,$B202,E$148:E$197)</f>
        <v>600127.89599999995</v>
      </c>
      <c r="F202" s="100">
        <f t="shared" si="35"/>
        <v>674652.20088000002</v>
      </c>
      <c r="G202" s="100">
        <f t="shared" si="35"/>
        <v>752101.23319679988</v>
      </c>
      <c r="H202" s="100">
        <f t="shared" si="35"/>
        <v>832562.17232591996</v>
      </c>
      <c r="I202" s="100">
        <f t="shared" si="35"/>
        <v>916124.51492692612</v>
      </c>
      <c r="J202" s="100">
        <f t="shared" si="35"/>
        <v>1002880.1327630421</v>
      </c>
      <c r="K202" s="100">
        <f t="shared" si="35"/>
        <v>1092923.3319066316</v>
      </c>
      <c r="L202" s="100">
        <f t="shared" si="35"/>
        <v>1186350.91336286</v>
      </c>
      <c r="M202" s="100">
        <f t="shared" si="35"/>
        <v>1283262.2351445747</v>
      </c>
      <c r="N202" s="100">
        <f t="shared" si="35"/>
        <v>1464931.8797966214</v>
      </c>
      <c r="O202" s="100">
        <f t="shared" si="35"/>
        <v>1487337.7773925536</v>
      </c>
      <c r="P202" s="100">
        <f t="shared" si="35"/>
        <v>1510191.792940405</v>
      </c>
      <c r="Q202" s="100">
        <f t="shared" si="35"/>
        <v>1533502.8887992129</v>
      </c>
      <c r="R202" s="100">
        <f t="shared" si="35"/>
        <v>1557280.2065751974</v>
      </c>
      <c r="S202" s="100">
        <f t="shared" si="35"/>
        <v>1581533.0707067009</v>
      </c>
      <c r="T202" s="100">
        <f t="shared" si="35"/>
        <v>1606270.9921208352</v>
      </c>
      <c r="U202" s="100">
        <f t="shared" si="35"/>
        <v>1631503.6719632521</v>
      </c>
      <c r="V202" s="100">
        <f t="shared" si="35"/>
        <v>1657241.0054025168</v>
      </c>
      <c r="W202" s="100">
        <f t="shared" si="35"/>
        <v>1683493.0855105673</v>
      </c>
    </row>
    <row r="203" spans="1:23" x14ac:dyDescent="0.25">
      <c r="B203" s="50" t="s">
        <v>57</v>
      </c>
      <c r="D203" s="100">
        <f>SUMIF($B148:$B197,$B203,D$148:D$197)</f>
        <v>1247686.4111111111</v>
      </c>
      <c r="E203" s="100">
        <f t="shared" ref="E203:W203" si="36">SUMIF($B148:$B197,$B203,E$148:E$197)</f>
        <v>1336264.5275555556</v>
      </c>
      <c r="F203" s="100">
        <f t="shared" si="36"/>
        <v>1567037.201048889</v>
      </c>
      <c r="G203" s="100">
        <f t="shared" si="36"/>
        <v>1744248.8219407112</v>
      </c>
      <c r="H203" s="100">
        <f t="shared" si="36"/>
        <v>1972077.7743389602</v>
      </c>
      <c r="I203" s="100">
        <f t="shared" si="36"/>
        <v>2182353.7116376958</v>
      </c>
      <c r="J203" s="100">
        <f t="shared" si="36"/>
        <v>2408496.0233853124</v>
      </c>
      <c r="K203" s="100">
        <f t="shared" si="36"/>
        <v>2641057.8218637668</v>
      </c>
      <c r="L203" s="100">
        <f t="shared" si="36"/>
        <v>2864475.27051123</v>
      </c>
      <c r="M203" s="100">
        <f t="shared" si="36"/>
        <v>3095799.6741314013</v>
      </c>
      <c r="N203" s="100">
        <f t="shared" si="36"/>
        <v>3156381.6598362518</v>
      </c>
      <c r="O203" s="100">
        <f t="shared" si="36"/>
        <v>3218175.2852551984</v>
      </c>
      <c r="P203" s="100">
        <f t="shared" si="36"/>
        <v>3281204.7831825251</v>
      </c>
      <c r="Q203" s="100">
        <f t="shared" si="36"/>
        <v>3345494.8710683975</v>
      </c>
      <c r="R203" s="100">
        <f t="shared" si="36"/>
        <v>3411070.760711988</v>
      </c>
      <c r="S203" s="100">
        <f t="shared" si="36"/>
        <v>3477958.1681484492</v>
      </c>
      <c r="T203" s="100">
        <f t="shared" si="36"/>
        <v>3546183.3237336408</v>
      </c>
      <c r="U203" s="100">
        <f t="shared" si="36"/>
        <v>3615772.9824305363</v>
      </c>
      <c r="V203" s="100">
        <f t="shared" si="36"/>
        <v>3686754.4343013689</v>
      </c>
      <c r="W203" s="100">
        <f t="shared" si="36"/>
        <v>3759155.515209618</v>
      </c>
    </row>
    <row r="204" spans="1:23" x14ac:dyDescent="0.25">
      <c r="B204" s="50" t="s">
        <v>56</v>
      </c>
      <c r="D204" s="100">
        <f>SUMIF($B148:$B197,$B204,D$148:D$197)</f>
        <v>9220.7142857142862</v>
      </c>
      <c r="E204" s="100">
        <f t="shared" ref="E204:W204" si="37">SUMIF($B148:$B197,$B204,E$148:E$197)</f>
        <v>11433.685714285715</v>
      </c>
      <c r="F204" s="100">
        <f t="shared" si="37"/>
        <v>16480.679142857145</v>
      </c>
      <c r="G204" s="100">
        <f t="shared" si="37"/>
        <v>19068.391748571426</v>
      </c>
      <c r="H204" s="100">
        <f t="shared" si="37"/>
        <v>21753.020586857143</v>
      </c>
      <c r="I204" s="100">
        <f t="shared" si="37"/>
        <v>24537.407221974856</v>
      </c>
      <c r="J204" s="100">
        <f t="shared" si="37"/>
        <v>27424.468114262541</v>
      </c>
      <c r="K204" s="100">
        <f t="shared" si="37"/>
        <v>30417.19647935293</v>
      </c>
      <c r="L204" s="100">
        <f t="shared" si="37"/>
        <v>33518.664191801239</v>
      </c>
      <c r="M204" s="100">
        <f t="shared" si="37"/>
        <v>36732.023734155744</v>
      </c>
      <c r="N204" s="100">
        <f t="shared" si="37"/>
        <v>37466.664208838862</v>
      </c>
      <c r="O204" s="100">
        <f t="shared" si="37"/>
        <v>38215.997493015631</v>
      </c>
      <c r="P204" s="100">
        <f t="shared" si="37"/>
        <v>38980.317442875952</v>
      </c>
      <c r="Q204" s="100">
        <f t="shared" si="37"/>
        <v>39759.923791733469</v>
      </c>
      <c r="R204" s="100">
        <f t="shared" si="37"/>
        <v>40555.122267568142</v>
      </c>
      <c r="S204" s="100">
        <f t="shared" si="37"/>
        <v>41366.224712919495</v>
      </c>
      <c r="T204" s="100">
        <f t="shared" si="37"/>
        <v>42193.549207177886</v>
      </c>
      <c r="U204" s="100">
        <f t="shared" si="37"/>
        <v>43037.420191321449</v>
      </c>
      <c r="V204" s="100">
        <f t="shared" si="37"/>
        <v>43898.168595147872</v>
      </c>
      <c r="W204" s="100">
        <f t="shared" si="37"/>
        <v>44776.131967050831</v>
      </c>
    </row>
    <row r="205" spans="1:23" x14ac:dyDescent="0.25">
      <c r="B205" s="50" t="s">
        <v>100</v>
      </c>
      <c r="D205" s="100">
        <f>SUMIF($B148:$B197,$B205,D$148:D$197)</f>
        <v>0</v>
      </c>
      <c r="E205" s="100">
        <f t="shared" ref="E205:W205" si="38">SUMIF($B148:$B197,$B205,E$148:E$197)</f>
        <v>0</v>
      </c>
      <c r="F205" s="100">
        <f t="shared" si="38"/>
        <v>0</v>
      </c>
      <c r="G205" s="100">
        <f t="shared" si="38"/>
        <v>0</v>
      </c>
      <c r="H205" s="100">
        <f t="shared" si="38"/>
        <v>0</v>
      </c>
      <c r="I205" s="100">
        <f t="shared" si="38"/>
        <v>0</v>
      </c>
      <c r="J205" s="100">
        <f t="shared" si="38"/>
        <v>0</v>
      </c>
      <c r="K205" s="100">
        <f t="shared" si="38"/>
        <v>0</v>
      </c>
      <c r="L205" s="100">
        <f t="shared" si="38"/>
        <v>0</v>
      </c>
      <c r="M205" s="100">
        <f t="shared" si="38"/>
        <v>0</v>
      </c>
      <c r="N205" s="100">
        <f t="shared" si="38"/>
        <v>0</v>
      </c>
      <c r="O205" s="100">
        <f t="shared" si="38"/>
        <v>0</v>
      </c>
      <c r="P205" s="100">
        <f t="shared" si="38"/>
        <v>0</v>
      </c>
      <c r="Q205" s="100">
        <f t="shared" si="38"/>
        <v>0</v>
      </c>
      <c r="R205" s="100">
        <f t="shared" si="38"/>
        <v>0</v>
      </c>
      <c r="S205" s="100">
        <f t="shared" si="38"/>
        <v>0</v>
      </c>
      <c r="T205" s="100">
        <f t="shared" si="38"/>
        <v>0</v>
      </c>
      <c r="U205" s="100">
        <f t="shared" si="38"/>
        <v>0</v>
      </c>
      <c r="V205" s="100">
        <f t="shared" si="38"/>
        <v>0</v>
      </c>
      <c r="W205" s="100">
        <f t="shared" si="38"/>
        <v>0</v>
      </c>
    </row>
    <row r="206" spans="1:23" x14ac:dyDescent="0.25">
      <c r="B206" s="50" t="s">
        <v>60</v>
      </c>
      <c r="D206" s="100">
        <f>SUMIF($B148:$B197,$B206,D$148:D$197)</f>
        <v>552.6</v>
      </c>
      <c r="E206" s="100">
        <f t="shared" ref="E206:W206" si="39">SUMIF($B148:$B197,$B206,E$148:E$197)</f>
        <v>648.38400000000001</v>
      </c>
      <c r="F206" s="100">
        <f t="shared" si="39"/>
        <v>747.96252000000004</v>
      </c>
      <c r="G206" s="100">
        <f t="shared" si="39"/>
        <v>851.44902720000005</v>
      </c>
      <c r="H206" s="100">
        <f t="shared" si="39"/>
        <v>996.92001935999997</v>
      </c>
      <c r="I206" s="100">
        <f t="shared" si="39"/>
        <v>1118.5442617219201</v>
      </c>
      <c r="J206" s="100">
        <f t="shared" si="39"/>
        <v>1244.634705770573</v>
      </c>
      <c r="K206" s="100">
        <f t="shared" si="39"/>
        <v>1375.3213498764824</v>
      </c>
      <c r="L206" s="100">
        <f t="shared" si="39"/>
        <v>1510.737605864321</v>
      </c>
      <c r="M206" s="100">
        <f t="shared" si="39"/>
        <v>1651.0203835517225</v>
      </c>
      <c r="N206" s="100">
        <f t="shared" si="39"/>
        <v>1684.040791222757</v>
      </c>
      <c r="O206" s="100">
        <f t="shared" si="39"/>
        <v>1717.7216070472118</v>
      </c>
      <c r="P206" s="100">
        <f t="shared" si="39"/>
        <v>1752.0760391881563</v>
      </c>
      <c r="Q206" s="100">
        <f t="shared" si="39"/>
        <v>1787.1175599719193</v>
      </c>
      <c r="R206" s="100">
        <f t="shared" si="39"/>
        <v>1822.8599111713579</v>
      </c>
      <c r="S206" s="100">
        <f t="shared" si="39"/>
        <v>1859.3171093947844</v>
      </c>
      <c r="T206" s="100">
        <f t="shared" si="39"/>
        <v>1896.5034515826806</v>
      </c>
      <c r="U206" s="100">
        <f t="shared" si="39"/>
        <v>1934.4335206143344</v>
      </c>
      <c r="V206" s="100">
        <f t="shared" si="39"/>
        <v>1973.1221910266208</v>
      </c>
      <c r="W206" s="100">
        <f t="shared" si="39"/>
        <v>2012.5846348471532</v>
      </c>
    </row>
    <row r="207" spans="1:23" x14ac:dyDescent="0.25">
      <c r="B207" s="50" t="s">
        <v>101</v>
      </c>
      <c r="D207" s="100">
        <f>SUMIF($B148:$B197,$B207,D$148:D$197)</f>
        <v>0</v>
      </c>
      <c r="E207" s="100">
        <f t="shared" ref="E207:W207" si="40">SUMIF($B148:$B197,$B207,E$148:E$197)</f>
        <v>0</v>
      </c>
      <c r="F207" s="100">
        <f t="shared" si="40"/>
        <v>0</v>
      </c>
      <c r="G207" s="100">
        <f t="shared" si="40"/>
        <v>0</v>
      </c>
      <c r="H207" s="100">
        <f t="shared" si="40"/>
        <v>0</v>
      </c>
      <c r="I207" s="100">
        <f t="shared" si="40"/>
        <v>0</v>
      </c>
      <c r="J207" s="100">
        <f t="shared" si="40"/>
        <v>0</v>
      </c>
      <c r="K207" s="100">
        <f t="shared" si="40"/>
        <v>0</v>
      </c>
      <c r="L207" s="100">
        <f t="shared" si="40"/>
        <v>0</v>
      </c>
      <c r="M207" s="100">
        <f t="shared" si="40"/>
        <v>0</v>
      </c>
      <c r="N207" s="100">
        <f t="shared" si="40"/>
        <v>0</v>
      </c>
      <c r="O207" s="100">
        <f t="shared" si="40"/>
        <v>0</v>
      </c>
      <c r="P207" s="100">
        <f t="shared" si="40"/>
        <v>0</v>
      </c>
      <c r="Q207" s="100">
        <f t="shared" si="40"/>
        <v>0</v>
      </c>
      <c r="R207" s="100">
        <f t="shared" si="40"/>
        <v>0</v>
      </c>
      <c r="S207" s="100">
        <f t="shared" si="40"/>
        <v>0</v>
      </c>
      <c r="T207" s="100">
        <f t="shared" si="40"/>
        <v>0</v>
      </c>
      <c r="U207" s="100">
        <f t="shared" si="40"/>
        <v>0</v>
      </c>
      <c r="V207" s="100">
        <f t="shared" si="40"/>
        <v>0</v>
      </c>
      <c r="W207" s="100">
        <f t="shared" si="40"/>
        <v>0</v>
      </c>
    </row>
    <row r="208" spans="1:23" x14ac:dyDescent="0.25">
      <c r="B208" s="50" t="s">
        <v>58</v>
      </c>
      <c r="D208" s="100">
        <f>SUMIF($B148:$B197,$B208,D$148:D$197)</f>
        <v>8029</v>
      </c>
      <c r="E208" s="100">
        <f t="shared" ref="E208:W208" si="41">SUMIF($B148:$B197,$B208,E$148:E$197)</f>
        <v>9221.880000000001</v>
      </c>
      <c r="F208" s="100">
        <f t="shared" si="41"/>
        <v>10462.0164</v>
      </c>
      <c r="G208" s="100">
        <f t="shared" si="41"/>
        <v>11750.822303999999</v>
      </c>
      <c r="H208" s="100">
        <f t="shared" si="41"/>
        <v>13278.84781264</v>
      </c>
      <c r="I208" s="100">
        <f t="shared" si="41"/>
        <v>14719.045450163199</v>
      </c>
      <c r="J208" s="100">
        <f t="shared" si="41"/>
        <v>16213.374654062272</v>
      </c>
      <c r="K208" s="100">
        <f t="shared" si="41"/>
        <v>17763.424607937239</v>
      </c>
      <c r="L208" s="100">
        <f t="shared" si="41"/>
        <v>19370.826410105583</v>
      </c>
      <c r="M208" s="100">
        <f t="shared" si="41"/>
        <v>21037.254114517487</v>
      </c>
      <c r="N208" s="100">
        <f t="shared" si="41"/>
        <v>21366.239196807837</v>
      </c>
      <c r="O208" s="100">
        <f t="shared" si="41"/>
        <v>21701.803980743989</v>
      </c>
      <c r="P208" s="100">
        <f t="shared" si="41"/>
        <v>22044.080060358872</v>
      </c>
      <c r="Q208" s="100">
        <f t="shared" si="41"/>
        <v>22393.20166156605</v>
      </c>
      <c r="R208" s="100">
        <f t="shared" si="41"/>
        <v>22749.305694797371</v>
      </c>
      <c r="S208" s="100">
        <f t="shared" si="41"/>
        <v>23112.531808693315</v>
      </c>
      <c r="T208" s="100">
        <f t="shared" si="41"/>
        <v>23483.022444867183</v>
      </c>
      <c r="U208" s="100">
        <f t="shared" si="41"/>
        <v>23860.922893764531</v>
      </c>
      <c r="V208" s="100">
        <f t="shared" si="41"/>
        <v>24246.381351639819</v>
      </c>
      <c r="W208" s="100">
        <f t="shared" si="41"/>
        <v>24639.548978672614</v>
      </c>
    </row>
    <row r="209" spans="1:23" ht="14.4" thickBot="1" x14ac:dyDescent="0.3">
      <c r="B209" s="56" t="s">
        <v>61</v>
      </c>
      <c r="D209" s="100">
        <f>SUMIF($B148:$B197,$B209,D$148:D$197)</f>
        <v>111339.8</v>
      </c>
      <c r="E209" s="100">
        <f t="shared" ref="E209:W209" si="42">SUMIF($B148:$B197,$B209,E$148:E$197)</f>
        <v>122541.25866666669</v>
      </c>
      <c r="F209" s="100">
        <f t="shared" si="42"/>
        <v>134173.23122666666</v>
      </c>
      <c r="G209" s="100">
        <f t="shared" si="42"/>
        <v>146248.45765226666</v>
      </c>
      <c r="H209" s="100">
        <f t="shared" si="42"/>
        <v>158780.01530906669</v>
      </c>
      <c r="I209" s="100">
        <f t="shared" si="42"/>
        <v>175292.94426851033</v>
      </c>
      <c r="J209" s="100">
        <f t="shared" si="42"/>
        <v>189522.80726252019</v>
      </c>
      <c r="K209" s="100">
        <f t="shared" si="42"/>
        <v>204265.2433319164</v>
      </c>
      <c r="L209" s="100">
        <f t="shared" si="42"/>
        <v>219535.06345451681</v>
      </c>
      <c r="M209" s="100">
        <f t="shared" si="42"/>
        <v>235347.46601802181</v>
      </c>
      <c r="N209" s="100">
        <f t="shared" si="42"/>
        <v>239379.62867171559</v>
      </c>
      <c r="O209" s="100">
        <f t="shared" si="42"/>
        <v>243492.43457848317</v>
      </c>
      <c r="P209" s="100">
        <f t="shared" si="42"/>
        <v>247687.49660338621</v>
      </c>
      <c r="Q209" s="100">
        <f t="shared" si="42"/>
        <v>251966.45986878726</v>
      </c>
      <c r="R209" s="100">
        <f t="shared" si="42"/>
        <v>256331.00239949636</v>
      </c>
      <c r="S209" s="100">
        <f t="shared" si="42"/>
        <v>260782.83578081956</v>
      </c>
      <c r="T209" s="100">
        <f t="shared" si="42"/>
        <v>265323.70582976931</v>
      </c>
      <c r="U209" s="100">
        <f t="shared" si="42"/>
        <v>269955.39327969804</v>
      </c>
      <c r="V209" s="100">
        <f t="shared" si="42"/>
        <v>274679.71447862533</v>
      </c>
      <c r="W209" s="100">
        <f t="shared" si="42"/>
        <v>279498.52210153115</v>
      </c>
    </row>
    <row r="210" spans="1:23" x14ac:dyDescent="0.25">
      <c r="D210" s="40"/>
      <c r="E210" s="40"/>
      <c r="F210" s="40"/>
      <c r="G210" s="40"/>
      <c r="H210" s="40"/>
      <c r="I210" s="40"/>
      <c r="J210" s="40"/>
      <c r="K210" s="40"/>
      <c r="L210" s="40"/>
      <c r="M210" s="41"/>
      <c r="N210" s="40"/>
      <c r="O210" s="40"/>
      <c r="P210" s="40"/>
      <c r="Q210" s="40"/>
      <c r="R210" s="40"/>
      <c r="S210" s="40"/>
      <c r="T210" s="40"/>
      <c r="U210" s="40"/>
      <c r="V210" s="40"/>
      <c r="W210" s="40"/>
    </row>
    <row r="211" spans="1:23" x14ac:dyDescent="0.25">
      <c r="D211" s="40">
        <f>SUM(D202:D209)</f>
        <v>1905271.9253968257</v>
      </c>
      <c r="E211" s="40">
        <f t="shared" ref="E211:V211" si="43">SUM(E202:E209)</f>
        <v>2080237.631936508</v>
      </c>
      <c r="F211" s="40">
        <f t="shared" si="43"/>
        <v>2403553.291218413</v>
      </c>
      <c r="G211" s="40">
        <f t="shared" si="43"/>
        <v>2674269.1758695496</v>
      </c>
      <c r="H211" s="40">
        <f t="shared" si="43"/>
        <v>2999448.7503928035</v>
      </c>
      <c r="I211" s="40">
        <f t="shared" si="43"/>
        <v>3314146.167766992</v>
      </c>
      <c r="J211" s="40">
        <f t="shared" si="43"/>
        <v>3645781.4408849701</v>
      </c>
      <c r="K211" s="40">
        <f t="shared" si="43"/>
        <v>3987802.3395394813</v>
      </c>
      <c r="L211" s="40">
        <f t="shared" si="43"/>
        <v>4324761.4755363781</v>
      </c>
      <c r="M211" s="41">
        <f t="shared" si="43"/>
        <v>4673829.6735262237</v>
      </c>
      <c r="N211" s="40">
        <f t="shared" si="43"/>
        <v>4921210.1125014592</v>
      </c>
      <c r="O211" s="40">
        <f t="shared" si="43"/>
        <v>5010641.0203070426</v>
      </c>
      <c r="P211" s="40">
        <f t="shared" si="43"/>
        <v>5101860.5462687407</v>
      </c>
      <c r="Q211" s="40">
        <f t="shared" si="43"/>
        <v>5194904.4627496693</v>
      </c>
      <c r="R211" s="40">
        <f t="shared" si="43"/>
        <v>5289809.2575602196</v>
      </c>
      <c r="S211" s="40">
        <f t="shared" si="43"/>
        <v>5386612.1482669767</v>
      </c>
      <c r="T211" s="40">
        <f t="shared" si="43"/>
        <v>5485351.0967878737</v>
      </c>
      <c r="U211" s="40">
        <f t="shared" si="43"/>
        <v>5586064.8242791863</v>
      </c>
      <c r="V211" s="40">
        <f t="shared" si="43"/>
        <v>5688792.826320325</v>
      </c>
      <c r="W211" s="40">
        <f>SUM(W202:W209)</f>
        <v>5793575.3884022869</v>
      </c>
    </row>
    <row r="212" spans="1:23" x14ac:dyDescent="0.25">
      <c r="D212" s="40"/>
      <c r="E212" s="40"/>
      <c r="F212" s="40"/>
      <c r="G212" s="40"/>
      <c r="H212" s="40"/>
      <c r="I212" s="40"/>
      <c r="J212" s="40"/>
      <c r="K212" s="40"/>
      <c r="L212" s="40"/>
      <c r="M212" s="41"/>
      <c r="N212" s="3"/>
      <c r="O212" s="40"/>
      <c r="P212" s="40"/>
      <c r="Q212" s="40"/>
      <c r="R212" s="40"/>
      <c r="S212" s="40"/>
      <c r="T212" s="40"/>
      <c r="U212" s="40"/>
      <c r="V212" s="40"/>
      <c r="W212" s="40"/>
    </row>
    <row r="213" spans="1:23" ht="14.4" thickBot="1" x14ac:dyDescent="0.3">
      <c r="B213" s="3" t="s">
        <v>95</v>
      </c>
      <c r="D213" s="40"/>
      <c r="E213" s="40"/>
      <c r="F213" s="40"/>
      <c r="G213" s="40"/>
      <c r="H213" s="40"/>
      <c r="I213" s="40"/>
      <c r="J213" s="40"/>
      <c r="K213" s="40"/>
      <c r="L213" s="40"/>
      <c r="M213" s="41"/>
      <c r="N213" s="3"/>
      <c r="O213" s="40"/>
      <c r="P213" s="40"/>
      <c r="Q213" s="40"/>
      <c r="R213" s="40"/>
      <c r="S213" s="40"/>
      <c r="T213" s="40"/>
      <c r="U213" s="40"/>
      <c r="V213" s="40"/>
      <c r="W213" s="40"/>
    </row>
    <row r="214" spans="1:23" x14ac:dyDescent="0.25">
      <c r="B214" s="75" t="s">
        <v>102</v>
      </c>
      <c r="D214" s="97">
        <v>2021</v>
      </c>
      <c r="E214" s="97">
        <v>2022</v>
      </c>
      <c r="F214" s="97">
        <v>2023</v>
      </c>
      <c r="G214" s="97">
        <v>2024</v>
      </c>
      <c r="H214" s="97">
        <v>2025</v>
      </c>
      <c r="I214" s="97">
        <v>2026</v>
      </c>
      <c r="J214" s="97">
        <v>2027</v>
      </c>
      <c r="K214" s="97">
        <v>2028</v>
      </c>
      <c r="L214" s="97">
        <v>2029</v>
      </c>
      <c r="M214" s="97">
        <v>2030</v>
      </c>
      <c r="N214" s="97">
        <v>2031</v>
      </c>
      <c r="O214" s="97">
        <v>2032</v>
      </c>
      <c r="P214" s="97">
        <v>2033</v>
      </c>
      <c r="Q214" s="97">
        <v>2034</v>
      </c>
      <c r="R214" s="97">
        <v>2035</v>
      </c>
      <c r="S214" s="97">
        <v>2036</v>
      </c>
      <c r="T214" s="97">
        <v>2037</v>
      </c>
      <c r="U214" s="97">
        <v>2038</v>
      </c>
      <c r="V214" s="97">
        <v>2039</v>
      </c>
      <c r="W214" s="97">
        <v>2040</v>
      </c>
    </row>
    <row r="215" spans="1:23" x14ac:dyDescent="0.25">
      <c r="B215" s="50" t="s">
        <v>115</v>
      </c>
      <c r="D215" s="42">
        <f>SUM(D148:D189)</f>
        <v>1676114.912698413</v>
      </c>
      <c r="E215" s="42">
        <f t="shared" ref="E215:W215" si="44">SUM(E148:E189)</f>
        <v>1442274.4126984125</v>
      </c>
      <c r="F215" s="42">
        <f t="shared" si="44"/>
        <v>1435181.5555555555</v>
      </c>
      <c r="G215" s="42">
        <f t="shared" si="44"/>
        <v>1301780.7777777778</v>
      </c>
      <c r="H215" s="42">
        <f t="shared" si="44"/>
        <v>1131886.1666666667</v>
      </c>
      <c r="I215" s="42">
        <f t="shared" si="44"/>
        <v>898045.66666666674</v>
      </c>
      <c r="J215" s="42">
        <f t="shared" si="44"/>
        <v>697944.49999999988</v>
      </c>
      <c r="K215" s="42">
        <f t="shared" si="44"/>
        <v>564543.72222222225</v>
      </c>
      <c r="L215" s="42">
        <f t="shared" si="44"/>
        <v>564543.72222222225</v>
      </c>
      <c r="M215" s="42">
        <f t="shared" si="44"/>
        <v>564543.72222222225</v>
      </c>
      <c r="N215" s="42">
        <f t="shared" si="44"/>
        <v>449664.72222222225</v>
      </c>
      <c r="O215" s="42">
        <f t="shared" si="44"/>
        <v>449664.72222222225</v>
      </c>
      <c r="P215" s="42">
        <f t="shared" si="44"/>
        <v>449664.72222222225</v>
      </c>
      <c r="Q215" s="42">
        <f t="shared" si="44"/>
        <v>449664.72222222225</v>
      </c>
      <c r="R215" s="42">
        <f t="shared" si="44"/>
        <v>449664.72222222225</v>
      </c>
      <c r="S215" s="42">
        <f t="shared" si="44"/>
        <v>449664.72222222225</v>
      </c>
      <c r="T215" s="42">
        <f t="shared" si="44"/>
        <v>449664.72222222225</v>
      </c>
      <c r="U215" s="42">
        <f t="shared" si="44"/>
        <v>449664.72222222225</v>
      </c>
      <c r="V215" s="42">
        <f t="shared" si="44"/>
        <v>449664.72222222225</v>
      </c>
      <c r="W215" s="42">
        <f t="shared" si="44"/>
        <v>449664.72222222225</v>
      </c>
    </row>
    <row r="216" spans="1:23" x14ac:dyDescent="0.25">
      <c r="B216" s="50" t="s">
        <v>116</v>
      </c>
      <c r="D216" s="42">
        <f>SUM(D190:D197)</f>
        <v>229157.0126984127</v>
      </c>
      <c r="E216" s="42">
        <f t="shared" ref="E216:W216" si="45">SUM(E190:E197)</f>
        <v>637963.21923809522</v>
      </c>
      <c r="F216" s="42">
        <f t="shared" si="45"/>
        <v>968371.73566285719</v>
      </c>
      <c r="G216" s="42">
        <f t="shared" si="45"/>
        <v>1372488.3980917714</v>
      </c>
      <c r="H216" s="42">
        <f t="shared" si="45"/>
        <v>1867562.5837261372</v>
      </c>
      <c r="I216" s="42">
        <f t="shared" si="45"/>
        <v>2416100.5011003255</v>
      </c>
      <c r="J216" s="42">
        <f t="shared" si="45"/>
        <v>2947836.9408849701</v>
      </c>
      <c r="K216" s="42">
        <f t="shared" si="45"/>
        <v>3423258.6173172593</v>
      </c>
      <c r="L216" s="42">
        <f t="shared" si="45"/>
        <v>3760217.7533141556</v>
      </c>
      <c r="M216" s="42">
        <f t="shared" si="45"/>
        <v>4109285.9513040003</v>
      </c>
      <c r="N216" s="42">
        <f t="shared" si="45"/>
        <v>4471545.3902792353</v>
      </c>
      <c r="O216" s="42">
        <f t="shared" si="45"/>
        <v>4560976.2980848197</v>
      </c>
      <c r="P216" s="42">
        <f t="shared" si="45"/>
        <v>4652195.8240465177</v>
      </c>
      <c r="Q216" s="42">
        <f t="shared" si="45"/>
        <v>4745239.7405274473</v>
      </c>
      <c r="R216" s="42">
        <f t="shared" si="45"/>
        <v>4840144.5353379967</v>
      </c>
      <c r="S216" s="42">
        <f t="shared" si="45"/>
        <v>4936947.4260447547</v>
      </c>
      <c r="T216" s="42">
        <f t="shared" si="45"/>
        <v>5035686.3745656516</v>
      </c>
      <c r="U216" s="42">
        <f t="shared" si="45"/>
        <v>5136400.1020569643</v>
      </c>
      <c r="V216" s="42">
        <f t="shared" si="45"/>
        <v>5239128.104098103</v>
      </c>
      <c r="W216" s="42">
        <f t="shared" si="45"/>
        <v>5343910.666180064</v>
      </c>
    </row>
    <row r="217" spans="1:23" x14ac:dyDescent="0.25">
      <c r="D217" s="3"/>
      <c r="E217" s="3"/>
      <c r="F217" s="3"/>
      <c r="G217" s="3"/>
      <c r="H217" s="3"/>
      <c r="I217" s="3"/>
      <c r="J217" s="3"/>
      <c r="K217" s="3"/>
      <c r="L217" s="3"/>
      <c r="M217" s="3"/>
      <c r="N217" s="3"/>
      <c r="O217" s="3"/>
      <c r="P217" s="3"/>
      <c r="Q217" s="3"/>
      <c r="R217" s="3"/>
      <c r="S217" s="3"/>
      <c r="T217" s="3"/>
      <c r="U217" s="3"/>
      <c r="V217" s="3"/>
      <c r="W217" s="3"/>
    </row>
    <row r="218" spans="1:23" x14ac:dyDescent="0.25">
      <c r="D218" s="39">
        <f>SUM(D215:D216)</f>
        <v>1905271.9253968257</v>
      </c>
      <c r="E218" s="39">
        <f t="shared" ref="E218:W218" si="46">SUM(E215:E216)</f>
        <v>2080237.6319365078</v>
      </c>
      <c r="F218" s="39">
        <f t="shared" si="46"/>
        <v>2403553.2912184126</v>
      </c>
      <c r="G218" s="39">
        <f t="shared" si="46"/>
        <v>2674269.1758695492</v>
      </c>
      <c r="H218" s="39">
        <f t="shared" si="46"/>
        <v>2999448.7503928039</v>
      </c>
      <c r="I218" s="39">
        <f t="shared" si="46"/>
        <v>3314146.167766992</v>
      </c>
      <c r="J218" s="39">
        <f t="shared" si="46"/>
        <v>3645781.4408849701</v>
      </c>
      <c r="K218" s="39">
        <f t="shared" si="46"/>
        <v>3987802.3395394813</v>
      </c>
      <c r="L218" s="39">
        <f t="shared" si="46"/>
        <v>4324761.4755363781</v>
      </c>
      <c r="M218" s="39">
        <f t="shared" si="46"/>
        <v>4673829.6735262228</v>
      </c>
      <c r="N218" s="39">
        <f t="shared" si="46"/>
        <v>4921210.1125014573</v>
      </c>
      <c r="O218" s="39">
        <f t="shared" si="46"/>
        <v>5010641.0203070417</v>
      </c>
      <c r="P218" s="39">
        <f t="shared" si="46"/>
        <v>5101860.5462687397</v>
      </c>
      <c r="Q218" s="39">
        <f t="shared" si="46"/>
        <v>5194904.4627496693</v>
      </c>
      <c r="R218" s="39">
        <f t="shared" si="46"/>
        <v>5289809.2575602187</v>
      </c>
      <c r="S218" s="39">
        <f t="shared" si="46"/>
        <v>5386612.1482669767</v>
      </c>
      <c r="T218" s="39">
        <f t="shared" si="46"/>
        <v>5485351.0967878737</v>
      </c>
      <c r="U218" s="39">
        <f t="shared" si="46"/>
        <v>5586064.8242791863</v>
      </c>
      <c r="V218" s="39">
        <f t="shared" si="46"/>
        <v>5688792.826320325</v>
      </c>
      <c r="W218" s="39">
        <f t="shared" si="46"/>
        <v>5793575.388402286</v>
      </c>
    </row>
    <row r="220" spans="1:23" ht="14.4" x14ac:dyDescent="0.3">
      <c r="A220" s="118" t="s">
        <v>160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A940-A8DC-4741-BD33-9BB4DD47FF64}">
  <sheetPr codeName="Sheet23">
    <tabColor rgb="FF00B050"/>
  </sheetPr>
  <dimension ref="A1:Y15"/>
  <sheetViews>
    <sheetView zoomScaleNormal="100" workbookViewId="0">
      <selection activeCell="M61" sqref="M61"/>
    </sheetView>
  </sheetViews>
  <sheetFormatPr defaultRowHeight="13.8" x14ac:dyDescent="0.25"/>
  <cols>
    <col min="1" max="1" width="51.77734375" style="3" customWidth="1"/>
    <col min="2" max="2" width="13.109375" style="3" bestFit="1" customWidth="1"/>
    <col min="3" max="3" width="12.44140625" style="3" bestFit="1" customWidth="1"/>
    <col min="4" max="5" width="11.33203125" style="3" bestFit="1" customWidth="1"/>
    <col min="6" max="21" width="9.44140625" style="3" customWidth="1"/>
    <col min="22" max="16384" width="8.88671875" style="3"/>
  </cols>
  <sheetData>
    <row r="1" spans="1:25" s="12" customFormat="1" ht="27.6" x14ac:dyDescent="0.25">
      <c r="A1" s="44" t="s">
        <v>102</v>
      </c>
      <c r="B1" s="44" t="s">
        <v>149</v>
      </c>
      <c r="C1" s="102" t="s">
        <v>150</v>
      </c>
      <c r="D1" s="97"/>
      <c r="E1" s="98"/>
      <c r="F1" s="97"/>
      <c r="G1" s="98"/>
      <c r="H1" s="97"/>
      <c r="I1" s="98"/>
      <c r="J1" s="97"/>
      <c r="K1" s="98"/>
      <c r="L1" s="97"/>
      <c r="M1" s="98"/>
      <c r="N1" s="97"/>
      <c r="O1" s="98"/>
      <c r="P1" s="97"/>
      <c r="Q1" s="98"/>
      <c r="R1" s="97"/>
      <c r="S1" s="98"/>
      <c r="T1" s="97"/>
      <c r="U1" s="98"/>
      <c r="V1" s="97"/>
      <c r="W1" s="98"/>
      <c r="X1" s="99"/>
      <c r="Y1" s="61"/>
    </row>
    <row r="2" spans="1:25" x14ac:dyDescent="0.25">
      <c r="A2" s="47" t="s">
        <v>59</v>
      </c>
      <c r="B2" s="175">
        <f>IFERROR((SUMIF(Current_DTE!$B$2:$B$48,Minutes_by_use_case!A2,Current_DTE!$Y$2:$Y$48)/COUNTIFS(Current_DTE!$B$2:$B$48,Minutes_by_use_case!A2,Current_DTE!$Y$2:$Y$48,"*"))*60,"-")</f>
        <v>171572.29579277776</v>
      </c>
      <c r="C2" s="42">
        <f>IFERROR((SUMIF(Current_SR!$B$2:$B$49,Minutes_by_use_case!A2,Current_SR!$P$2:$P$49)/COUNTIFS(Current_SR!$B$2:$B$43,Minutes_by_use_case!A2)),"-")</f>
        <v>114879</v>
      </c>
    </row>
    <row r="3" spans="1:25" x14ac:dyDescent="0.25">
      <c r="A3" s="47" t="s">
        <v>57</v>
      </c>
      <c r="B3" s="175">
        <f>IFERROR((SUMIF(Current_DTE!$B$2:$B$48,Minutes_by_use_case!A3,Current_DTE!$Y$2:$Y$48)/COUNTIFS(Current_DTE!$B$2:$B$48,Minutes_by_use_case!A3,Current_DTE!$Y$2:$Y$48,"*"))*60,"-")</f>
        <v>133409.35004928565</v>
      </c>
      <c r="C3" s="42">
        <f>IFERROR((SUMIF(Current_SR!$B$2:$B$49,Minutes_by_use_case!A3,Current_SR!$P$2:$P$49)/COUNTIFS(Current_SR!$B$2:$B$43,Minutes_by_use_case!A3)),"-")</f>
        <v>66700.388888888891</v>
      </c>
      <c r="E3" s="103"/>
    </row>
    <row r="4" spans="1:25" x14ac:dyDescent="0.25">
      <c r="A4" s="47" t="s">
        <v>56</v>
      </c>
      <c r="B4" s="175">
        <f>IFERROR((SUMIF(Current_DTE!$B$2:$B$48,Minutes_by_use_case!A4,Current_DTE!$Y$2:$Y$48)/COUNTIFS(Current_DTE!$B$2:$B$48,Minutes_by_use_case!A4,Current_DTE!$Y$2:$Y$48,"*"))*60,"-")</f>
        <v>2140.4341038095235</v>
      </c>
      <c r="C4" s="42">
        <f>IFERROR((SUMIF(Current_SR!$B$2:$B$49,Minutes_by_use_case!A4,Current_SR!$P$2:$P$49)/COUNTIFS(Current_SR!$B$2:$B$43,Minutes_by_use_case!A4)),"-")</f>
        <v>2364.2857142857142</v>
      </c>
    </row>
    <row r="5" spans="1:25" x14ac:dyDescent="0.25">
      <c r="A5" s="47" t="s">
        <v>100</v>
      </c>
      <c r="B5" s="175" t="str">
        <f>IFERROR((SUMIF(Current_DTE!$B$2:$B$48,Minutes_by_use_case!A5,Current_DTE!$Y$2:$Y$48)/COUNTIFS(Current_DTE!$B$2:$B$48,Minutes_by_use_case!A5,Current_DTE!$Y$2:$Y$48,"*"))*60,"-")</f>
        <v>-</v>
      </c>
      <c r="C5" s="42" t="str">
        <f>IFERROR((SUMIF(Current_SR!$B$2:$B$49,Minutes_by_use_case!A5,Current_SR!$P$2:$P$49)/COUNTIFS(Current_SR!$B$2:$B$43,Minutes_by_use_case!A5)),"-")</f>
        <v>-</v>
      </c>
    </row>
    <row r="6" spans="1:25" x14ac:dyDescent="0.25">
      <c r="A6" s="47" t="s">
        <v>60</v>
      </c>
      <c r="B6" s="175">
        <f>IFERROR((SUMIF(Current_DTE!$B$2:$B$48,Minutes_by_use_case!A6,Current_DTE!$Y$2:$Y$48)/COUNTIFS(Current_DTE!$B$2:$B$48,Minutes_by_use_case!A6,Current_DTE!$Y$2:$Y$48,"*"))*60,"-")</f>
        <v>0</v>
      </c>
      <c r="C6" s="42">
        <f>IFERROR((SUMIF(Current_SR!$B$2:$B$49,Minutes_by_use_case!A6,Current_SR!$P$2:$P$49)/COUNTIFS(Current_SR!$B$2:$B$43,Minutes_by_use_case!A6)),"-")</f>
        <v>460.5</v>
      </c>
    </row>
    <row r="7" spans="1:25" x14ac:dyDescent="0.25">
      <c r="A7" s="47" t="s">
        <v>101</v>
      </c>
      <c r="B7" s="175" t="str">
        <f>IFERROR((SUMIF(Current_DTE!$B$2:$B$48,Minutes_by_use_case!A7,Current_DTE!$Y$2:$Y$48)/COUNTIFS(Current_DTE!$B$2:$B$48,Minutes_by_use_case!A7,Current_DTE!$Y$2:$Y$48,"*"))*60,"-")</f>
        <v>-</v>
      </c>
      <c r="C7" s="42" t="str">
        <f>IFERROR((SUMIF(Current_SR!$B$2:$B$49,Minutes_by_use_case!A7,Current_SR!$P$2:$P$49)/COUNTIFS(Current_SR!$B$2:$B$43,Minutes_by_use_case!A7)),"-")</f>
        <v>-</v>
      </c>
    </row>
    <row r="8" spans="1:25" x14ac:dyDescent="0.25">
      <c r="A8" s="47" t="s">
        <v>58</v>
      </c>
      <c r="B8" s="175">
        <f>IFERROR((SUMIF(Current_DTE!$B$2:$B$48,Minutes_by_use_case!A8,Current_DTE!$Y$2:$Y$48)/COUNTIFS(Current_DTE!$B$2:$B$48,Minutes_by_use_case!A8,Current_DTE!$Y$2:$Y$48,"*"))*60,"-")</f>
        <v>721.11352444444435</v>
      </c>
      <c r="C8" s="42">
        <f>IFERROR((SUMIF(Current_SR!$B$2:$B$49,Minutes_by_use_case!A8,Current_SR!$P$2:$P$49)/COUNTIFS(Current_SR!$B$2:$B$43,Minutes_by_use_case!A8)),"-")</f>
        <v>2294</v>
      </c>
    </row>
    <row r="9" spans="1:25" x14ac:dyDescent="0.25">
      <c r="A9" s="47" t="s">
        <v>61</v>
      </c>
      <c r="B9" s="175">
        <f>IFERROR((SUMIF(Current_DTE!$B$2:$B$48,Minutes_by_use_case!A9,Current_DTE!$Y$2:$Y$48)/COUNTIFS(Current_DTE!$B$2:$B$48,Minutes_by_use_case!A9,Current_DTE!$Y$2:$Y$48,"*"))*60,"-")</f>
        <v>89453.837836666688</v>
      </c>
      <c r="C9" s="42">
        <f>IFERROR((SUMIF(Current_SR!$B$2:$B$49,Minutes_by_use_case!A9,Current_SR!$P$2:$P$49)/COUNTIFS(Current_SR!$B$2:$B$43,Minutes_by_use_case!A9)),"-")</f>
        <v>33739.333333333336</v>
      </c>
    </row>
    <row r="10" spans="1:25" x14ac:dyDescent="0.25">
      <c r="A10" s="104"/>
      <c r="B10" s="104"/>
      <c r="C10" s="104"/>
    </row>
    <row r="11" spans="1:25" x14ac:dyDescent="0.25">
      <c r="A11" s="101" t="s">
        <v>104</v>
      </c>
      <c r="B11" s="175">
        <f>SUM(B2:B9)</f>
        <v>397297.03130698408</v>
      </c>
      <c r="C11" s="175">
        <f>SUM(C2:C9)</f>
        <v>220437.50793650793</v>
      </c>
    </row>
    <row r="13" spans="1:25" ht="14.4" x14ac:dyDescent="0.3">
      <c r="A13" s="118" t="s">
        <v>157</v>
      </c>
    </row>
    <row r="14" spans="1:25" ht="14.4" x14ac:dyDescent="0.3">
      <c r="A14" s="118" t="s">
        <v>141</v>
      </c>
    </row>
    <row r="15" spans="1:25" ht="14.4" x14ac:dyDescent="0.3">
      <c r="A15" s="118" t="s">
        <v>158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63BD-AC38-4CFB-B42E-18B750A3C08A}">
  <sheetPr codeName="Sheet12">
    <tabColor rgb="FFFFC000"/>
  </sheetPr>
  <dimension ref="A1:X33"/>
  <sheetViews>
    <sheetView zoomScale="70" zoomScaleNormal="70" workbookViewId="0">
      <selection activeCell="Q52" sqref="Q52"/>
    </sheetView>
  </sheetViews>
  <sheetFormatPr defaultRowHeight="14.4" x14ac:dyDescent="0.3"/>
  <cols>
    <col min="1" max="1" width="29.33203125" style="1" customWidth="1"/>
    <col min="2" max="2" width="7.5546875" style="13" bestFit="1" customWidth="1"/>
    <col min="3" max="3" width="15.5546875" style="1" bestFit="1" customWidth="1"/>
    <col min="4" max="20" width="13.77734375" style="1" bestFit="1" customWidth="1"/>
    <col min="21" max="21" width="13.77734375" bestFit="1" customWidth="1"/>
    <col min="22" max="22" width="13.77734375" style="1" bestFit="1" customWidth="1"/>
    <col min="23" max="23" width="8.88671875" style="13"/>
    <col min="24" max="24" width="20.77734375" style="1" bestFit="1" customWidth="1"/>
    <col min="25" max="16384" width="8.88671875" style="1"/>
  </cols>
  <sheetData>
    <row r="1" spans="1:24" x14ac:dyDescent="0.3">
      <c r="A1" s="44" t="s">
        <v>190</v>
      </c>
      <c r="B1" s="44"/>
      <c r="C1" s="98">
        <v>2024</v>
      </c>
      <c r="D1" s="97">
        <v>2025</v>
      </c>
      <c r="E1" s="98">
        <v>2026</v>
      </c>
      <c r="F1" s="97">
        <v>2027</v>
      </c>
      <c r="G1" s="98">
        <v>2028</v>
      </c>
      <c r="H1" s="97">
        <v>2029</v>
      </c>
      <c r="I1" s="98">
        <v>2030</v>
      </c>
      <c r="J1" s="97">
        <v>2031</v>
      </c>
      <c r="K1" s="98">
        <v>2032</v>
      </c>
      <c r="L1" s="97">
        <v>2033</v>
      </c>
      <c r="M1" s="98">
        <v>2034</v>
      </c>
      <c r="N1" s="97">
        <v>2035</v>
      </c>
      <c r="O1" s="98">
        <v>2036</v>
      </c>
      <c r="P1" s="97">
        <v>2037</v>
      </c>
      <c r="Q1" s="98">
        <v>2038</v>
      </c>
      <c r="R1" s="97">
        <v>2039</v>
      </c>
      <c r="S1" s="98">
        <v>2040</v>
      </c>
      <c r="T1" s="97">
        <v>2041</v>
      </c>
      <c r="U1" s="98">
        <v>2042</v>
      </c>
      <c r="V1" s="97">
        <v>2043</v>
      </c>
      <c r="W1"/>
      <c r="X1" s="98" t="s">
        <v>195</v>
      </c>
    </row>
    <row r="2" spans="1:24" x14ac:dyDescent="0.3">
      <c r="A2" s="152" t="s">
        <v>165</v>
      </c>
      <c r="B2" s="152" t="s">
        <v>181</v>
      </c>
      <c r="C2" s="153">
        <f>Settings!E40</f>
        <v>100000000</v>
      </c>
      <c r="D2" s="153"/>
      <c r="E2" s="154"/>
      <c r="F2" s="154"/>
      <c r="G2" s="154"/>
      <c r="H2" s="154"/>
      <c r="I2" s="154"/>
      <c r="J2" s="154"/>
      <c r="K2" s="154"/>
      <c r="L2" s="154"/>
      <c r="M2" s="154"/>
      <c r="N2" s="154"/>
      <c r="O2" s="154"/>
      <c r="P2" s="154"/>
      <c r="Q2" s="154"/>
      <c r="R2" s="154"/>
      <c r="S2" s="154"/>
      <c r="T2" s="154"/>
      <c r="U2" s="154"/>
      <c r="V2" s="154"/>
      <c r="X2" s="153">
        <f>SUM(C2:V2)</f>
        <v>100000000</v>
      </c>
    </row>
    <row r="3" spans="1:24" x14ac:dyDescent="0.3">
      <c r="A3" s="152" t="s">
        <v>166</v>
      </c>
      <c r="B3" s="152" t="s">
        <v>181</v>
      </c>
      <c r="C3" s="153">
        <f>Settings!E41</f>
        <v>1000000</v>
      </c>
      <c r="D3" s="154"/>
      <c r="E3" s="154"/>
      <c r="F3" s="154"/>
      <c r="G3" s="154"/>
      <c r="H3" s="154"/>
      <c r="I3" s="154"/>
      <c r="J3" s="154"/>
      <c r="K3" s="154"/>
      <c r="L3" s="154"/>
      <c r="M3" s="154"/>
      <c r="N3" s="154"/>
      <c r="O3" s="154"/>
      <c r="P3" s="154"/>
      <c r="Q3" s="154"/>
      <c r="R3" s="154"/>
      <c r="S3" s="154"/>
      <c r="T3" s="154"/>
      <c r="U3" s="154"/>
      <c r="V3" s="154"/>
      <c r="X3" s="153">
        <f t="shared" ref="X3:X13" si="0">SUM(C3:V3)</f>
        <v>1000000</v>
      </c>
    </row>
    <row r="4" spans="1:24" x14ac:dyDescent="0.3">
      <c r="A4" s="155" t="s">
        <v>167</v>
      </c>
      <c r="B4" s="152" t="s">
        <v>181</v>
      </c>
      <c r="C4" s="153">
        <f>Settings!E42</f>
        <v>1000000</v>
      </c>
      <c r="D4" s="154"/>
      <c r="E4" s="154"/>
      <c r="F4" s="154"/>
      <c r="G4" s="154"/>
      <c r="H4" s="154"/>
      <c r="I4" s="154"/>
      <c r="J4" s="154"/>
      <c r="K4" s="154"/>
      <c r="L4" s="154"/>
      <c r="M4" s="154"/>
      <c r="N4" s="154"/>
      <c r="O4" s="154"/>
      <c r="P4" s="154"/>
      <c r="Q4" s="154"/>
      <c r="R4" s="154"/>
      <c r="S4" s="154"/>
      <c r="T4" s="154"/>
      <c r="U4" s="154"/>
      <c r="V4" s="154"/>
      <c r="X4" s="153">
        <f t="shared" si="0"/>
        <v>1000000</v>
      </c>
    </row>
    <row r="5" spans="1:24" x14ac:dyDescent="0.3">
      <c r="A5" s="156" t="s">
        <v>168</v>
      </c>
      <c r="B5" s="152" t="s">
        <v>181</v>
      </c>
      <c r="C5" s="153">
        <f>Settings!E43</f>
        <v>67500</v>
      </c>
      <c r="D5" s="154"/>
      <c r="E5" s="154"/>
      <c r="F5" s="154"/>
      <c r="G5" s="154"/>
      <c r="H5" s="154"/>
      <c r="I5" s="154"/>
      <c r="J5" s="154"/>
      <c r="K5" s="154"/>
      <c r="L5" s="154"/>
      <c r="M5" s="154"/>
      <c r="N5" s="154"/>
      <c r="O5" s="154"/>
      <c r="P5" s="154"/>
      <c r="Q5" s="154"/>
      <c r="R5" s="154"/>
      <c r="S5" s="154"/>
      <c r="T5" s="154"/>
      <c r="U5" s="154"/>
      <c r="V5" s="154"/>
      <c r="X5" s="153">
        <f t="shared" si="0"/>
        <v>67500</v>
      </c>
    </row>
    <row r="6" spans="1:24" x14ac:dyDescent="0.3">
      <c r="A6" s="156" t="s">
        <v>169</v>
      </c>
      <c r="B6" s="152" t="s">
        <v>181</v>
      </c>
      <c r="C6" s="153">
        <f>Settings!E44</f>
        <v>200000</v>
      </c>
      <c r="D6" s="154"/>
      <c r="E6" s="154"/>
      <c r="F6" s="154"/>
      <c r="G6" s="154"/>
      <c r="H6" s="154"/>
      <c r="I6" s="154"/>
      <c r="J6" s="154"/>
      <c r="K6" s="154"/>
      <c r="L6" s="154"/>
      <c r="M6" s="154"/>
      <c r="N6" s="154"/>
      <c r="O6" s="154"/>
      <c r="P6" s="154"/>
      <c r="Q6" s="154"/>
      <c r="R6" s="154"/>
      <c r="S6" s="154"/>
      <c r="T6" s="154"/>
      <c r="U6" s="154"/>
      <c r="V6" s="154"/>
      <c r="X6" s="153">
        <f t="shared" si="0"/>
        <v>200000</v>
      </c>
    </row>
    <row r="7" spans="1:24" s="13" customFormat="1" x14ac:dyDescent="0.3">
      <c r="A7" s="156" t="s">
        <v>215</v>
      </c>
      <c r="B7" s="152" t="s">
        <v>181</v>
      </c>
      <c r="C7" s="153">
        <f>Settings!E45</f>
        <v>3500000</v>
      </c>
      <c r="D7" s="154"/>
      <c r="E7" s="154"/>
      <c r="F7" s="154"/>
      <c r="G7" s="154"/>
      <c r="H7" s="154"/>
      <c r="I7" s="154"/>
      <c r="J7" s="154"/>
      <c r="K7" s="154"/>
      <c r="L7" s="154"/>
      <c r="M7" s="154"/>
      <c r="N7" s="154"/>
      <c r="O7" s="154"/>
      <c r="P7" s="154"/>
      <c r="Q7" s="154"/>
      <c r="R7" s="154"/>
      <c r="S7" s="154"/>
      <c r="T7" s="154"/>
      <c r="U7" s="154"/>
      <c r="V7" s="154"/>
      <c r="X7" s="153">
        <f t="shared" si="0"/>
        <v>3500000</v>
      </c>
    </row>
    <row r="8" spans="1:24" x14ac:dyDescent="0.3">
      <c r="A8" s="156" t="s">
        <v>172</v>
      </c>
      <c r="B8" s="152" t="s">
        <v>184</v>
      </c>
      <c r="C8" s="153">
        <f>Settings!E46</f>
        <v>1000000</v>
      </c>
      <c r="D8" s="153">
        <f>Settings!$E$46/POWER(1+(Settings!$B$52/100),D1-2024)</f>
        <v>970873.78640776698</v>
      </c>
      <c r="E8" s="153">
        <f>Settings!$E$46/POWER(1+(Settings!$B$52/100),E1-2024)</f>
        <v>942595.90913375444</v>
      </c>
      <c r="F8" s="153">
        <f>Settings!$E$46/POWER(1+(Settings!$B$52/100),F1-2024)</f>
        <v>915141.6593531596</v>
      </c>
      <c r="G8" s="153">
        <f>Settings!$E$46/POWER(1+(Settings!$B$52/100),G1-2024)</f>
        <v>888487.04791568895</v>
      </c>
      <c r="H8" s="153">
        <f>Settings!$E$46/POWER(1+(Settings!$B$52/100),H1-2024)</f>
        <v>862608.78438416414</v>
      </c>
      <c r="I8" s="153">
        <f>Settings!$E$46/POWER(1+(Settings!$B$52/100),I1-2024)</f>
        <v>837484.25668365438</v>
      </c>
      <c r="J8" s="153">
        <f>Settings!$E$46/POWER(1+(Settings!$B$52/100),J1-2024)</f>
        <v>813091.51134335378</v>
      </c>
      <c r="K8" s="153">
        <f>Settings!$E$46/POWER(1+(Settings!$B$52/100),K1-2024)</f>
        <v>789409.23431393574</v>
      </c>
      <c r="L8" s="153">
        <f>Settings!$E$46/POWER(1+(Settings!$B$52/100),L1-2024)</f>
        <v>766416.73234362691</v>
      </c>
      <c r="M8" s="153">
        <f>Settings!$E$46/POWER(1+(Settings!$B$52/100),M1-2024)</f>
        <v>744093.91489672521</v>
      </c>
      <c r="N8" s="153">
        <f>Settings!$E$46/POWER(1+(Settings!$B$52/100),N1-2024)</f>
        <v>722421.27659876226</v>
      </c>
      <c r="O8" s="153">
        <f>Settings!$E$46/POWER(1+(Settings!$B$52/100),O1-2024)</f>
        <v>701379.88019297319</v>
      </c>
      <c r="P8" s="153">
        <f>Settings!$E$46/POWER(1+(Settings!$B$52/100),P1-2024)</f>
        <v>680951.33999317791</v>
      </c>
      <c r="Q8" s="153">
        <f>Settings!$E$46/POWER(1+(Settings!$B$52/100),Q1-2024)</f>
        <v>661117.80581861921</v>
      </c>
      <c r="R8" s="153">
        <f>Settings!$E$46/POWER(1+(Settings!$B$52/100),R1-2024)</f>
        <v>641861.94739671773</v>
      </c>
      <c r="S8" s="153">
        <f>Settings!$E$46/POWER(1+(Settings!$B$52/100),S1-2024)</f>
        <v>623166.93922011438</v>
      </c>
      <c r="T8" s="153">
        <f>Settings!$E$46/POWER(1+(Settings!$B$52/100),T1-2024)</f>
        <v>605016.44584477122</v>
      </c>
      <c r="U8" s="153">
        <f>Settings!$E$46/POWER(1+(Settings!$B$52/100),U1-2024)</f>
        <v>587394.60761628277</v>
      </c>
      <c r="V8" s="153">
        <f>Settings!$E$46/POWER(1+(Settings!$B$52/100),V1-2024)</f>
        <v>570286.026811925</v>
      </c>
      <c r="X8" s="153">
        <f t="shared" si="0"/>
        <v>15323799.106269173</v>
      </c>
    </row>
    <row r="9" spans="1:24" x14ac:dyDescent="0.3">
      <c r="A9" s="156" t="s">
        <v>173</v>
      </c>
      <c r="B9" s="152" t="s">
        <v>184</v>
      </c>
      <c r="C9" s="153">
        <f>Settings!E47</f>
        <v>7500</v>
      </c>
      <c r="D9" s="153">
        <f>Settings!$E$47/POWER(1+(Settings!$B$52/100),D1-2024)</f>
        <v>7281.5533980582522</v>
      </c>
      <c r="E9" s="153">
        <f>Settings!$E$47/POWER(1+(Settings!$B$52/100),E1-2024)</f>
        <v>7069.4693185031583</v>
      </c>
      <c r="F9" s="153">
        <f>Settings!$E$47/POWER(1+(Settings!$B$52/100),F1-2024)</f>
        <v>6863.5624451486965</v>
      </c>
      <c r="G9" s="153">
        <f>Settings!$E$47/POWER(1+(Settings!$B$52/100),G1-2024)</f>
        <v>6663.6528593676676</v>
      </c>
      <c r="H9" s="153">
        <f>Settings!$E$47/POWER(1+(Settings!$B$52/100),H1-2024)</f>
        <v>6469.5658828812311</v>
      </c>
      <c r="I9" s="153">
        <f>Settings!$E$47/POWER(1+(Settings!$B$52/100),I1-2024)</f>
        <v>6281.1319251274081</v>
      </c>
      <c r="J9" s="153">
        <f>Settings!$E$47/POWER(1+(Settings!$B$52/100),J1-2024)</f>
        <v>6098.1863350751528</v>
      </c>
      <c r="K9" s="153">
        <f>Settings!$E$47/POWER(1+(Settings!$B$52/100),K1-2024)</f>
        <v>5920.5692573545184</v>
      </c>
      <c r="L9" s="153">
        <f>Settings!$E$47/POWER(1+(Settings!$B$52/100),L1-2024)</f>
        <v>5748.1254925772018</v>
      </c>
      <c r="M9" s="153">
        <f>Settings!$E$47/POWER(1+(Settings!$B$52/100),M1-2024)</f>
        <v>5580.7043617254385</v>
      </c>
      <c r="N9" s="153">
        <f>Settings!$E$47/POWER(1+(Settings!$B$52/100),N1-2024)</f>
        <v>5418.1595744907172</v>
      </c>
      <c r="O9" s="153">
        <f>Settings!$E$47/POWER(1+(Settings!$B$52/100),O1-2024)</f>
        <v>5260.3491014472993</v>
      </c>
      <c r="P9" s="153">
        <f>Settings!$E$47/POWER(1+(Settings!$B$52/100),P1-2024)</f>
        <v>5107.1350499488344</v>
      </c>
      <c r="Q9" s="153">
        <f>Settings!$E$47/POWER(1+(Settings!$B$52/100),Q1-2024)</f>
        <v>4958.3835436396448</v>
      </c>
      <c r="R9" s="153">
        <f>Settings!$E$47/POWER(1+(Settings!$B$52/100),R1-2024)</f>
        <v>4813.964605475383</v>
      </c>
      <c r="S9" s="153">
        <f>Settings!$E$47/POWER(1+(Settings!$B$52/100),S1-2024)</f>
        <v>4673.7520441508577</v>
      </c>
      <c r="T9" s="153">
        <f>Settings!$E$47/POWER(1+(Settings!$B$52/100),T1-2024)</f>
        <v>4537.623343835784</v>
      </c>
      <c r="U9" s="153">
        <f>Settings!$E$47/POWER(1+(Settings!$B$52/100),U1-2024)</f>
        <v>4405.4595571221207</v>
      </c>
      <c r="V9" s="153">
        <f>Settings!$E$47/POWER(1+(Settings!$B$52/100),V1-2024)</f>
        <v>4277.1452010894373</v>
      </c>
      <c r="X9" s="153">
        <f t="shared" si="0"/>
        <v>114928.49329701879</v>
      </c>
    </row>
    <row r="10" spans="1:24" s="13" customFormat="1" x14ac:dyDescent="0.3">
      <c r="A10" s="156" t="s">
        <v>213</v>
      </c>
      <c r="B10" s="152" t="s">
        <v>184</v>
      </c>
      <c r="C10" s="153">
        <f>SUM($C$2:$C$7)*(Settings!$B$48/100)</f>
        <v>10576750</v>
      </c>
      <c r="D10" s="153">
        <f>$C$10/POWER(1+(Settings!$B$52/100),D1-2024)</f>
        <v>10268689.320388349</v>
      </c>
      <c r="E10" s="153">
        <f>$C$10/POWER(1+(Settings!$B$52/100),E1-2024)</f>
        <v>9969601.2819304373</v>
      </c>
      <c r="F10" s="153">
        <f>$C$10/POWER(1+(Settings!$B$52/100),F1-2024)</f>
        <v>9679224.5455635302</v>
      </c>
      <c r="G10" s="153">
        <f>$C$10/POWER(1+(Settings!$B$52/100),G1-2024)</f>
        <v>9397305.384042263</v>
      </c>
      <c r="H10" s="153">
        <f>$C$10/POWER(1+(Settings!$B$52/100),H1-2024)</f>
        <v>9123597.4602352083</v>
      </c>
      <c r="I10" s="153">
        <f>$C$10/POWER(1+(Settings!$B$52/100),I1-2024)</f>
        <v>8857861.6118788421</v>
      </c>
      <c r="J10" s="153">
        <f>$C$10/POWER(1+(Settings!$B$52/100),J1-2024)</f>
        <v>8599865.6426008176</v>
      </c>
      <c r="K10" s="153">
        <f>$C$10/POWER(1+(Settings!$B$52/100),K1-2024)</f>
        <v>8349384.1190299205</v>
      </c>
      <c r="L10" s="153">
        <f>$C$10/POWER(1+(Settings!$B$52/100),L1-2024)</f>
        <v>8106198.1738154562</v>
      </c>
      <c r="M10" s="153">
        <f>$C$10/POWER(1+(Settings!$B$52/100),M1-2024)</f>
        <v>7870095.314383938</v>
      </c>
      <c r="N10" s="153">
        <f>$C$10/POWER(1+(Settings!$B$52/100),N1-2024)</f>
        <v>7640869.2372659594</v>
      </c>
      <c r="O10" s="153">
        <f>$C$10/POWER(1+(Settings!$B$52/100),O1-2024)</f>
        <v>7418319.6478310293</v>
      </c>
      <c r="P10" s="153">
        <f>$C$10/POWER(1+(Settings!$B$52/100),P1-2024)</f>
        <v>7202252.0852728449</v>
      </c>
      <c r="Q10" s="153">
        <f>$C$10/POWER(1+(Settings!$B$52/100),Q1-2024)</f>
        <v>6992477.752692081</v>
      </c>
      <c r="R10" s="153">
        <f>$C$10/POWER(1+(Settings!$B$52/100),R1-2024)</f>
        <v>6788813.3521282338</v>
      </c>
      <c r="S10" s="153">
        <f>$C$10/POWER(1+(Settings!$B$52/100),S1-2024)</f>
        <v>6591080.9243963445</v>
      </c>
      <c r="T10" s="153">
        <f>$C$10/POWER(1+(Settings!$B$52/100),T1-2024)</f>
        <v>6399107.6935886843</v>
      </c>
      <c r="U10" s="153">
        <f>$C$10/POWER(1+(Settings!$B$52/100),U1-2024)</f>
        <v>6212725.9161055181</v>
      </c>
      <c r="V10" s="153">
        <f>$C$10/POWER(1+(Settings!$B$52/100),V1-2024)</f>
        <v>6031772.7340830276</v>
      </c>
      <c r="X10" s="153">
        <f t="shared" si="0"/>
        <v>162075992.19723246</v>
      </c>
    </row>
    <row r="11" spans="1:24" x14ac:dyDescent="0.3">
      <c r="A11" s="156" t="s">
        <v>174</v>
      </c>
      <c r="B11" s="152" t="str">
        <f>Settings!F65</f>
        <v>Opex</v>
      </c>
      <c r="C11" s="153">
        <f>Settings!E49</f>
        <v>500000</v>
      </c>
      <c r="D11" s="153">
        <f>Settings!$E$49/POWER(1+(Settings!$B$52/100),D1-2024)</f>
        <v>485436.89320388349</v>
      </c>
      <c r="E11" s="153">
        <f>Settings!$E$49/POWER(1+(Settings!$B$52/100),E1-2024)</f>
        <v>471297.95456687722</v>
      </c>
      <c r="F11" s="153">
        <f>Settings!$E$49/POWER(1+(Settings!$B$52/100),F1-2024)</f>
        <v>457570.8296765798</v>
      </c>
      <c r="G11" s="153">
        <f>Settings!$E$49/POWER(1+(Settings!$B$52/100),G1-2024)</f>
        <v>444243.52395784447</v>
      </c>
      <c r="H11" s="153">
        <f>Settings!$E$49/POWER(1+(Settings!$B$52/100),H1-2024)</f>
        <v>431304.39219208207</v>
      </c>
      <c r="I11" s="153">
        <f>Settings!$E$49/POWER(1+(Settings!$B$52/100),I1-2024)</f>
        <v>418742.12834182719</v>
      </c>
      <c r="J11" s="153">
        <f>Settings!$E$49/POWER(1+(Settings!$B$52/100),J1-2024)</f>
        <v>406545.75567167689</v>
      </c>
      <c r="K11" s="153">
        <f>Settings!$E$49/POWER(1+(Settings!$B$52/100),K1-2024)</f>
        <v>394704.61715696787</v>
      </c>
      <c r="L11" s="153">
        <f>Settings!$E$49/POWER(1+(Settings!$B$52/100),L1-2024)</f>
        <v>383208.36617181345</v>
      </c>
      <c r="M11" s="153">
        <f>Settings!$E$49/POWER(1+(Settings!$B$52/100),M1-2024)</f>
        <v>372046.95744836261</v>
      </c>
      <c r="N11" s="153">
        <f>Settings!$E$49/POWER(1+(Settings!$B$52/100),N1-2024)</f>
        <v>361210.63829938113</v>
      </c>
      <c r="O11" s="153">
        <f>Settings!$E$49/POWER(1+(Settings!$B$52/100),O1-2024)</f>
        <v>350689.94009648659</v>
      </c>
      <c r="P11" s="153">
        <f>Settings!$E$49/POWER(1+(Settings!$B$52/100),P1-2024)</f>
        <v>340475.66999658896</v>
      </c>
      <c r="Q11" s="153">
        <f>Settings!$E$49/POWER(1+(Settings!$B$52/100),Q1-2024)</f>
        <v>330558.9029093096</v>
      </c>
      <c r="R11" s="153">
        <f>Settings!$E$49/POWER(1+(Settings!$B$52/100),R1-2024)</f>
        <v>320930.97369835887</v>
      </c>
      <c r="S11" s="153">
        <f>Settings!$E$49/POWER(1+(Settings!$B$52/100),S1-2024)</f>
        <v>311583.46961005719</v>
      </c>
      <c r="T11" s="153">
        <f>Settings!$E$49/POWER(1+(Settings!$B$52/100),T1-2024)</f>
        <v>302508.22292238561</v>
      </c>
      <c r="U11" s="153">
        <f>Settings!$E$49/POWER(1+(Settings!$B$52/100),U1-2024)</f>
        <v>293697.30380814138</v>
      </c>
      <c r="V11" s="153">
        <f>Settings!$E$49/POWER(1+(Settings!$B$52/100),V1-2024)</f>
        <v>285143.0134059625</v>
      </c>
      <c r="X11" s="153">
        <f t="shared" si="0"/>
        <v>7661899.5531345867</v>
      </c>
    </row>
    <row r="12" spans="1:24" x14ac:dyDescent="0.3">
      <c r="A12" s="156" t="s">
        <v>175</v>
      </c>
      <c r="B12" s="152" t="str">
        <f>Settings!F66</f>
        <v>Opex</v>
      </c>
      <c r="C12" s="153">
        <f>Settings!E50</f>
        <v>100000</v>
      </c>
      <c r="D12" s="153">
        <f>Settings!$E$50/POWER(1+(Settings!$B$52/100),D1-2024)</f>
        <v>97087.378640776689</v>
      </c>
      <c r="E12" s="153">
        <f>Settings!$E$50/POWER(1+(Settings!$B$52/100),E1-2024)</f>
        <v>94259.590913375447</v>
      </c>
      <c r="F12" s="153">
        <f>Settings!$E$50/POWER(1+(Settings!$B$52/100),F1-2024)</f>
        <v>91514.165935315963</v>
      </c>
      <c r="G12" s="153">
        <f>Settings!$E$50/POWER(1+(Settings!$B$52/100),G1-2024)</f>
        <v>88848.704791568904</v>
      </c>
      <c r="H12" s="153">
        <f>Settings!$E$50/POWER(1+(Settings!$B$52/100),H1-2024)</f>
        <v>86260.878438416403</v>
      </c>
      <c r="I12" s="153">
        <f>Settings!$E$50/POWER(1+(Settings!$B$52/100),I1-2024)</f>
        <v>83748.425668365438</v>
      </c>
      <c r="J12" s="153">
        <f>Settings!$E$50/POWER(1+(Settings!$B$52/100),J1-2024)</f>
        <v>81309.151134335378</v>
      </c>
      <c r="K12" s="153">
        <f>Settings!$E$50/POWER(1+(Settings!$B$52/100),K1-2024)</f>
        <v>78940.923431393574</v>
      </c>
      <c r="L12" s="153">
        <f>Settings!$E$50/POWER(1+(Settings!$B$52/100),L1-2024)</f>
        <v>76641.673234362694</v>
      </c>
      <c r="M12" s="153">
        <f>Settings!$E$50/POWER(1+(Settings!$B$52/100),M1-2024)</f>
        <v>74409.391489672518</v>
      </c>
      <c r="N12" s="153">
        <f>Settings!$E$50/POWER(1+(Settings!$B$52/100),N1-2024)</f>
        <v>72242.127659876234</v>
      </c>
      <c r="O12" s="153">
        <f>Settings!$E$50/POWER(1+(Settings!$B$52/100),O1-2024)</f>
        <v>70137.988019297321</v>
      </c>
      <c r="P12" s="153">
        <f>Settings!$E$50/POWER(1+(Settings!$B$52/100),P1-2024)</f>
        <v>68095.133999317797</v>
      </c>
      <c r="Q12" s="153">
        <f>Settings!$E$50/POWER(1+(Settings!$B$52/100),Q1-2024)</f>
        <v>66111.780581861924</v>
      </c>
      <c r="R12" s="153">
        <f>Settings!$E$50/POWER(1+(Settings!$B$52/100),R1-2024)</f>
        <v>64186.194739671766</v>
      </c>
      <c r="S12" s="153">
        <f>Settings!$E$50/POWER(1+(Settings!$B$52/100),S1-2024)</f>
        <v>62316.693922011436</v>
      </c>
      <c r="T12" s="153">
        <f>Settings!$E$50/POWER(1+(Settings!$B$52/100),T1-2024)</f>
        <v>60501.644584477122</v>
      </c>
      <c r="U12" s="153">
        <f>Settings!$E$50/POWER(1+(Settings!$B$52/100),U1-2024)</f>
        <v>58739.460761628274</v>
      </c>
      <c r="V12" s="153">
        <f>Settings!$E$50/POWER(1+(Settings!$B$52/100),V1-2024)</f>
        <v>57028.602681192504</v>
      </c>
      <c r="X12" s="153">
        <f t="shared" si="0"/>
        <v>1532379.9106269174</v>
      </c>
    </row>
    <row r="13" spans="1:24" x14ac:dyDescent="0.3">
      <c r="A13" s="156" t="s">
        <v>176</v>
      </c>
      <c r="B13" s="152" t="str">
        <f>Settings!F67</f>
        <v>Opex</v>
      </c>
      <c r="C13" s="153">
        <f>Settings!E51</f>
        <v>2000000</v>
      </c>
      <c r="D13" s="153">
        <f>Settings!$E$51/POWER(1+(Settings!$B$52/100),D1-2024)</f>
        <v>1941747.572815534</v>
      </c>
      <c r="E13" s="153">
        <f>Settings!$E$51/POWER(1+(Settings!$B$52/100),E1-2024)</f>
        <v>1885191.8182675089</v>
      </c>
      <c r="F13" s="153">
        <f>Settings!$E$51/POWER(1+(Settings!$B$52/100),F1-2024)</f>
        <v>1830283.3187063192</v>
      </c>
      <c r="G13" s="153">
        <f>Settings!$E$51/POWER(1+(Settings!$B$52/100),G1-2024)</f>
        <v>1776974.0958313779</v>
      </c>
      <c r="H13" s="153">
        <f>Settings!$E$51/POWER(1+(Settings!$B$52/100),H1-2024)</f>
        <v>1725217.5687683283</v>
      </c>
      <c r="I13" s="153">
        <f>Settings!$E$51/POWER(1+(Settings!$B$52/100),I1-2024)</f>
        <v>1674968.5133673088</v>
      </c>
      <c r="J13" s="153">
        <f>Settings!$E$51/POWER(1+(Settings!$B$52/100),J1-2024)</f>
        <v>1626183.0226867076</v>
      </c>
      <c r="K13" s="153">
        <f>Settings!$E$51/POWER(1+(Settings!$B$52/100),K1-2024)</f>
        <v>1578818.4686278715</v>
      </c>
      <c r="L13" s="153">
        <f>Settings!$E$51/POWER(1+(Settings!$B$52/100),L1-2024)</f>
        <v>1532833.4646872538</v>
      </c>
      <c r="M13" s="153">
        <f>Settings!$E$51/POWER(1+(Settings!$B$52/100),M1-2024)</f>
        <v>1488187.8297934504</v>
      </c>
      <c r="N13" s="153">
        <f>Settings!$E$51/POWER(1+(Settings!$B$52/100),N1-2024)</f>
        <v>1444842.5531975245</v>
      </c>
      <c r="O13" s="153">
        <f>Settings!$E$51/POWER(1+(Settings!$B$52/100),O1-2024)</f>
        <v>1402759.7603859464</v>
      </c>
      <c r="P13" s="153">
        <f>Settings!$E$51/POWER(1+(Settings!$B$52/100),P1-2024)</f>
        <v>1361902.6799863558</v>
      </c>
      <c r="Q13" s="153">
        <f>Settings!$E$51/POWER(1+(Settings!$B$52/100),Q1-2024)</f>
        <v>1322235.6116372384</v>
      </c>
      <c r="R13" s="153">
        <f>Settings!$E$51/POWER(1+(Settings!$B$52/100),R1-2024)</f>
        <v>1283723.8947934355</v>
      </c>
      <c r="S13" s="153">
        <f>Settings!$E$51/POWER(1+(Settings!$B$52/100),S1-2024)</f>
        <v>1246333.8784402288</v>
      </c>
      <c r="T13" s="153">
        <f>Settings!$E$51/POWER(1+(Settings!$B$52/100),T1-2024)</f>
        <v>1210032.8916895424</v>
      </c>
      <c r="U13" s="153">
        <f>Settings!$E$51/POWER(1+(Settings!$B$52/100),U1-2024)</f>
        <v>1174789.2152325655</v>
      </c>
      <c r="V13" s="153">
        <f>Settings!$E$51/POWER(1+(Settings!$B$52/100),V1-2024)</f>
        <v>1140572.05362385</v>
      </c>
      <c r="X13" s="153">
        <f t="shared" si="0"/>
        <v>30647598.212538347</v>
      </c>
    </row>
    <row r="14" spans="1:24" s="13" customFormat="1" x14ac:dyDescent="0.3">
      <c r="A14" s="157"/>
      <c r="B14" s="157"/>
      <c r="C14" s="150"/>
      <c r="D14" s="150"/>
      <c r="E14" s="150"/>
      <c r="F14" s="150"/>
      <c r="G14" s="150"/>
      <c r="H14" s="150"/>
      <c r="J14" s="150"/>
      <c r="K14" s="150"/>
      <c r="L14" s="150"/>
      <c r="M14" s="150"/>
      <c r="N14" s="150"/>
      <c r="O14" s="150"/>
      <c r="P14" s="150"/>
      <c r="Q14" s="150"/>
      <c r="R14" s="150"/>
      <c r="S14" s="150"/>
      <c r="T14" s="150"/>
      <c r="U14" s="150"/>
      <c r="V14" s="150"/>
      <c r="X14" s="150"/>
    </row>
    <row r="15" spans="1:24" s="13" customFormat="1" x14ac:dyDescent="0.3">
      <c r="A15" s="157"/>
      <c r="B15" s="157"/>
      <c r="C15" s="150"/>
      <c r="D15" s="150"/>
      <c r="E15" s="150"/>
      <c r="F15" s="150"/>
      <c r="G15" s="150"/>
      <c r="H15" s="150"/>
      <c r="I15" s="150"/>
      <c r="J15" s="150"/>
      <c r="K15" s="150"/>
      <c r="L15" s="150"/>
      <c r="M15" s="150"/>
      <c r="N15" s="150"/>
      <c r="O15" s="150"/>
      <c r="P15" s="150"/>
      <c r="Q15" s="150"/>
      <c r="R15" s="150"/>
      <c r="S15" s="150"/>
      <c r="T15" s="150"/>
      <c r="U15" s="150"/>
      <c r="V15" s="150"/>
      <c r="W15" s="151" t="s">
        <v>104</v>
      </c>
      <c r="X15" s="150">
        <f>SUM(X2:X13)</f>
        <v>323124097.47309846</v>
      </c>
    </row>
    <row r="17" spans="1:24" s="13" customFormat="1" x14ac:dyDescent="0.3">
      <c r="A17" s="44" t="s">
        <v>191</v>
      </c>
      <c r="B17" s="44"/>
      <c r="C17" s="98">
        <v>2024</v>
      </c>
      <c r="D17" s="97">
        <v>2025</v>
      </c>
      <c r="E17" s="98">
        <v>2026</v>
      </c>
      <c r="F17" s="97">
        <v>2027</v>
      </c>
      <c r="G17" s="98">
        <v>2028</v>
      </c>
      <c r="H17" s="97">
        <v>2029</v>
      </c>
      <c r="I17" s="98">
        <v>2030</v>
      </c>
      <c r="J17" s="97">
        <v>2031</v>
      </c>
      <c r="K17" s="98">
        <v>2032</v>
      </c>
      <c r="L17" s="97">
        <v>2033</v>
      </c>
      <c r="M17" s="98">
        <v>2034</v>
      </c>
      <c r="N17" s="97">
        <v>2035</v>
      </c>
      <c r="O17" s="98">
        <v>2036</v>
      </c>
      <c r="P17" s="97">
        <v>2037</v>
      </c>
      <c r="Q17" s="98">
        <v>2038</v>
      </c>
      <c r="R17" s="97">
        <v>2039</v>
      </c>
      <c r="S17" s="98">
        <v>2040</v>
      </c>
      <c r="T17" s="97">
        <v>2041</v>
      </c>
      <c r="U17" s="98">
        <v>2042</v>
      </c>
      <c r="V17" s="97">
        <v>2043</v>
      </c>
      <c r="X17" s="98" t="s">
        <v>195</v>
      </c>
    </row>
    <row r="18" spans="1:24" s="13" customFormat="1" x14ac:dyDescent="0.3">
      <c r="A18" s="152" t="s">
        <v>165</v>
      </c>
      <c r="B18" s="152" t="s">
        <v>181</v>
      </c>
      <c r="C18" s="153">
        <f>Settings!E58</f>
        <v>100000000</v>
      </c>
      <c r="D18" s="154"/>
      <c r="E18" s="154"/>
      <c r="F18" s="154"/>
      <c r="G18" s="154"/>
      <c r="H18" s="154"/>
      <c r="I18" s="154"/>
      <c r="J18" s="154"/>
      <c r="K18" s="154"/>
      <c r="L18" s="154"/>
      <c r="M18" s="154"/>
      <c r="N18" s="154"/>
      <c r="O18" s="154"/>
      <c r="P18" s="154"/>
      <c r="Q18" s="154"/>
      <c r="R18" s="154"/>
      <c r="S18" s="154"/>
      <c r="T18" s="154"/>
      <c r="U18" s="154"/>
      <c r="V18" s="154"/>
      <c r="X18" s="150">
        <f>SUM(C18:V18)</f>
        <v>100000000</v>
      </c>
    </row>
    <row r="19" spans="1:24" s="13" customFormat="1" x14ac:dyDescent="0.3">
      <c r="A19" s="152" t="s">
        <v>166</v>
      </c>
      <c r="B19" s="152" t="s">
        <v>181</v>
      </c>
      <c r="C19" s="153">
        <f>Settings!E59</f>
        <v>1000000</v>
      </c>
      <c r="D19" s="154"/>
      <c r="E19" s="154"/>
      <c r="F19" s="154"/>
      <c r="G19" s="154"/>
      <c r="H19" s="154"/>
      <c r="I19" s="154"/>
      <c r="J19" s="154"/>
      <c r="K19" s="154"/>
      <c r="L19" s="154"/>
      <c r="M19" s="154"/>
      <c r="N19" s="154"/>
      <c r="O19" s="154"/>
      <c r="P19" s="154"/>
      <c r="Q19" s="154"/>
      <c r="R19" s="154"/>
      <c r="S19" s="154"/>
      <c r="T19" s="154"/>
      <c r="U19" s="154"/>
      <c r="V19" s="154"/>
      <c r="X19" s="150">
        <f t="shared" ref="X19:X29" si="1">SUM(C19:V19)</f>
        <v>1000000</v>
      </c>
    </row>
    <row r="20" spans="1:24" s="13" customFormat="1" x14ac:dyDescent="0.3">
      <c r="A20" s="155" t="s">
        <v>167</v>
      </c>
      <c r="B20" s="152" t="s">
        <v>181</v>
      </c>
      <c r="C20" s="153">
        <f>Settings!E60</f>
        <v>1000000</v>
      </c>
      <c r="D20" s="154"/>
      <c r="E20" s="154"/>
      <c r="F20" s="154"/>
      <c r="G20" s="154"/>
      <c r="H20" s="154"/>
      <c r="I20" s="154"/>
      <c r="J20" s="154"/>
      <c r="K20" s="154"/>
      <c r="L20" s="154"/>
      <c r="M20" s="154"/>
      <c r="N20" s="154"/>
      <c r="O20" s="154"/>
      <c r="P20" s="154"/>
      <c r="Q20" s="154"/>
      <c r="R20" s="154"/>
      <c r="S20" s="154"/>
      <c r="T20" s="154"/>
      <c r="U20" s="154"/>
      <c r="V20" s="154"/>
      <c r="X20" s="150">
        <f t="shared" si="1"/>
        <v>1000000</v>
      </c>
    </row>
    <row r="21" spans="1:24" s="13" customFormat="1" x14ac:dyDescent="0.3">
      <c r="A21" s="156" t="s">
        <v>168</v>
      </c>
      <c r="B21" s="152" t="s">
        <v>181</v>
      </c>
      <c r="C21" s="153">
        <f>Settings!E61</f>
        <v>67500</v>
      </c>
      <c r="D21" s="154"/>
      <c r="E21" s="154"/>
      <c r="F21" s="154"/>
      <c r="G21" s="154"/>
      <c r="H21" s="154"/>
      <c r="I21" s="154"/>
      <c r="J21" s="154"/>
      <c r="K21" s="154"/>
      <c r="L21" s="154"/>
      <c r="M21" s="154"/>
      <c r="N21" s="154"/>
      <c r="O21" s="154"/>
      <c r="P21" s="154"/>
      <c r="Q21" s="154"/>
      <c r="R21" s="154"/>
      <c r="S21" s="154"/>
      <c r="T21" s="154"/>
      <c r="U21" s="154"/>
      <c r="V21" s="154"/>
      <c r="X21" s="150">
        <f t="shared" si="1"/>
        <v>67500</v>
      </c>
    </row>
    <row r="22" spans="1:24" s="13" customFormat="1" x14ac:dyDescent="0.3">
      <c r="A22" s="156" t="s">
        <v>169</v>
      </c>
      <c r="B22" s="152" t="s">
        <v>181</v>
      </c>
      <c r="C22" s="153">
        <f>Settings!E62</f>
        <v>200000</v>
      </c>
      <c r="D22" s="154"/>
      <c r="E22" s="154"/>
      <c r="F22" s="154"/>
      <c r="G22" s="154"/>
      <c r="H22" s="154"/>
      <c r="I22" s="154"/>
      <c r="J22" s="154"/>
      <c r="K22" s="154"/>
      <c r="L22" s="154"/>
      <c r="M22" s="154"/>
      <c r="N22" s="154"/>
      <c r="O22" s="154"/>
      <c r="P22" s="154"/>
      <c r="Q22" s="154"/>
      <c r="R22" s="154"/>
      <c r="S22" s="154"/>
      <c r="T22" s="154"/>
      <c r="U22" s="154"/>
      <c r="V22" s="154"/>
      <c r="X22" s="150">
        <f t="shared" si="1"/>
        <v>200000</v>
      </c>
    </row>
    <row r="23" spans="1:24" s="13" customFormat="1" x14ac:dyDescent="0.3">
      <c r="A23" s="156" t="s">
        <v>170</v>
      </c>
      <c r="B23" s="152" t="s">
        <v>181</v>
      </c>
      <c r="C23" s="153">
        <f>Settings!E63</f>
        <v>25000000</v>
      </c>
      <c r="D23" s="154"/>
      <c r="E23" s="154"/>
      <c r="F23" s="154"/>
      <c r="G23" s="154"/>
      <c r="H23" s="154"/>
      <c r="I23" s="154"/>
      <c r="J23" s="154"/>
      <c r="K23" s="154"/>
      <c r="L23" s="154"/>
      <c r="M23" s="154"/>
      <c r="N23" s="154"/>
      <c r="O23" s="154"/>
      <c r="P23" s="154"/>
      <c r="Q23" s="154"/>
      <c r="R23" s="154"/>
      <c r="S23" s="154"/>
      <c r="T23" s="154"/>
      <c r="U23" s="154"/>
      <c r="V23" s="154"/>
      <c r="X23" s="150">
        <f t="shared" si="1"/>
        <v>25000000</v>
      </c>
    </row>
    <row r="24" spans="1:24" s="13" customFormat="1" x14ac:dyDescent="0.3">
      <c r="A24" s="156" t="s">
        <v>171</v>
      </c>
      <c r="B24" s="152" t="s">
        <v>181</v>
      </c>
      <c r="C24" s="153">
        <f>Settings!E64</f>
        <v>5000000</v>
      </c>
      <c r="D24" s="154"/>
      <c r="E24" s="154"/>
      <c r="F24" s="154"/>
      <c r="G24" s="154"/>
      <c r="H24" s="154"/>
      <c r="I24" s="154"/>
      <c r="J24" s="154"/>
      <c r="K24" s="154"/>
      <c r="L24" s="154"/>
      <c r="M24" s="154"/>
      <c r="N24" s="154"/>
      <c r="O24" s="154"/>
      <c r="P24" s="154"/>
      <c r="Q24" s="154"/>
      <c r="R24" s="154"/>
      <c r="S24" s="154"/>
      <c r="T24" s="154"/>
      <c r="U24" s="154"/>
      <c r="V24" s="154"/>
      <c r="X24" s="150">
        <f t="shared" si="1"/>
        <v>5000000</v>
      </c>
    </row>
    <row r="25" spans="1:24" s="13" customFormat="1" x14ac:dyDescent="0.3">
      <c r="A25" s="156" t="s">
        <v>172</v>
      </c>
      <c r="B25" s="152" t="s">
        <v>184</v>
      </c>
      <c r="C25" s="153">
        <f>Settings!E65</f>
        <v>20000000</v>
      </c>
      <c r="D25" s="153">
        <f>Settings!$E$65/POWER(1+(Settings!$B$70/100),D17-2024)</f>
        <v>19417475.728155341</v>
      </c>
      <c r="E25" s="153">
        <f>Settings!$E$65/POWER(1+(Settings!$B$70/100),E17-2024)</f>
        <v>18851918.18267509</v>
      </c>
      <c r="F25" s="153">
        <f>Settings!$E$65/POWER(1+(Settings!$B$70/100),F17-2024)</f>
        <v>18302833.187063191</v>
      </c>
      <c r="G25" s="153">
        <f>Settings!$E$65/POWER(1+(Settings!$B$70/100),G17-2024)</f>
        <v>17769740.958313778</v>
      </c>
      <c r="H25" s="153">
        <f>Settings!$E$65/POWER(1+(Settings!$B$70/100),H17-2024)</f>
        <v>17252175.687683281</v>
      </c>
      <c r="I25" s="153">
        <f>Settings!$E$65/POWER(1+(Settings!$B$70/100),I17-2024)</f>
        <v>16749685.133673089</v>
      </c>
      <c r="J25" s="153">
        <f>Settings!$E$65/POWER(1+(Settings!$B$70/100),J17-2024)</f>
        <v>16261830.226867074</v>
      </c>
      <c r="K25" s="153">
        <f>Settings!$E$65/POWER(1+(Settings!$B$70/100),K17-2024)</f>
        <v>15788184.686278716</v>
      </c>
      <c r="L25" s="153">
        <f>Settings!$E$65/POWER(1+(Settings!$B$70/100),L17-2024)</f>
        <v>15328334.646872539</v>
      </c>
      <c r="M25" s="153">
        <f>Settings!$E$65/POWER(1+(Settings!$B$70/100),M17-2024)</f>
        <v>14881878.297934504</v>
      </c>
      <c r="N25" s="153">
        <f>Settings!$E$65/POWER(1+(Settings!$B$70/100),N17-2024)</f>
        <v>14448425.531975245</v>
      </c>
      <c r="O25" s="153">
        <f>Settings!$E$65/POWER(1+(Settings!$B$70/100),O17-2024)</f>
        <v>14027597.603859464</v>
      </c>
      <c r="P25" s="153">
        <f>Settings!$E$65/POWER(1+(Settings!$B$70/100),P17-2024)</f>
        <v>13619026.799863558</v>
      </c>
      <c r="Q25" s="153">
        <f>Settings!$E$65/POWER(1+(Settings!$B$70/100),Q17-2024)</f>
        <v>13222356.116372384</v>
      </c>
      <c r="R25" s="153">
        <f>Settings!$E$65/POWER(1+(Settings!$B$70/100),R17-2024)</f>
        <v>12837238.947934354</v>
      </c>
      <c r="S25" s="153">
        <f>Settings!$E$65/POWER(1+(Settings!$B$70/100),S17-2024)</f>
        <v>12463338.784402287</v>
      </c>
      <c r="T25" s="153">
        <f>Settings!$E$65/POWER(1+(Settings!$B$70/100),T17-2024)</f>
        <v>12100328.916895425</v>
      </c>
      <c r="U25" s="153">
        <f>Settings!$E$65/POWER(1+(Settings!$B$70/100),U17-2024)</f>
        <v>11747892.152325654</v>
      </c>
      <c r="V25" s="153">
        <f>Settings!$E$65/POWER(1+(Settings!$B$70/100),V17-2024)</f>
        <v>11405720.536238501</v>
      </c>
      <c r="X25" s="150">
        <f t="shared" si="1"/>
        <v>306475982.12538344</v>
      </c>
    </row>
    <row r="26" spans="1:24" s="13" customFormat="1" x14ac:dyDescent="0.3">
      <c r="A26" s="156" t="s">
        <v>173</v>
      </c>
      <c r="B26" s="152" t="s">
        <v>184</v>
      </c>
      <c r="C26" s="153">
        <f>Settings!E66</f>
        <v>1500</v>
      </c>
      <c r="D26" s="153">
        <f>Settings!$E$66/POWER(1+(Settings!$B$70/100),D17-2024)</f>
        <v>1456.3106796116504</v>
      </c>
      <c r="E26" s="153">
        <f>Settings!$E$66/POWER(1+(Settings!$B$70/100),E17-2024)</f>
        <v>1413.8938637006315</v>
      </c>
      <c r="F26" s="153">
        <f>Settings!$E$66/POWER(1+(Settings!$B$70/100),F17-2024)</f>
        <v>1372.7124890297393</v>
      </c>
      <c r="G26" s="153">
        <f>Settings!$E$66/POWER(1+(Settings!$B$70/100),G17-2024)</f>
        <v>1332.7305718735336</v>
      </c>
      <c r="H26" s="153">
        <f>Settings!$E$66/POWER(1+(Settings!$B$70/100),H17-2024)</f>
        <v>1293.9131765762461</v>
      </c>
      <c r="I26" s="153">
        <f>Settings!$E$66/POWER(1+(Settings!$B$70/100),I17-2024)</f>
        <v>1256.2263850254817</v>
      </c>
      <c r="J26" s="153">
        <f>Settings!$E$66/POWER(1+(Settings!$B$70/100),J17-2024)</f>
        <v>1219.6372670150306</v>
      </c>
      <c r="K26" s="153">
        <f>Settings!$E$66/POWER(1+(Settings!$B$70/100),K17-2024)</f>
        <v>1184.1138514709037</v>
      </c>
      <c r="L26" s="153">
        <f>Settings!$E$66/POWER(1+(Settings!$B$70/100),L17-2024)</f>
        <v>1149.6250985154404</v>
      </c>
      <c r="M26" s="153">
        <f>Settings!$E$66/POWER(1+(Settings!$B$70/100),M17-2024)</f>
        <v>1116.1408723450877</v>
      </c>
      <c r="N26" s="153">
        <f>Settings!$E$66/POWER(1+(Settings!$B$70/100),N17-2024)</f>
        <v>1083.6319148981434</v>
      </c>
      <c r="O26" s="153">
        <f>Settings!$E$66/POWER(1+(Settings!$B$70/100),O17-2024)</f>
        <v>1052.0698202894598</v>
      </c>
      <c r="P26" s="153">
        <f>Settings!$E$66/POWER(1+(Settings!$B$70/100),P17-2024)</f>
        <v>1021.4270099897668</v>
      </c>
      <c r="Q26" s="153">
        <f>Settings!$E$66/POWER(1+(Settings!$B$70/100),Q17-2024)</f>
        <v>991.67670872792883</v>
      </c>
      <c r="R26" s="153">
        <f>Settings!$E$66/POWER(1+(Settings!$B$70/100),R17-2024)</f>
        <v>962.79292109507651</v>
      </c>
      <c r="S26" s="153">
        <f>Settings!$E$66/POWER(1+(Settings!$B$70/100),S17-2024)</f>
        <v>934.75040883017152</v>
      </c>
      <c r="T26" s="153">
        <f>Settings!$E$66/POWER(1+(Settings!$B$70/100),T17-2024)</f>
        <v>907.52466876715687</v>
      </c>
      <c r="U26" s="153">
        <f>Settings!$E$66/POWER(1+(Settings!$B$70/100),U17-2024)</f>
        <v>881.0919114244241</v>
      </c>
      <c r="V26" s="153">
        <f>Settings!$E$66/POWER(1+(Settings!$B$70/100),V17-2024)</f>
        <v>855.42904021788752</v>
      </c>
      <c r="X26" s="150">
        <f t="shared" si="1"/>
        <v>22985.698659403759</v>
      </c>
    </row>
    <row r="27" spans="1:24" s="13" customFormat="1" x14ac:dyDescent="0.3">
      <c r="A27" s="156" t="s">
        <v>174</v>
      </c>
      <c r="B27" s="152" t="s">
        <v>184</v>
      </c>
      <c r="C27" s="153">
        <f>Settings!E67</f>
        <v>500000</v>
      </c>
      <c r="D27" s="153">
        <f>Settings!$E$67/POWER(1+(Settings!$B$70/100),D17-2024)</f>
        <v>485436.89320388349</v>
      </c>
      <c r="E27" s="153">
        <f>Settings!$E$67/POWER(1+(Settings!$B$70/100),E17-2024)</f>
        <v>471297.95456687722</v>
      </c>
      <c r="F27" s="153">
        <f>Settings!$E$67/POWER(1+(Settings!$B$70/100),F17-2024)</f>
        <v>457570.8296765798</v>
      </c>
      <c r="G27" s="153">
        <f>Settings!$E$67/POWER(1+(Settings!$B$70/100),G17-2024)</f>
        <v>444243.52395784447</v>
      </c>
      <c r="H27" s="153">
        <f>Settings!$E$67/POWER(1+(Settings!$B$70/100),H17-2024)</f>
        <v>431304.39219208207</v>
      </c>
      <c r="I27" s="153">
        <f>Settings!$E$67/POWER(1+(Settings!$B$70/100),I17-2024)</f>
        <v>418742.12834182719</v>
      </c>
      <c r="J27" s="153">
        <f>Settings!$E$67/POWER(1+(Settings!$B$70/100),J17-2024)</f>
        <v>406545.75567167689</v>
      </c>
      <c r="K27" s="153">
        <f>Settings!$E$67/POWER(1+(Settings!$B$70/100),K17-2024)</f>
        <v>394704.61715696787</v>
      </c>
      <c r="L27" s="153">
        <f>Settings!$E$67/POWER(1+(Settings!$B$70/100),L17-2024)</f>
        <v>383208.36617181345</v>
      </c>
      <c r="M27" s="153">
        <f>Settings!$E$67/POWER(1+(Settings!$B$70/100),M17-2024)</f>
        <v>372046.95744836261</v>
      </c>
      <c r="N27" s="153">
        <f>Settings!$E$67/POWER(1+(Settings!$B$70/100),N17-2024)</f>
        <v>361210.63829938113</v>
      </c>
      <c r="O27" s="153">
        <f>Settings!$E$67/POWER(1+(Settings!$B$70/100),O17-2024)</f>
        <v>350689.94009648659</v>
      </c>
      <c r="P27" s="153">
        <f>Settings!$E$67/POWER(1+(Settings!$B$70/100),P17-2024)</f>
        <v>340475.66999658896</v>
      </c>
      <c r="Q27" s="153">
        <f>Settings!$E$67/POWER(1+(Settings!$B$70/100),Q17-2024)</f>
        <v>330558.9029093096</v>
      </c>
      <c r="R27" s="153">
        <f>Settings!$E$67/POWER(1+(Settings!$B$70/100),R17-2024)</f>
        <v>320930.97369835887</v>
      </c>
      <c r="S27" s="153">
        <f>Settings!$E$67/POWER(1+(Settings!$B$70/100),S17-2024)</f>
        <v>311583.46961005719</v>
      </c>
      <c r="T27" s="153">
        <f>Settings!$E$67/POWER(1+(Settings!$B$70/100),T17-2024)</f>
        <v>302508.22292238561</v>
      </c>
      <c r="U27" s="153">
        <f>Settings!$E$67/POWER(1+(Settings!$B$70/100),U17-2024)</f>
        <v>293697.30380814138</v>
      </c>
      <c r="V27" s="153">
        <f>Settings!$E$67/POWER(1+(Settings!$B$70/100),V17-2024)</f>
        <v>285143.0134059625</v>
      </c>
      <c r="X27" s="150">
        <f t="shared" si="1"/>
        <v>7661899.5531345867</v>
      </c>
    </row>
    <row r="28" spans="1:24" s="13" customFormat="1" x14ac:dyDescent="0.3">
      <c r="A28" s="156" t="s">
        <v>175</v>
      </c>
      <c r="B28" s="152" t="s">
        <v>184</v>
      </c>
      <c r="C28" s="153">
        <f>Settings!E68</f>
        <v>100000</v>
      </c>
      <c r="D28" s="153">
        <f>Settings!$E$68/POWER(1+(Settings!$B$70/100),D17-2024)</f>
        <v>97087.378640776689</v>
      </c>
      <c r="E28" s="153">
        <f>Settings!$E$68/POWER(1+(Settings!$B$70/100),E17-2024)</f>
        <v>94259.590913375447</v>
      </c>
      <c r="F28" s="153">
        <f>Settings!$E$68/POWER(1+(Settings!$B$70/100),F17-2024)</f>
        <v>91514.165935315963</v>
      </c>
      <c r="G28" s="153">
        <f>Settings!$E$68/POWER(1+(Settings!$B$70/100),G17-2024)</f>
        <v>88848.704791568904</v>
      </c>
      <c r="H28" s="153">
        <f>Settings!$E$68/POWER(1+(Settings!$B$70/100),H17-2024)</f>
        <v>86260.878438416403</v>
      </c>
      <c r="I28" s="153">
        <f>Settings!$E$68/POWER(1+(Settings!$B$70/100),I17-2024)</f>
        <v>83748.425668365438</v>
      </c>
      <c r="J28" s="153">
        <f>Settings!$E$68/POWER(1+(Settings!$B$70/100),J17-2024)</f>
        <v>81309.151134335378</v>
      </c>
      <c r="K28" s="153">
        <f>Settings!$E$68/POWER(1+(Settings!$B$70/100),K17-2024)</f>
        <v>78940.923431393574</v>
      </c>
      <c r="L28" s="153">
        <f>Settings!$E$68/POWER(1+(Settings!$B$70/100),L17-2024)</f>
        <v>76641.673234362694</v>
      </c>
      <c r="M28" s="153">
        <f>Settings!$E$68/POWER(1+(Settings!$B$70/100),M17-2024)</f>
        <v>74409.391489672518</v>
      </c>
      <c r="N28" s="153">
        <f>Settings!$E$68/POWER(1+(Settings!$B$70/100),N17-2024)</f>
        <v>72242.127659876234</v>
      </c>
      <c r="O28" s="153">
        <f>Settings!$E$68/POWER(1+(Settings!$B$70/100),O17-2024)</f>
        <v>70137.988019297321</v>
      </c>
      <c r="P28" s="153">
        <f>Settings!$E$68/POWER(1+(Settings!$B$70/100),P17-2024)</f>
        <v>68095.133999317797</v>
      </c>
      <c r="Q28" s="153">
        <f>Settings!$E$68/POWER(1+(Settings!$B$70/100),Q17-2024)</f>
        <v>66111.780581861924</v>
      </c>
      <c r="R28" s="153">
        <f>Settings!$E$68/POWER(1+(Settings!$B$70/100),R17-2024)</f>
        <v>64186.194739671766</v>
      </c>
      <c r="S28" s="153">
        <f>Settings!$E$68/POWER(1+(Settings!$B$70/100),S17-2024)</f>
        <v>62316.693922011436</v>
      </c>
      <c r="T28" s="153">
        <f>Settings!$E$68/POWER(1+(Settings!$B$70/100),T17-2024)</f>
        <v>60501.644584477122</v>
      </c>
      <c r="U28" s="153">
        <f>Settings!$E$68/POWER(1+(Settings!$B$70/100),U17-2024)</f>
        <v>58739.460761628274</v>
      </c>
      <c r="V28" s="153">
        <f>Settings!$E$68/POWER(1+(Settings!$B$70/100),V17-2024)</f>
        <v>57028.602681192504</v>
      </c>
      <c r="X28" s="150">
        <f t="shared" si="1"/>
        <v>1532379.9106269174</v>
      </c>
    </row>
    <row r="29" spans="1:24" s="13" customFormat="1" x14ac:dyDescent="0.3">
      <c r="A29" s="156" t="s">
        <v>176</v>
      </c>
      <c r="B29" s="152" t="s">
        <v>184</v>
      </c>
      <c r="C29" s="153">
        <f>Settings!E69</f>
        <v>2000000</v>
      </c>
      <c r="D29" s="153">
        <f>Settings!$E$69/POWER(1+(Settings!$B$70/100),D17-2024)</f>
        <v>1941747.572815534</v>
      </c>
      <c r="E29" s="153">
        <f>Settings!$E$69/POWER(1+(Settings!$B$70/100),E17-2024)</f>
        <v>1885191.8182675089</v>
      </c>
      <c r="F29" s="153">
        <f>Settings!$E$69/POWER(1+(Settings!$B$70/100),F17-2024)</f>
        <v>1830283.3187063192</v>
      </c>
      <c r="G29" s="153">
        <f>Settings!$E$69/POWER(1+(Settings!$B$70/100),G17-2024)</f>
        <v>1776974.0958313779</v>
      </c>
      <c r="H29" s="153">
        <f>Settings!$E$69/POWER(1+(Settings!$B$70/100),H17-2024)</f>
        <v>1725217.5687683283</v>
      </c>
      <c r="I29" s="153">
        <f>Settings!$E$69/POWER(1+(Settings!$B$70/100),I17-2024)</f>
        <v>1674968.5133673088</v>
      </c>
      <c r="J29" s="153">
        <f>Settings!$E$69/POWER(1+(Settings!$B$70/100),J17-2024)</f>
        <v>1626183.0226867076</v>
      </c>
      <c r="K29" s="153">
        <f>Settings!$E$69/POWER(1+(Settings!$B$70/100),K17-2024)</f>
        <v>1578818.4686278715</v>
      </c>
      <c r="L29" s="153">
        <f>Settings!$E$69/POWER(1+(Settings!$B$70/100),L17-2024)</f>
        <v>1532833.4646872538</v>
      </c>
      <c r="M29" s="153">
        <f>Settings!$E$69/POWER(1+(Settings!$B$70/100),M17-2024)</f>
        <v>1488187.8297934504</v>
      </c>
      <c r="N29" s="153">
        <f>Settings!$E$69/POWER(1+(Settings!$B$70/100),N17-2024)</f>
        <v>1444842.5531975245</v>
      </c>
      <c r="O29" s="153">
        <f>Settings!$E$69/POWER(1+(Settings!$B$70/100),O17-2024)</f>
        <v>1402759.7603859464</v>
      </c>
      <c r="P29" s="153">
        <f>Settings!$E$69/POWER(1+(Settings!$B$70/100),P17-2024)</f>
        <v>1361902.6799863558</v>
      </c>
      <c r="Q29" s="153">
        <f>Settings!$E$69/POWER(1+(Settings!$B$70/100),Q17-2024)</f>
        <v>1322235.6116372384</v>
      </c>
      <c r="R29" s="153">
        <f>Settings!$E$69/POWER(1+(Settings!$B$70/100),R17-2024)</f>
        <v>1283723.8947934355</v>
      </c>
      <c r="S29" s="153">
        <f>Settings!$E$69/POWER(1+(Settings!$B$70/100),S17-2024)</f>
        <v>1246333.8784402288</v>
      </c>
      <c r="T29" s="153">
        <f>Settings!$E$69/POWER(1+(Settings!$B$70/100),T17-2024)</f>
        <v>1210032.8916895424</v>
      </c>
      <c r="U29" s="153">
        <f>Settings!$E$69/POWER(1+(Settings!$B$70/100),U17-2024)</f>
        <v>1174789.2152325655</v>
      </c>
      <c r="V29" s="153">
        <f>Settings!$E$69/POWER(1+(Settings!$B$70/100),V17-2024)</f>
        <v>1140572.05362385</v>
      </c>
      <c r="X29" s="150">
        <f t="shared" si="1"/>
        <v>30647598.212538347</v>
      </c>
    </row>
    <row r="31" spans="1:24" x14ac:dyDescent="0.3">
      <c r="W31" s="151" t="s">
        <v>104</v>
      </c>
      <c r="X31" s="150">
        <f>SUM(X18:X29)</f>
        <v>478608345.50034267</v>
      </c>
    </row>
    <row r="32" spans="1:24" x14ac:dyDescent="0.3">
      <c r="W32" s="151" t="s">
        <v>198</v>
      </c>
      <c r="X32" s="158">
        <f>X31/(60*24*364.25*Settings!B71)</f>
        <v>45.623460068285546</v>
      </c>
    </row>
    <row r="33" spans="23:24" x14ac:dyDescent="0.3">
      <c r="W33" s="151" t="s">
        <v>199</v>
      </c>
      <c r="X33" s="158">
        <f>X32+(X32*Settings!$D$35)</f>
        <v>45.623460068285546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3700-C910-465F-9A08-EFEB3D0FAB3D}">
  <sheetPr>
    <tabColor theme="5"/>
  </sheetPr>
  <dimension ref="A1:V224"/>
  <sheetViews>
    <sheetView zoomScaleNormal="100" workbookViewId="0">
      <selection activeCell="AI45" sqref="AI45"/>
    </sheetView>
  </sheetViews>
  <sheetFormatPr defaultRowHeight="14.4" x14ac:dyDescent="0.3"/>
  <cols>
    <col min="1" max="1" width="8.88671875" style="49"/>
    <col min="2" max="2" width="57.21875" style="49" customWidth="1"/>
    <col min="3" max="3" width="16.5546875" style="33" bestFit="1" customWidth="1"/>
    <col min="4" max="12" width="16.77734375" style="33" bestFit="1" customWidth="1"/>
    <col min="13" max="13" width="16.5546875" style="33" bestFit="1" customWidth="1"/>
    <col min="14" max="22" width="16.77734375" style="33" bestFit="1" customWidth="1"/>
    <col min="23" max="16384" width="8.88671875" style="49"/>
  </cols>
  <sheetData>
    <row r="1" spans="1:22" x14ac:dyDescent="0.3">
      <c r="A1" s="180">
        <v>0.2</v>
      </c>
      <c r="B1" s="49" t="s">
        <v>225</v>
      </c>
      <c r="L1" s="34"/>
      <c r="M1" s="34"/>
    </row>
    <row r="2" spans="1:22" x14ac:dyDescent="0.3">
      <c r="A2" s="179"/>
      <c r="B2" s="97" t="s">
        <v>102</v>
      </c>
      <c r="C2" s="97">
        <v>2021</v>
      </c>
      <c r="D2" s="98">
        <v>2022</v>
      </c>
      <c r="E2" s="97">
        <v>2023</v>
      </c>
      <c r="F2" s="98">
        <v>2024</v>
      </c>
      <c r="G2" s="97">
        <v>2025</v>
      </c>
      <c r="H2" s="98">
        <v>2026</v>
      </c>
      <c r="I2" s="97">
        <v>2027</v>
      </c>
      <c r="J2" s="98">
        <v>2028</v>
      </c>
      <c r="K2" s="97">
        <v>2029</v>
      </c>
      <c r="L2" s="98">
        <v>2030</v>
      </c>
      <c r="M2" s="97">
        <v>2031</v>
      </c>
      <c r="N2" s="98">
        <v>2032</v>
      </c>
      <c r="O2" s="97">
        <v>2033</v>
      </c>
      <c r="P2" s="98">
        <v>2034</v>
      </c>
      <c r="Q2" s="97">
        <v>2035</v>
      </c>
      <c r="R2" s="98">
        <v>2036</v>
      </c>
      <c r="S2" s="97">
        <v>2037</v>
      </c>
      <c r="T2" s="98">
        <v>2038</v>
      </c>
      <c r="U2" s="97">
        <v>2039</v>
      </c>
      <c r="V2" s="98">
        <v>2040</v>
      </c>
    </row>
    <row r="3" spans="1:22" x14ac:dyDescent="0.3">
      <c r="A3" s="179"/>
      <c r="B3" s="47" t="str">
        <f>DTE_demand_forecast!B62</f>
        <v>Human Space Flight</v>
      </c>
      <c r="C3" s="100">
        <f>IFERROR(DTE_demand_forecast!C62*Settings!$K$43,"-")</f>
        <v>5266253.7613726491</v>
      </c>
      <c r="D3" s="100">
        <f>IFERROR(DTE_demand_forecast!D62*Settings!$K$43,"-")</f>
        <v>5396145.8366075391</v>
      </c>
      <c r="E3" s="100">
        <f>IFERROR(DTE_demand_forecast!E62*Settings!$K$43,"-")</f>
        <v>5524051.5970337503</v>
      </c>
      <c r="F3" s="100">
        <f>IFERROR(DTE_demand_forecast!F62*Settings!$K$43,"-")</f>
        <v>5675479.7374030109</v>
      </c>
      <c r="G3" s="100">
        <f>IFERROR(DTE_demand_forecast!G62*Settings!$K$43,"-")</f>
        <v>5823536.7233079234</v>
      </c>
      <c r="H3" s="100">
        <f>IFERROR(DTE_demand_forecast!H62*Settings!$K$43,"-")</f>
        <v>5977300.6330331704</v>
      </c>
      <c r="I3" s="100">
        <f>IFERROR(DTE_demand_forecast!I62*Settings!$K$43,"-")</f>
        <v>6136940.5207372047</v>
      </c>
      <c r="J3" s="100">
        <f>IFERROR(DTE_demand_forecast!J62*Settings!$K$43,"-")</f>
        <v>6302629.9199752854</v>
      </c>
      <c r="K3" s="100">
        <f>IFERROR(DTE_demand_forecast!K62*Settings!$K$43,"-")</f>
        <v>6474546.9552536942</v>
      </c>
      <c r="L3" s="100">
        <f>IFERROR(DTE_demand_forecast!L62*Settings!$K$43,"-")</f>
        <v>6652874.4562543491</v>
      </c>
      <c r="M3" s="100">
        <f>IFERROR(DTE_demand_forecast!M62*Settings!$K$43,"-")</f>
        <v>9711658.468442155</v>
      </c>
      <c r="N3" s="100">
        <f>IFERROR(DTE_demand_forecast!N62*Settings!$K$43,"-")</f>
        <v>9804424.4344626945</v>
      </c>
      <c r="O3" s="100">
        <f>IFERROR(DTE_demand_forecast!O62*Settings!$K$43,"-")</f>
        <v>9899045.7198036462</v>
      </c>
      <c r="P3" s="100">
        <f>IFERROR(DTE_demand_forecast!P62*Settings!$K$43,"-")</f>
        <v>9995559.4308514167</v>
      </c>
      <c r="Q3" s="100">
        <f>IFERROR(DTE_demand_forecast!Q62*Settings!$K$43,"-")</f>
        <v>10094003.416120144</v>
      </c>
      <c r="R3" s="100">
        <f>IFERROR(DTE_demand_forecast!R62*Settings!$K$43,"-")</f>
        <v>10194416.281094242</v>
      </c>
      <c r="S3" s="100">
        <f>IFERROR(DTE_demand_forecast!S62*Settings!$K$43,"-")</f>
        <v>10296837.403367827</v>
      </c>
      <c r="T3" s="100">
        <f>IFERROR(DTE_demand_forecast!T62*Settings!$K$43,"-")</f>
        <v>10401306.94808688</v>
      </c>
      <c r="U3" s="100">
        <f>IFERROR(DTE_demand_forecast!U62*Settings!$K$43,"-")</f>
        <v>10507865.883700315</v>
      </c>
      <c r="V3" s="100">
        <f>IFERROR(DTE_demand_forecast!V62*Settings!$K$43,"-")</f>
        <v>10616555.998026019</v>
      </c>
    </row>
    <row r="4" spans="1:22" x14ac:dyDescent="0.3">
      <c r="A4" s="179"/>
      <c r="B4" s="47" t="str">
        <f>DTE_demand_forecast!B63</f>
        <v>Near Earth Robotic - LEO Science</v>
      </c>
      <c r="C4" s="100">
        <f>IFERROR(DTE_demand_forecast!C63*Settings!$K$43,"-")</f>
        <v>7134558.5316221351</v>
      </c>
      <c r="D4" s="100">
        <f>IFERROR(DTE_demand_forecast!D63*Settings!$K$43,"-")</f>
        <v>5643395.9707023008</v>
      </c>
      <c r="E4" s="100">
        <f>IFERROR(DTE_demand_forecast!E63*Settings!$K$43,"-")</f>
        <v>4840121.7927344553</v>
      </c>
      <c r="F4" s="100">
        <f>IFERROR(DTE_demand_forecast!F63*Settings!$K$43,"-")</f>
        <v>3625966.2094019167</v>
      </c>
      <c r="G4" s="100">
        <f>IFERROR(DTE_demand_forecast!G63*Settings!$K$43,"-")</f>
        <v>4407686.9161707535</v>
      </c>
      <c r="H4" s="100">
        <f>IFERROR(DTE_demand_forecast!H63*Settings!$K$43,"-")</f>
        <v>4225168.4273267239</v>
      </c>
      <c r="I4" s="100">
        <f>IFERROR(DTE_demand_forecast!I63*Settings!$K$43,"-")</f>
        <v>4087841.2909984756</v>
      </c>
      <c r="J4" s="100">
        <f>IFERROR(DTE_demand_forecast!J63*Settings!$K$43,"-")</f>
        <v>4728691.5447814511</v>
      </c>
      <c r="K4" s="100">
        <f>IFERROR(DTE_demand_forecast!K63*Settings!$K$43,"-")</f>
        <v>4961251.5480399942</v>
      </c>
      <c r="L4" s="100">
        <f>IFERROR(DTE_demand_forecast!L63*Settings!$K$43,"-")</f>
        <v>5201231.7537371367</v>
      </c>
      <c r="M4" s="100">
        <f>IFERROR(DTE_demand_forecast!M63*Settings!$K$43,"-")</f>
        <v>5304792.4425033657</v>
      </c>
      <c r="N4" s="100">
        <f>IFERROR(DTE_demand_forecast!N63*Settings!$K$43,"-")</f>
        <v>5410424.3450449165</v>
      </c>
      <c r="O4" s="100">
        <f>IFERROR(DTE_demand_forecast!O63*Settings!$K$43,"-")</f>
        <v>5518168.885637302</v>
      </c>
      <c r="P4" s="100">
        <f>IFERROR(DTE_demand_forecast!P63*Settings!$K$43,"-")</f>
        <v>5628068.3170415331</v>
      </c>
      <c r="Q4" s="100">
        <f>IFERROR(DTE_demand_forecast!Q63*Settings!$K$43,"-")</f>
        <v>5740165.7370738508</v>
      </c>
      <c r="R4" s="100">
        <f>IFERROR(DTE_demand_forecast!R63*Settings!$K$43,"-")</f>
        <v>5854505.1055068113</v>
      </c>
      <c r="S4" s="100">
        <f>IFERROR(DTE_demand_forecast!S63*Settings!$K$43,"-")</f>
        <v>5971131.2613084344</v>
      </c>
      <c r="T4" s="100">
        <f>IFERROR(DTE_demand_forecast!T63*Settings!$K$43,"-")</f>
        <v>6090089.9402260892</v>
      </c>
      <c r="U4" s="100">
        <f>IFERROR(DTE_demand_forecast!U63*Settings!$K$43,"-")</f>
        <v>6211427.7927220957</v>
      </c>
      <c r="V4" s="100">
        <f>IFERROR(DTE_demand_forecast!V63*Settings!$K$43,"-")</f>
        <v>6335192.4022680232</v>
      </c>
    </row>
    <row r="5" spans="1:22" x14ac:dyDescent="0.3">
      <c r="A5" s="179"/>
      <c r="B5" s="47" t="str">
        <f>DTE_demand_forecast!B64</f>
        <v>Near Earth Robotic - GEO and Near Earth</v>
      </c>
      <c r="C5" s="100">
        <f>IFERROR(DTE_demand_forecast!C64*Settings!$K$43,"-")</f>
        <v>115561.9020300845</v>
      </c>
      <c r="D5" s="100">
        <f>IFERROR(DTE_demand_forecast!D64*Settings!$K$43,"-")</f>
        <v>119021.20360703395</v>
      </c>
      <c r="E5" s="100">
        <f>IFERROR(DTE_demand_forecast!E64*Settings!$K$43,"-")</f>
        <v>139018.85043427174</v>
      </c>
      <c r="F5" s="100">
        <f>IFERROR(DTE_demand_forecast!F64*Settings!$K$43,"-")</f>
        <v>143891.69386752089</v>
      </c>
      <c r="G5" s="100">
        <f>IFERROR(DTE_demand_forecast!G64*Settings!$K$43,"-")</f>
        <v>148929.16038973114</v>
      </c>
      <c r="H5" s="100">
        <f>IFERROR(DTE_demand_forecast!H64*Settings!$K$43,"-")</f>
        <v>154135.8857870877</v>
      </c>
      <c r="I5" s="100">
        <f>IFERROR(DTE_demand_forecast!I64*Settings!$K$43,"-")</f>
        <v>159516.62542798746</v>
      </c>
      <c r="J5" s="100">
        <f>IFERROR(DTE_demand_forecast!J64*Settings!$K$43,"-")</f>
        <v>165076.25719201317</v>
      </c>
      <c r="K5" s="100">
        <f>IFERROR(DTE_demand_forecast!K64*Settings!$K$43,"-")</f>
        <v>170819.78446823367</v>
      </c>
      <c r="L5" s="100">
        <f>IFERROR(DTE_demand_forecast!L64*Settings!$K$43,"-")</f>
        <v>176752.33922443102</v>
      </c>
      <c r="M5" s="100">
        <f>IFERROR(DTE_demand_forecast!M64*Settings!$K$43,"-")</f>
        <v>179021.5414186765</v>
      </c>
      <c r="N5" s="100">
        <f>IFERROR(DTE_demand_forecast!N64*Settings!$K$43,"-")</f>
        <v>181336.12765680687</v>
      </c>
      <c r="O5" s="100">
        <f>IFERROR(DTE_demand_forecast!O64*Settings!$K$43,"-")</f>
        <v>183697.00561969992</v>
      </c>
      <c r="P5" s="100">
        <f>IFERROR(DTE_demand_forecast!P64*Settings!$K$43,"-")</f>
        <v>186105.10114185076</v>
      </c>
      <c r="Q5" s="100">
        <f>IFERROR(DTE_demand_forecast!Q64*Settings!$K$43,"-")</f>
        <v>188561.35857444466</v>
      </c>
      <c r="R5" s="100">
        <f>IFERROR(DTE_demand_forecast!R64*Settings!$K$43,"-")</f>
        <v>191066.7411556904</v>
      </c>
      <c r="S5" s="100">
        <f>IFERROR(DTE_demand_forecast!S64*Settings!$K$43,"-")</f>
        <v>193622.23138856108</v>
      </c>
      <c r="T5" s="100">
        <f>IFERROR(DTE_demand_forecast!T64*Settings!$K$43,"-")</f>
        <v>196228.83142608919</v>
      </c>
      <c r="U5" s="100">
        <f>IFERROR(DTE_demand_forecast!U64*Settings!$K$43,"-")</f>
        <v>198887.56346436779</v>
      </c>
      <c r="V5" s="100">
        <f>IFERROR(DTE_demand_forecast!V64*Settings!$K$43,"-")</f>
        <v>201599.47014341201</v>
      </c>
    </row>
    <row r="6" spans="1:22" x14ac:dyDescent="0.3">
      <c r="A6" s="179"/>
      <c r="B6" s="47" t="str">
        <f>DTE_demand_forecast!B65</f>
        <v>Deep Space Robotic</v>
      </c>
      <c r="C6" s="100">
        <f>IFERROR(DTE_demand_forecast!C65*Settings!$K$43,"-")</f>
        <v>0</v>
      </c>
      <c r="D6" s="100">
        <f>IFERROR(DTE_demand_forecast!D65*Settings!$K$43,"-")</f>
        <v>0</v>
      </c>
      <c r="E6" s="100">
        <f>IFERROR(DTE_demand_forecast!E65*Settings!$K$43,"-")</f>
        <v>0</v>
      </c>
      <c r="F6" s="100">
        <f>IFERROR(DTE_demand_forecast!F65*Settings!$K$43,"-")</f>
        <v>0</v>
      </c>
      <c r="G6" s="100">
        <f>IFERROR(DTE_demand_forecast!G65*Settings!$K$43,"-")</f>
        <v>0</v>
      </c>
      <c r="H6" s="100">
        <f>IFERROR(DTE_demand_forecast!H65*Settings!$K$43,"-")</f>
        <v>0</v>
      </c>
      <c r="I6" s="100">
        <f>IFERROR(DTE_demand_forecast!I65*Settings!$K$43,"-")</f>
        <v>0</v>
      </c>
      <c r="J6" s="100">
        <f>IFERROR(DTE_demand_forecast!J65*Settings!$K$43,"-")</f>
        <v>0</v>
      </c>
      <c r="K6" s="100">
        <f>IFERROR(DTE_demand_forecast!K65*Settings!$K$43,"-")</f>
        <v>0</v>
      </c>
      <c r="L6" s="100">
        <f>IFERROR(DTE_demand_forecast!L65*Settings!$K$43,"-")</f>
        <v>0</v>
      </c>
      <c r="M6" s="100">
        <f>IFERROR(DTE_demand_forecast!M65*Settings!$K$43,"-")</f>
        <v>0</v>
      </c>
      <c r="N6" s="100">
        <f>IFERROR(DTE_demand_forecast!N65*Settings!$K$43,"-")</f>
        <v>0</v>
      </c>
      <c r="O6" s="100">
        <f>IFERROR(DTE_demand_forecast!O65*Settings!$K$43,"-")</f>
        <v>0</v>
      </c>
      <c r="P6" s="100">
        <f>IFERROR(DTE_demand_forecast!P65*Settings!$K$43,"-")</f>
        <v>0</v>
      </c>
      <c r="Q6" s="100">
        <f>IFERROR(DTE_demand_forecast!Q65*Settings!$K$43,"-")</f>
        <v>0</v>
      </c>
      <c r="R6" s="100">
        <f>IFERROR(DTE_demand_forecast!R65*Settings!$K$43,"-")</f>
        <v>0</v>
      </c>
      <c r="S6" s="100">
        <f>IFERROR(DTE_demand_forecast!S65*Settings!$K$43,"-")</f>
        <v>0</v>
      </c>
      <c r="T6" s="100">
        <f>IFERROR(DTE_demand_forecast!T65*Settings!$K$43,"-")</f>
        <v>0</v>
      </c>
      <c r="U6" s="100">
        <f>IFERROR(DTE_demand_forecast!U65*Settings!$K$43,"-")</f>
        <v>0</v>
      </c>
      <c r="V6" s="100">
        <f>IFERROR(DTE_demand_forecast!V65*Settings!$K$43,"-")</f>
        <v>0</v>
      </c>
    </row>
    <row r="7" spans="1:22" x14ac:dyDescent="0.3">
      <c r="A7" s="179"/>
      <c r="B7" s="47" t="str">
        <f>DTE_demand_forecast!B66</f>
        <v>Near Earth Robotic - Low Latency &amp; Complex Needs</v>
      </c>
      <c r="C7" s="100">
        <f>IFERROR(DTE_demand_forecast!C66*Settings!$K$43,"-")</f>
        <v>0</v>
      </c>
      <c r="D7" s="100">
        <f>IFERROR(DTE_demand_forecast!D66*Settings!$K$43,"-")</f>
        <v>0</v>
      </c>
      <c r="E7" s="100">
        <f>IFERROR(DTE_demand_forecast!E66*Settings!$K$43,"-")</f>
        <v>0</v>
      </c>
      <c r="F7" s="100">
        <f>IFERROR(DTE_demand_forecast!F66*Settings!$K$43,"-")</f>
        <v>0</v>
      </c>
      <c r="G7" s="100">
        <f>IFERROR(DTE_demand_forecast!G66*Settings!$K$43,"-")</f>
        <v>0</v>
      </c>
      <c r="H7" s="100">
        <f>IFERROR(DTE_demand_forecast!H66*Settings!$K$43,"-")</f>
        <v>0</v>
      </c>
      <c r="I7" s="100">
        <f>IFERROR(DTE_demand_forecast!I66*Settings!$K$43,"-")</f>
        <v>0</v>
      </c>
      <c r="J7" s="100">
        <f>IFERROR(DTE_demand_forecast!J66*Settings!$K$43,"-")</f>
        <v>0</v>
      </c>
      <c r="K7" s="100">
        <f>IFERROR(DTE_demand_forecast!K66*Settings!$K$43,"-")</f>
        <v>0</v>
      </c>
      <c r="L7" s="100">
        <f>IFERROR(DTE_demand_forecast!L66*Settings!$K$43,"-")</f>
        <v>0</v>
      </c>
      <c r="M7" s="100">
        <f>IFERROR(DTE_demand_forecast!M66*Settings!$K$43,"-")</f>
        <v>0</v>
      </c>
      <c r="N7" s="100">
        <f>IFERROR(DTE_demand_forecast!N66*Settings!$K$43,"-")</f>
        <v>0</v>
      </c>
      <c r="O7" s="100">
        <f>IFERROR(DTE_demand_forecast!O66*Settings!$K$43,"-")</f>
        <v>0</v>
      </c>
      <c r="P7" s="100">
        <f>IFERROR(DTE_demand_forecast!P66*Settings!$K$43,"-")</f>
        <v>0</v>
      </c>
      <c r="Q7" s="100">
        <f>IFERROR(DTE_demand_forecast!Q66*Settings!$K$43,"-")</f>
        <v>0</v>
      </c>
      <c r="R7" s="100">
        <f>IFERROR(DTE_demand_forecast!R66*Settings!$K$43,"-")</f>
        <v>0</v>
      </c>
      <c r="S7" s="100">
        <f>IFERROR(DTE_demand_forecast!S66*Settings!$K$43,"-")</f>
        <v>0</v>
      </c>
      <c r="T7" s="100">
        <f>IFERROR(DTE_demand_forecast!T66*Settings!$K$43,"-")</f>
        <v>0</v>
      </c>
      <c r="U7" s="100">
        <f>IFERROR(DTE_demand_forecast!U66*Settings!$K$43,"-")</f>
        <v>0</v>
      </c>
      <c r="V7" s="100">
        <f>IFERROR(DTE_demand_forecast!V66*Settings!$K$43,"-")</f>
        <v>0</v>
      </c>
    </row>
    <row r="8" spans="1:22" x14ac:dyDescent="0.3">
      <c r="A8" s="179"/>
      <c r="B8" s="47" t="str">
        <f>DTE_demand_forecast!B67</f>
        <v>Mission Operations</v>
      </c>
      <c r="C8" s="100">
        <f>IFERROR(DTE_demand_forecast!C67*Settings!$K$43,"-")</f>
        <v>0</v>
      </c>
      <c r="D8" s="100">
        <f>IFERROR(DTE_demand_forecast!D67*Settings!$K$43,"-")</f>
        <v>0</v>
      </c>
      <c r="E8" s="100">
        <f>IFERROR(DTE_demand_forecast!E67*Settings!$K$43,"-")</f>
        <v>0</v>
      </c>
      <c r="F8" s="100">
        <f>IFERROR(DTE_demand_forecast!F67*Settings!$K$43,"-")</f>
        <v>0</v>
      </c>
      <c r="G8" s="100">
        <f>IFERROR(DTE_demand_forecast!G67*Settings!$K$43,"-")</f>
        <v>0</v>
      </c>
      <c r="H8" s="100">
        <f>IFERROR(DTE_demand_forecast!H67*Settings!$K$43,"-")</f>
        <v>0</v>
      </c>
      <c r="I8" s="100">
        <f>IFERROR(DTE_demand_forecast!I67*Settings!$K$43,"-")</f>
        <v>0</v>
      </c>
      <c r="J8" s="100">
        <f>IFERROR(DTE_demand_forecast!J67*Settings!$K$43,"-")</f>
        <v>0</v>
      </c>
      <c r="K8" s="100">
        <f>IFERROR(DTE_demand_forecast!K67*Settings!$K$43,"-")</f>
        <v>0</v>
      </c>
      <c r="L8" s="100">
        <f>IFERROR(DTE_demand_forecast!L67*Settings!$K$43,"-")</f>
        <v>0</v>
      </c>
      <c r="M8" s="100">
        <f>IFERROR(DTE_demand_forecast!M67*Settings!$K$43,"-")</f>
        <v>0</v>
      </c>
      <c r="N8" s="100">
        <f>IFERROR(DTE_demand_forecast!N67*Settings!$K$43,"-")</f>
        <v>0</v>
      </c>
      <c r="O8" s="100">
        <f>IFERROR(DTE_demand_forecast!O67*Settings!$K$43,"-")</f>
        <v>0</v>
      </c>
      <c r="P8" s="100">
        <f>IFERROR(DTE_demand_forecast!P67*Settings!$K$43,"-")</f>
        <v>0</v>
      </c>
      <c r="Q8" s="100">
        <f>IFERROR(DTE_demand_forecast!Q67*Settings!$K$43,"-")</f>
        <v>0</v>
      </c>
      <c r="R8" s="100">
        <f>IFERROR(DTE_demand_forecast!R67*Settings!$K$43,"-")</f>
        <v>0</v>
      </c>
      <c r="S8" s="100">
        <f>IFERROR(DTE_demand_forecast!S67*Settings!$K$43,"-")</f>
        <v>0</v>
      </c>
      <c r="T8" s="100">
        <f>IFERROR(DTE_demand_forecast!T67*Settings!$K$43,"-")</f>
        <v>0</v>
      </c>
      <c r="U8" s="100">
        <f>IFERROR(DTE_demand_forecast!U67*Settings!$K$43,"-")</f>
        <v>0</v>
      </c>
      <c r="V8" s="100">
        <f>IFERROR(DTE_demand_forecast!V67*Settings!$K$43,"-")</f>
        <v>0</v>
      </c>
    </row>
    <row r="9" spans="1:22" x14ac:dyDescent="0.3">
      <c r="A9" s="179"/>
      <c r="B9" s="47" t="str">
        <f>DTE_demand_forecast!B68</f>
        <v>Launch Events</v>
      </c>
      <c r="C9" s="100">
        <f>IFERROR(DTE_demand_forecast!C68*Settings!$K$43,"-")</f>
        <v>11953.661957921875</v>
      </c>
      <c r="D9" s="100">
        <f>IFERROR(DTE_demand_forecast!D68*Settings!$K$43,"-")</f>
        <v>13352.362462041781</v>
      </c>
      <c r="E9" s="100">
        <f>IFERROR(DTE_demand_forecast!E68*Settings!$K$43,"-")</f>
        <v>14124.494776633574</v>
      </c>
      <c r="F9" s="100">
        <f>IFERROR(DTE_demand_forecast!F68*Settings!$K$43,"-")</f>
        <v>15449.256060921489</v>
      </c>
      <c r="G9" s="100">
        <f>IFERROR(DTE_demand_forecast!G68*Settings!$K$43,"-")</f>
        <v>22202.048117829443</v>
      </c>
      <c r="H9" s="100">
        <f>IFERROR(DTE_demand_forecast!H68*Settings!$K$43,"-")</f>
        <v>23609.98340916395</v>
      </c>
      <c r="I9" s="100">
        <f>IFERROR(DTE_demand_forecast!I68*Settings!$K$43,"-")</f>
        <v>25069.619930868772</v>
      </c>
      <c r="J9" s="100">
        <f>IFERROR(DTE_demand_forecast!J68*Settings!$K$43,"-")</f>
        <v>26582.462558042182</v>
      </c>
      <c r="K9" s="100">
        <f>IFERROR(DTE_demand_forecast!K68*Settings!$K$43,"-")</f>
        <v>28150.055680294252</v>
      </c>
      <c r="L9" s="100">
        <f>IFERROR(DTE_demand_forecast!L68*Settings!$K$43,"-")</f>
        <v>29773.984180377258</v>
      </c>
      <c r="M9" s="100">
        <f>IFERROR(DTE_demand_forecast!M68*Settings!$K$43,"-")</f>
        <v>30156.231965781411</v>
      </c>
      <c r="N9" s="100">
        <f>IFERROR(DTE_demand_forecast!N68*Settings!$K$43,"-")</f>
        <v>30546.124706893643</v>
      </c>
      <c r="O9" s="100">
        <f>IFERROR(DTE_demand_forecast!O68*Settings!$K$43,"-")</f>
        <v>30943.81530282813</v>
      </c>
      <c r="P9" s="100">
        <f>IFERROR(DTE_demand_forecast!P68*Settings!$K$43,"-")</f>
        <v>31349.459710681298</v>
      </c>
      <c r="Q9" s="100">
        <f>IFERROR(DTE_demand_forecast!Q68*Settings!$K$43,"-")</f>
        <v>31763.217006691535</v>
      </c>
      <c r="R9" s="100">
        <f>IFERROR(DTE_demand_forecast!R68*Settings!$K$43,"-")</f>
        <v>32185.249448621969</v>
      </c>
      <c r="S9" s="100">
        <f>IFERROR(DTE_demand_forecast!S68*Settings!$K$43,"-")</f>
        <v>32615.722539391019</v>
      </c>
      <c r="T9" s="100">
        <f>IFERROR(DTE_demand_forecast!T68*Settings!$K$43,"-")</f>
        <v>33054.805091975446</v>
      </c>
      <c r="U9" s="100">
        <f>IFERROR(DTE_demand_forecast!U68*Settings!$K$43,"-")</f>
        <v>33502.669295611566</v>
      </c>
      <c r="V9" s="100">
        <f>IFERROR(DTE_demand_forecast!V68*Settings!$K$43,"-")</f>
        <v>33959.490783320405</v>
      </c>
    </row>
    <row r="10" spans="1:22" x14ac:dyDescent="0.3">
      <c r="A10" s="179"/>
      <c r="B10" s="47" t="str">
        <f>DTE_demand_forecast!B69</f>
        <v>Terrestrial &amp; Aerial</v>
      </c>
      <c r="C10" s="100">
        <f>IFERROR(DTE_demand_forecast!C69*Settings!$K$43,"-")</f>
        <v>737662.31931266899</v>
      </c>
      <c r="D10" s="100">
        <f>IFERROR(DTE_demand_forecast!D69*Settings!$K$43,"-")</f>
        <v>1481414.3388875264</v>
      </c>
      <c r="E10" s="100">
        <f>IFERROR(DTE_demand_forecast!E69*Settings!$K$43,"-")</f>
        <v>1565929.8106459551</v>
      </c>
      <c r="F10" s="100">
        <f>IFERROR(DTE_demand_forecast!F69*Settings!$K$43,"-")</f>
        <v>1654048.9914519696</v>
      </c>
      <c r="G10" s="100">
        <f>IFERROR(DTE_demand_forecast!G69*Settings!$K$43,"-")</f>
        <v>1745277.6704628379</v>
      </c>
      <c r="H10" s="100">
        <f>IFERROR(DTE_demand_forecast!H69*Settings!$K$43,"-")</f>
        <v>2559569.5973440292</v>
      </c>
      <c r="I10" s="100">
        <f>IFERROR(DTE_demand_forecast!I69*Settings!$K$43,"-")</f>
        <v>2672006.5582440887</v>
      </c>
      <c r="J10" s="100">
        <f>IFERROR(DTE_demand_forecast!J69*Settings!$K$43,"-")</f>
        <v>2788181.6830390068</v>
      </c>
      <c r="K10" s="100">
        <f>IFERROR(DTE_demand_forecast!K69*Settings!$K$43,"-")</f>
        <v>2908199.5235002195</v>
      </c>
      <c r="L10" s="100">
        <f>IFERROR(DTE_demand_forecast!L69*Settings!$K$43,"-")</f>
        <v>3032167.3182044588</v>
      </c>
      <c r="M10" s="100">
        <f>IFERROR(DTE_demand_forecast!M69*Settings!$K$43,"-")</f>
        <v>3079584.9996788306</v>
      </c>
      <c r="N10" s="100">
        <f>IFERROR(DTE_demand_forecast!N69*Settings!$K$43,"-")</f>
        <v>3127951.0347826891</v>
      </c>
      <c r="O10" s="100">
        <f>IFERROR(DTE_demand_forecast!O69*Settings!$K$43,"-")</f>
        <v>3177284.3905886258</v>
      </c>
      <c r="P10" s="100">
        <f>IFERROR(DTE_demand_forecast!P69*Settings!$K$43,"-")</f>
        <v>3227604.4135106807</v>
      </c>
      <c r="Q10" s="100">
        <f>IFERROR(DTE_demand_forecast!Q69*Settings!$K$43,"-")</f>
        <v>3278930.8368911766</v>
      </c>
      <c r="R10" s="100">
        <f>IFERROR(DTE_demand_forecast!R69*Settings!$K$43,"-")</f>
        <v>3331283.7887392822</v>
      </c>
      <c r="S10" s="100">
        <f>IFERROR(DTE_demand_forecast!S69*Settings!$K$43,"-")</f>
        <v>3384683.7996243504</v>
      </c>
      <c r="T10" s="100">
        <f>IFERROR(DTE_demand_forecast!T69*Settings!$K$43,"-")</f>
        <v>3439151.8107271204</v>
      </c>
      <c r="U10" s="100">
        <f>IFERROR(DTE_demand_forecast!U69*Settings!$K$43,"-")</f>
        <v>3494709.1820519445</v>
      </c>
      <c r="V10" s="100">
        <f>IFERROR(DTE_demand_forecast!V69*Settings!$K$43,"-")</f>
        <v>3551377.7008032654</v>
      </c>
    </row>
    <row r="11" spans="1:22" x14ac:dyDescent="0.3">
      <c r="A11" s="179"/>
      <c r="B11" s="48" t="s">
        <v>104</v>
      </c>
      <c r="C11" s="176">
        <f>SUM(C3:C10)</f>
        <v>13265990.176295459</v>
      </c>
      <c r="D11" s="176">
        <f>SUM(D3:D10)</f>
        <v>12653329.712266441</v>
      </c>
      <c r="E11" s="176">
        <f>SUM(E3:E10)</f>
        <v>12083246.545625066</v>
      </c>
      <c r="F11" s="176">
        <f>SUM(F3:F10)</f>
        <v>11114835.888185339</v>
      </c>
      <c r="G11" s="176">
        <f>SUM(G3:G10)</f>
        <v>12147632.518449074</v>
      </c>
      <c r="H11" s="176">
        <f>SUM(H3:H10)</f>
        <v>12939784.526900178</v>
      </c>
      <c r="I11" s="176">
        <f>SUM(I3:I10)</f>
        <v>13081374.615338625</v>
      </c>
      <c r="J11" s="176">
        <f>SUM(J3:J10)</f>
        <v>14011161.867545798</v>
      </c>
      <c r="K11" s="176">
        <f>SUM(K3:K10)</f>
        <v>14542967.866942436</v>
      </c>
      <c r="L11" s="176">
        <f>SUM(L3:L10)</f>
        <v>15092799.851600753</v>
      </c>
      <c r="M11" s="176">
        <f>SUM(M3:M10)</f>
        <v>18305213.684008811</v>
      </c>
      <c r="N11" s="176">
        <f>SUM(N3:N10)</f>
        <v>18554682.066654</v>
      </c>
      <c r="O11" s="176">
        <f>SUM(O3:O10)</f>
        <v>18809139.816952102</v>
      </c>
      <c r="P11" s="176">
        <f>SUM(P3:P10)</f>
        <v>19068686.722256165</v>
      </c>
      <c r="Q11" s="176">
        <f>SUM(Q3:Q10)</f>
        <v>19333424.565666307</v>
      </c>
      <c r="R11" s="176">
        <f>SUM(R3:R10)</f>
        <v>19603457.165944647</v>
      </c>
      <c r="S11" s="176">
        <f>SUM(S3:S10)</f>
        <v>19878890.418228563</v>
      </c>
      <c r="T11" s="176">
        <f>SUM(T3:T10)</f>
        <v>20159832.335558154</v>
      </c>
      <c r="U11" s="176">
        <f>SUM(U3:U10)</f>
        <v>20446393.091234338</v>
      </c>
      <c r="V11" s="176">
        <f>SUM(V3:V10)</f>
        <v>20738685.062024038</v>
      </c>
    </row>
    <row r="12" spans="1:22" x14ac:dyDescent="0.3">
      <c r="A12" s="179"/>
      <c r="B12" s="177"/>
      <c r="C12" s="178"/>
      <c r="D12" s="178"/>
      <c r="E12" s="178"/>
      <c r="F12" s="178"/>
      <c r="G12" s="178"/>
      <c r="H12" s="178"/>
      <c r="I12" s="178"/>
      <c r="J12" s="178"/>
      <c r="K12" s="178"/>
      <c r="L12" s="178"/>
      <c r="M12" s="178"/>
      <c r="N12" s="178"/>
      <c r="O12" s="178"/>
      <c r="P12" s="178"/>
      <c r="Q12" s="178"/>
      <c r="R12" s="178"/>
      <c r="S12" s="178"/>
      <c r="T12" s="178"/>
      <c r="U12" s="178"/>
      <c r="V12" s="178"/>
    </row>
    <row r="13" spans="1:22" x14ac:dyDescent="0.3">
      <c r="A13" s="179"/>
      <c r="B13" s="177"/>
      <c r="C13" s="178"/>
      <c r="D13" s="178"/>
      <c r="E13" s="178"/>
      <c r="F13" s="178"/>
      <c r="G13" s="178"/>
      <c r="H13" s="178"/>
      <c r="I13" s="178"/>
      <c r="J13" s="178"/>
      <c r="K13" s="178"/>
      <c r="L13" s="178"/>
      <c r="M13" s="178"/>
      <c r="N13" s="178"/>
      <c r="O13" s="178"/>
      <c r="P13" s="178"/>
      <c r="Q13" s="178"/>
      <c r="R13" s="178"/>
      <c r="S13" s="178"/>
      <c r="T13" s="178"/>
      <c r="U13" s="178"/>
      <c r="V13" s="178"/>
    </row>
    <row r="14" spans="1:22" x14ac:dyDescent="0.3">
      <c r="A14" s="179"/>
      <c r="B14" s="177"/>
      <c r="C14" s="178"/>
      <c r="D14" s="178"/>
      <c r="E14" s="178"/>
      <c r="F14" s="178"/>
      <c r="G14" s="178"/>
      <c r="H14" s="178"/>
      <c r="I14" s="178"/>
      <c r="J14" s="178"/>
      <c r="K14" s="178"/>
      <c r="L14" s="178"/>
      <c r="M14" s="178"/>
      <c r="N14" s="178"/>
      <c r="O14" s="178"/>
      <c r="P14" s="178"/>
      <c r="Q14" s="178"/>
      <c r="R14" s="178"/>
      <c r="S14" s="178"/>
      <c r="T14" s="178"/>
      <c r="U14" s="178"/>
      <c r="V14" s="178"/>
    </row>
    <row r="15" spans="1:22" x14ac:dyDescent="0.3">
      <c r="A15" s="179"/>
      <c r="B15" s="177"/>
      <c r="C15" s="178"/>
      <c r="D15" s="178"/>
      <c r="E15" s="178"/>
      <c r="F15" s="178"/>
      <c r="G15" s="178"/>
      <c r="H15" s="178"/>
      <c r="I15" s="178"/>
      <c r="J15" s="178"/>
      <c r="K15" s="178"/>
      <c r="L15" s="178"/>
      <c r="M15" s="178"/>
      <c r="N15" s="178"/>
      <c r="O15" s="178"/>
      <c r="P15" s="178"/>
      <c r="Q15" s="178"/>
      <c r="R15" s="178"/>
      <c r="S15" s="178"/>
      <c r="T15" s="178"/>
      <c r="U15" s="178"/>
      <c r="V15" s="178"/>
    </row>
    <row r="16" spans="1:22" x14ac:dyDescent="0.3">
      <c r="A16" s="179"/>
      <c r="B16" s="177"/>
      <c r="C16" s="178"/>
      <c r="D16" s="178"/>
      <c r="E16" s="178"/>
      <c r="F16" s="178"/>
      <c r="G16" s="178"/>
      <c r="H16" s="178"/>
      <c r="I16" s="178"/>
      <c r="J16" s="178"/>
      <c r="K16" s="178"/>
      <c r="L16" s="178"/>
      <c r="M16" s="178"/>
      <c r="N16" s="178"/>
      <c r="O16" s="178"/>
      <c r="P16" s="178"/>
      <c r="Q16" s="178"/>
      <c r="R16" s="178"/>
      <c r="S16" s="178"/>
      <c r="T16" s="178"/>
      <c r="U16" s="178"/>
      <c r="V16" s="178"/>
    </row>
    <row r="17" spans="1:22" x14ac:dyDescent="0.3">
      <c r="A17" s="179"/>
    </row>
    <row r="18" spans="1:22" x14ac:dyDescent="0.3">
      <c r="A18" s="179"/>
    </row>
    <row r="19" spans="1:22" x14ac:dyDescent="0.3">
      <c r="A19" s="179"/>
      <c r="B19" s="49" t="s">
        <v>226</v>
      </c>
      <c r="L19" s="34"/>
      <c r="M19" s="34"/>
    </row>
    <row r="20" spans="1:22" x14ac:dyDescent="0.3">
      <c r="A20" s="179"/>
      <c r="B20" s="97" t="s">
        <v>102</v>
      </c>
      <c r="C20" s="97">
        <v>2021</v>
      </c>
      <c r="D20" s="98">
        <v>2022</v>
      </c>
      <c r="E20" s="97">
        <v>2023</v>
      </c>
      <c r="F20" s="98">
        <v>2024</v>
      </c>
      <c r="G20" s="97">
        <v>2025</v>
      </c>
      <c r="H20" s="98">
        <v>2026</v>
      </c>
      <c r="I20" s="97">
        <v>2027</v>
      </c>
      <c r="J20" s="98">
        <v>2028</v>
      </c>
      <c r="K20" s="97">
        <v>2029</v>
      </c>
      <c r="L20" s="98">
        <v>2030</v>
      </c>
      <c r="M20" s="97">
        <v>2031</v>
      </c>
      <c r="N20" s="98">
        <v>2032</v>
      </c>
      <c r="O20" s="97">
        <v>2033</v>
      </c>
      <c r="P20" s="98">
        <v>2034</v>
      </c>
      <c r="Q20" s="97">
        <v>2035</v>
      </c>
      <c r="R20" s="98">
        <v>2036</v>
      </c>
      <c r="S20" s="97">
        <v>2037</v>
      </c>
      <c r="T20" s="98">
        <v>2038</v>
      </c>
      <c r="U20" s="97">
        <v>2039</v>
      </c>
      <c r="V20" s="98">
        <v>2040</v>
      </c>
    </row>
    <row r="21" spans="1:22" x14ac:dyDescent="0.3">
      <c r="A21" s="179"/>
      <c r="B21" s="47" t="s">
        <v>59</v>
      </c>
      <c r="C21" s="100">
        <f>IFERROR(DTE_demand_forecast!C141*Settings!$K$43,"-")</f>
        <v>5646755.7739287838</v>
      </c>
      <c r="D21" s="100">
        <f>IFERROR(DTE_demand_forecast!D141*Settings!$K$43,"-")</f>
        <v>6172369.9422220532</v>
      </c>
      <c r="E21" s="100">
        <f>IFERROR(DTE_demand_forecast!E141*Settings!$K$43,"-")</f>
        <v>6711674.4786239574</v>
      </c>
      <c r="F21" s="100">
        <f>IFERROR(DTE_demand_forecast!F141*Settings!$K$43,"-")</f>
        <v>7290646.8563656928</v>
      </c>
      <c r="G21" s="100">
        <f>IFERROR(DTE_demand_forecast!G141*Settings!$K$43,"-")</f>
        <v>7882874.7999853427</v>
      </c>
      <c r="H21" s="100">
        <f>IFERROR(DTE_demand_forecast!H141*Settings!$K$43,"-")</f>
        <v>8497930.4388863314</v>
      </c>
      <c r="I21" s="100">
        <f>IFERROR(DTE_demand_forecast!I141*Settings!$K$43,"-")</f>
        <v>9136489.9897024669</v>
      </c>
      <c r="J21" s="100">
        <f>IFERROR(DTE_demand_forecast!J141*Settings!$K$43,"-")</f>
        <v>9799247.5866547879</v>
      </c>
      <c r="K21" s="100">
        <f>IFERROR(DTE_demand_forecast!K141*Settings!$K$43,"-")</f>
        <v>10486915.727768423</v>
      </c>
      <c r="L21" s="100">
        <f>IFERROR(DTE_demand_forecast!L141*Settings!$K$43,"-")</f>
        <v>11200225.731771043</v>
      </c>
      <c r="M21" s="100">
        <f>IFERROR(DTE_demand_forecast!M141*Settings!$K$43,"-")</f>
        <v>14349956.769469187</v>
      </c>
      <c r="N21" s="100">
        <f>IFERROR(DTE_demand_forecast!N141*Settings!$K$43,"-")</f>
        <v>14535488.701510264</v>
      </c>
      <c r="O21" s="100">
        <f>IFERROR(DTE_demand_forecast!O141*Settings!$K$43,"-")</f>
        <v>14724731.272192169</v>
      </c>
      <c r="P21" s="100">
        <f>IFERROR(DTE_demand_forecast!P141*Settings!$K$43,"-")</f>
        <v>14917758.69428771</v>
      </c>
      <c r="Q21" s="100">
        <f>IFERROR(DTE_demand_forecast!Q141*Settings!$K$43,"-")</f>
        <v>15114646.66482516</v>
      </c>
      <c r="R21" s="100">
        <f>IFERROR(DTE_demand_forecast!R141*Settings!$K$43,"-")</f>
        <v>15315472.39477336</v>
      </c>
      <c r="S21" s="100">
        <f>IFERROR(DTE_demand_forecast!S141*Settings!$K$43,"-")</f>
        <v>15520314.639320526</v>
      </c>
      <c r="T21" s="100">
        <f>IFERROR(DTE_demand_forecast!T141*Settings!$K$43,"-")</f>
        <v>15729253.728758633</v>
      </c>
      <c r="U21" s="100">
        <f>IFERROR(DTE_demand_forecast!U141*Settings!$K$43,"-")</f>
        <v>15942371.599985505</v>
      </c>
      <c r="V21" s="100">
        <f>IFERROR(DTE_demand_forecast!V141*Settings!$K$43,"-")</f>
        <v>16159751.828636911</v>
      </c>
    </row>
    <row r="22" spans="1:22" x14ac:dyDescent="0.3">
      <c r="A22" s="179"/>
      <c r="B22" s="47" t="s">
        <v>57</v>
      </c>
      <c r="C22" s="100">
        <f>IFERROR(DTE_demand_forecast!C142*Settings!$K$43,"-")</f>
        <v>7291024.0886888187</v>
      </c>
      <c r="D22" s="100">
        <f>IFERROR(DTE_demand_forecast!D142*Settings!$K$43,"-")</f>
        <v>5946586.8183782157</v>
      </c>
      <c r="E22" s="100">
        <f>IFERROR(DTE_demand_forecast!E142*Settings!$K$43,"-")</f>
        <v>5241931.1554125836</v>
      </c>
      <c r="F22" s="100">
        <f>IFERROR(DTE_demand_forecast!F142*Settings!$K$43,"-")</f>
        <v>4294758.4126302935</v>
      </c>
      <c r="G22" s="100">
        <f>IFERROR(DTE_demand_forecast!G142*Settings!$K$43,"-")</f>
        <v>5260396.9752869336</v>
      </c>
      <c r="H22" s="100">
        <f>IFERROR(DTE_demand_forecast!H142*Settings!$K$43,"-")</f>
        <v>5268885.539684929</v>
      </c>
      <c r="I22" s="100">
        <f>IFERROR(DTE_demand_forecast!I142*Settings!$K$43,"-")</f>
        <v>5329864.6547047403</v>
      </c>
      <c r="J22" s="100">
        <f>IFERROR(DTE_demand_forecast!J142*Settings!$K$43,"-")</f>
        <v>6176535.9230447533</v>
      </c>
      <c r="K22" s="100">
        <f>IFERROR(DTE_demand_forecast!K142*Settings!$K$43,"-")</f>
        <v>6622652.9720971333</v>
      </c>
      <c r="L22" s="100">
        <f>IFERROR(DTE_demand_forecast!L142*Settings!$K$43,"-")</f>
        <v>7084153.3676685607</v>
      </c>
      <c r="M22" s="100">
        <f>IFERROR(DTE_demand_forecast!M142*Settings!$K$43,"-")</f>
        <v>7225372.4887134172</v>
      </c>
      <c r="N22" s="100">
        <f>IFERROR(DTE_demand_forecast!N142*Settings!$K$43,"-")</f>
        <v>7369415.9921791693</v>
      </c>
      <c r="O22" s="100">
        <f>IFERROR(DTE_demand_forecast!O142*Settings!$K$43,"-")</f>
        <v>7516340.3657142399</v>
      </c>
      <c r="P22" s="100">
        <f>IFERROR(DTE_demand_forecast!P142*Settings!$K$43,"-")</f>
        <v>7666203.2267200099</v>
      </c>
      <c r="Q22" s="100">
        <f>IFERROR(DTE_demand_forecast!Q142*Settings!$K$43,"-")</f>
        <v>7819063.3449458964</v>
      </c>
      <c r="R22" s="100">
        <f>IFERROR(DTE_demand_forecast!R142*Settings!$K$43,"-")</f>
        <v>7974980.6655362975</v>
      </c>
      <c r="S22" s="100">
        <f>IFERROR(DTE_demand_forecast!S142*Settings!$K$43,"-")</f>
        <v>8134016.3325385116</v>
      </c>
      <c r="T22" s="100">
        <f>IFERROR(DTE_demand_forecast!T142*Settings!$K$43,"-")</f>
        <v>8296232.7128807679</v>
      </c>
      <c r="U22" s="100">
        <f>IFERROR(DTE_demand_forecast!U142*Settings!$K$43,"-")</f>
        <v>8461693.4208298679</v>
      </c>
      <c r="V22" s="100">
        <f>IFERROR(DTE_demand_forecast!V142*Settings!$K$43,"-")</f>
        <v>8630463.3429379519</v>
      </c>
    </row>
    <row r="23" spans="1:22" x14ac:dyDescent="0.3">
      <c r="A23" s="179"/>
      <c r="B23" s="47" t="s">
        <v>56</v>
      </c>
      <c r="C23" s="100">
        <f>IFERROR(DTE_demand_forecast!C143*Settings!$K$43,"-")</f>
        <v>120308.81924349625</v>
      </c>
      <c r="D23" s="100">
        <f>IFERROR(DTE_demand_forecast!D143*Settings!$K$43,"-")</f>
        <v>128704.91472239394</v>
      </c>
      <c r="E23" s="100">
        <f>IFERROR(DTE_demand_forecast!E143*Settings!$K$43,"-")</f>
        <v>153834.92844077252</v>
      </c>
      <c r="F23" s="100">
        <f>IFERROR(DTE_demand_forecast!F143*Settings!$K$43,"-")</f>
        <v>164041.55995636192</v>
      </c>
      <c r="G23" s="100">
        <f>IFERROR(DTE_demand_forecast!G143*Settings!$K$43,"-")</f>
        <v>174620.23965300346</v>
      </c>
      <c r="H23" s="100">
        <f>IFERROR(DTE_demand_forecast!H143*Settings!$K$43,"-")</f>
        <v>185581.76680533303</v>
      </c>
      <c r="I23" s="100">
        <f>IFERROR(DTE_demand_forecast!I143*Settings!$K$43,"-")</f>
        <v>196937.22383969938</v>
      </c>
      <c r="J23" s="100">
        <f>IFERROR(DTE_demand_forecast!J143*Settings!$K$43,"-")</f>
        <v>208697.98334052312</v>
      </c>
      <c r="K23" s="100">
        <f>IFERROR(DTE_demand_forecast!K143*Settings!$K$43,"-")</f>
        <v>220875.71522364879</v>
      </c>
      <c r="L23" s="100">
        <f>IFERROR(DTE_demand_forecast!L143*Settings!$K$43,"-")</f>
        <v>233482.39408056816</v>
      </c>
      <c r="M23" s="100">
        <f>IFERROR(DTE_demand_forecast!M143*Settings!$K$43,"-")</f>
        <v>236886.1973719364</v>
      </c>
      <c r="N23" s="100">
        <f>IFERROR(DTE_demand_forecast!N143*Settings!$K$43,"-")</f>
        <v>240358.07672913198</v>
      </c>
      <c r="O23" s="100">
        <f>IFERROR(DTE_demand_forecast!O143*Settings!$K$43,"-")</f>
        <v>243899.39367347152</v>
      </c>
      <c r="P23" s="100">
        <f>IFERROR(DTE_demand_forecast!P143*Settings!$K$43,"-")</f>
        <v>247511.53695669779</v>
      </c>
      <c r="Q23" s="100">
        <f>IFERROR(DTE_demand_forecast!Q143*Settings!$K$43,"-")</f>
        <v>251195.92310558859</v>
      </c>
      <c r="R23" s="100">
        <f>IFERROR(DTE_demand_forecast!R143*Settings!$K$43,"-")</f>
        <v>254953.99697745719</v>
      </c>
      <c r="S23" s="100">
        <f>IFERROR(DTE_demand_forecast!S143*Settings!$K$43,"-")</f>
        <v>258787.23232676325</v>
      </c>
      <c r="T23" s="100">
        <f>IFERROR(DTE_demand_forecast!T143*Settings!$K$43,"-")</f>
        <v>262697.1323830554</v>
      </c>
      <c r="U23" s="100">
        <f>IFERROR(DTE_demand_forecast!U143*Settings!$K$43,"-")</f>
        <v>266685.2304404733</v>
      </c>
      <c r="V23" s="100">
        <f>IFERROR(DTE_demand_forecast!V143*Settings!$K$43,"-")</f>
        <v>270753.09045903967</v>
      </c>
    </row>
    <row r="24" spans="1:22" x14ac:dyDescent="0.3">
      <c r="A24" s="179"/>
      <c r="B24" s="47" t="s">
        <v>100</v>
      </c>
      <c r="C24" s="100">
        <f>IFERROR(DTE_demand_forecast!C144*Settings!$K$43,"-")</f>
        <v>0</v>
      </c>
      <c r="D24" s="100">
        <f>IFERROR(DTE_demand_forecast!D144*Settings!$K$43,"-")</f>
        <v>0</v>
      </c>
      <c r="E24" s="100">
        <f>IFERROR(DTE_demand_forecast!E144*Settings!$K$43,"-")</f>
        <v>0</v>
      </c>
      <c r="F24" s="100">
        <f>IFERROR(DTE_demand_forecast!F144*Settings!$K$43,"-")</f>
        <v>0</v>
      </c>
      <c r="G24" s="100">
        <f>IFERROR(DTE_demand_forecast!G144*Settings!$K$43,"-")</f>
        <v>0</v>
      </c>
      <c r="H24" s="100">
        <f>IFERROR(DTE_demand_forecast!H144*Settings!$K$43,"-")</f>
        <v>0</v>
      </c>
      <c r="I24" s="100">
        <f>IFERROR(DTE_demand_forecast!I144*Settings!$K$43,"-")</f>
        <v>0</v>
      </c>
      <c r="J24" s="100">
        <f>IFERROR(DTE_demand_forecast!J144*Settings!$K$43,"-")</f>
        <v>0</v>
      </c>
      <c r="K24" s="100">
        <f>IFERROR(DTE_demand_forecast!K144*Settings!$K$43,"-")</f>
        <v>0</v>
      </c>
      <c r="L24" s="100">
        <f>IFERROR(DTE_demand_forecast!L144*Settings!$K$43,"-")</f>
        <v>0</v>
      </c>
      <c r="M24" s="100">
        <f>IFERROR(DTE_demand_forecast!M144*Settings!$K$43,"-")</f>
        <v>0</v>
      </c>
      <c r="N24" s="100">
        <f>IFERROR(DTE_demand_forecast!N144*Settings!$K$43,"-")</f>
        <v>0</v>
      </c>
      <c r="O24" s="100">
        <f>IFERROR(DTE_demand_forecast!O144*Settings!$K$43,"-")</f>
        <v>0</v>
      </c>
      <c r="P24" s="100">
        <f>IFERROR(DTE_demand_forecast!P144*Settings!$K$43,"-")</f>
        <v>0</v>
      </c>
      <c r="Q24" s="100">
        <f>IFERROR(DTE_demand_forecast!Q144*Settings!$K$43,"-")</f>
        <v>0</v>
      </c>
      <c r="R24" s="100">
        <f>IFERROR(DTE_demand_forecast!R144*Settings!$K$43,"-")</f>
        <v>0</v>
      </c>
      <c r="S24" s="100">
        <f>IFERROR(DTE_demand_forecast!S144*Settings!$K$43,"-")</f>
        <v>0</v>
      </c>
      <c r="T24" s="100">
        <f>IFERROR(DTE_demand_forecast!T144*Settings!$K$43,"-")</f>
        <v>0</v>
      </c>
      <c r="U24" s="100">
        <f>IFERROR(DTE_demand_forecast!U144*Settings!$K$43,"-")</f>
        <v>0</v>
      </c>
      <c r="V24" s="100">
        <f>IFERROR(DTE_demand_forecast!V144*Settings!$K$43,"-")</f>
        <v>0</v>
      </c>
    </row>
    <row r="25" spans="1:22" x14ac:dyDescent="0.3">
      <c r="A25" s="179"/>
      <c r="B25" s="47" t="s">
        <v>60</v>
      </c>
      <c r="C25" s="100">
        <f>IFERROR(DTE_demand_forecast!C145*Settings!$K$43,"-")</f>
        <v>0</v>
      </c>
      <c r="D25" s="100">
        <f>IFERROR(DTE_demand_forecast!D145*Settings!$K$43,"-")</f>
        <v>0</v>
      </c>
      <c r="E25" s="100">
        <f>IFERROR(DTE_demand_forecast!E145*Settings!$K$43,"-")</f>
        <v>0</v>
      </c>
      <c r="F25" s="100">
        <f>IFERROR(DTE_demand_forecast!F145*Settings!$K$43,"-")</f>
        <v>0</v>
      </c>
      <c r="G25" s="100">
        <f>IFERROR(DTE_demand_forecast!G145*Settings!$K$43,"-")</f>
        <v>0</v>
      </c>
      <c r="H25" s="100">
        <f>IFERROR(DTE_demand_forecast!H145*Settings!$K$43,"-")</f>
        <v>0</v>
      </c>
      <c r="I25" s="100">
        <f>IFERROR(DTE_demand_forecast!I145*Settings!$K$43,"-")</f>
        <v>0</v>
      </c>
      <c r="J25" s="100">
        <f>IFERROR(DTE_demand_forecast!J145*Settings!$K$43,"-")</f>
        <v>0</v>
      </c>
      <c r="K25" s="100">
        <f>IFERROR(DTE_demand_forecast!K145*Settings!$K$43,"-")</f>
        <v>0</v>
      </c>
      <c r="L25" s="100">
        <f>IFERROR(DTE_demand_forecast!L145*Settings!$K$43,"-")</f>
        <v>0</v>
      </c>
      <c r="M25" s="100">
        <f>IFERROR(DTE_demand_forecast!M145*Settings!$K$43,"-")</f>
        <v>0</v>
      </c>
      <c r="N25" s="100">
        <f>IFERROR(DTE_demand_forecast!N145*Settings!$K$43,"-")</f>
        <v>0</v>
      </c>
      <c r="O25" s="100">
        <f>IFERROR(DTE_demand_forecast!O145*Settings!$K$43,"-")</f>
        <v>0</v>
      </c>
      <c r="P25" s="100">
        <f>IFERROR(DTE_demand_forecast!P145*Settings!$K$43,"-")</f>
        <v>0</v>
      </c>
      <c r="Q25" s="100">
        <f>IFERROR(DTE_demand_forecast!Q145*Settings!$K$43,"-")</f>
        <v>0</v>
      </c>
      <c r="R25" s="100">
        <f>IFERROR(DTE_demand_forecast!R145*Settings!$K$43,"-")</f>
        <v>0</v>
      </c>
      <c r="S25" s="100">
        <f>IFERROR(DTE_demand_forecast!S145*Settings!$K$43,"-")</f>
        <v>0</v>
      </c>
      <c r="T25" s="100">
        <f>IFERROR(DTE_demand_forecast!T145*Settings!$K$43,"-")</f>
        <v>0</v>
      </c>
      <c r="U25" s="100">
        <f>IFERROR(DTE_demand_forecast!U145*Settings!$K$43,"-")</f>
        <v>0</v>
      </c>
      <c r="V25" s="100">
        <f>IFERROR(DTE_demand_forecast!V145*Settings!$K$43,"-")</f>
        <v>0</v>
      </c>
    </row>
    <row r="26" spans="1:22" x14ac:dyDescent="0.3">
      <c r="A26" s="179"/>
      <c r="B26" s="47" t="s">
        <v>101</v>
      </c>
      <c r="C26" s="100">
        <f>IFERROR(DTE_demand_forecast!C146*Settings!$K$43,"-")</f>
        <v>0</v>
      </c>
      <c r="D26" s="100">
        <f>IFERROR(DTE_demand_forecast!D146*Settings!$K$43,"-")</f>
        <v>0</v>
      </c>
      <c r="E26" s="100">
        <f>IFERROR(DTE_demand_forecast!E146*Settings!$K$43,"-")</f>
        <v>0</v>
      </c>
      <c r="F26" s="100">
        <f>IFERROR(DTE_demand_forecast!F146*Settings!$K$43,"-")</f>
        <v>0</v>
      </c>
      <c r="G26" s="100">
        <f>IFERROR(DTE_demand_forecast!G146*Settings!$K$43,"-")</f>
        <v>0</v>
      </c>
      <c r="H26" s="100">
        <f>IFERROR(DTE_demand_forecast!H146*Settings!$K$43,"-")</f>
        <v>0</v>
      </c>
      <c r="I26" s="100">
        <f>IFERROR(DTE_demand_forecast!I146*Settings!$K$43,"-")</f>
        <v>0</v>
      </c>
      <c r="J26" s="100">
        <f>IFERROR(DTE_demand_forecast!J146*Settings!$K$43,"-")</f>
        <v>0</v>
      </c>
      <c r="K26" s="100">
        <f>IFERROR(DTE_demand_forecast!K146*Settings!$K$43,"-")</f>
        <v>0</v>
      </c>
      <c r="L26" s="100">
        <f>IFERROR(DTE_demand_forecast!L146*Settings!$K$43,"-")</f>
        <v>0</v>
      </c>
      <c r="M26" s="100">
        <f>IFERROR(DTE_demand_forecast!M146*Settings!$K$43,"-")</f>
        <v>0</v>
      </c>
      <c r="N26" s="100">
        <f>IFERROR(DTE_demand_forecast!N146*Settings!$K$43,"-")</f>
        <v>0</v>
      </c>
      <c r="O26" s="100">
        <f>IFERROR(DTE_demand_forecast!O146*Settings!$K$43,"-")</f>
        <v>0</v>
      </c>
      <c r="P26" s="100">
        <f>IFERROR(DTE_demand_forecast!P146*Settings!$K$43,"-")</f>
        <v>0</v>
      </c>
      <c r="Q26" s="100">
        <f>IFERROR(DTE_demand_forecast!Q146*Settings!$K$43,"-")</f>
        <v>0</v>
      </c>
      <c r="R26" s="100">
        <f>IFERROR(DTE_demand_forecast!R146*Settings!$K$43,"-")</f>
        <v>0</v>
      </c>
      <c r="S26" s="100">
        <f>IFERROR(DTE_demand_forecast!S146*Settings!$K$43,"-")</f>
        <v>0</v>
      </c>
      <c r="T26" s="100">
        <f>IFERROR(DTE_demand_forecast!T146*Settings!$K$43,"-")</f>
        <v>0</v>
      </c>
      <c r="U26" s="100">
        <f>IFERROR(DTE_demand_forecast!U146*Settings!$K$43,"-")</f>
        <v>0</v>
      </c>
      <c r="V26" s="100">
        <f>IFERROR(DTE_demand_forecast!V146*Settings!$K$43,"-")</f>
        <v>0</v>
      </c>
    </row>
    <row r="27" spans="1:22" x14ac:dyDescent="0.3">
      <c r="A27" s="179"/>
      <c r="B27" s="47" t="s">
        <v>58</v>
      </c>
      <c r="C27" s="100">
        <f>IFERROR(DTE_demand_forecast!C147*Settings!$K$43,"-")</f>
        <v>13019.821448938834</v>
      </c>
      <c r="D27" s="100">
        <f>IFERROR(DTE_demand_forecast!D147*Settings!$K$43,"-")</f>
        <v>15527.327823716372</v>
      </c>
      <c r="E27" s="100">
        <f>IFERROR(DTE_demand_forecast!E147*Settings!$K$43,"-")</f>
        <v>17452.191779995705</v>
      </c>
      <c r="F27" s="100">
        <f>IFERROR(DTE_demand_forecast!F147*Settings!$K$43,"-")</f>
        <v>19974.923985493981</v>
      </c>
      <c r="G27" s="100">
        <f>IFERROR(DTE_demand_forecast!G147*Settings!$K$43,"-")</f>
        <v>27972.274721659374</v>
      </c>
      <c r="H27" s="100">
        <f>IFERROR(DTE_demand_forecast!H147*Settings!$K$43,"-")</f>
        <v>30672.740772251789</v>
      </c>
      <c r="I27" s="100">
        <f>IFERROR(DTE_demand_forecast!I147*Settings!$K$43,"-")</f>
        <v>33474.301192943291</v>
      </c>
      <c r="J27" s="100">
        <f>IFERROR(DTE_demand_forecast!J147*Settings!$K$43,"-")</f>
        <v>36379.919572117622</v>
      </c>
      <c r="K27" s="100">
        <f>IFERROR(DTE_demand_forecast!K147*Settings!$K$43,"-")</f>
        <v>39392.637603945826</v>
      </c>
      <c r="L27" s="100">
        <f>IFERROR(DTE_demand_forecast!L147*Settings!$K$43,"-")</f>
        <v>42515.577027182379</v>
      </c>
      <c r="M27" s="100">
        <f>IFERROR(DTE_demand_forecast!M147*Settings!$K$43,"-")</f>
        <v>43152.656669522636</v>
      </c>
      <c r="N27" s="100">
        <f>IFERROR(DTE_demand_forecast!N147*Settings!$K$43,"-")</f>
        <v>43802.477904709696</v>
      </c>
      <c r="O27" s="100">
        <f>IFERROR(DTE_demand_forecast!O147*Settings!$K$43,"-")</f>
        <v>44465.295564600499</v>
      </c>
      <c r="P27" s="100">
        <f>IFERROR(DTE_demand_forecast!P147*Settings!$K$43,"-")</f>
        <v>45141.369577689118</v>
      </c>
      <c r="Q27" s="100">
        <f>IFERROR(DTE_demand_forecast!Q147*Settings!$K$43,"-")</f>
        <v>45830.965071039514</v>
      </c>
      <c r="R27" s="100">
        <f>IFERROR(DTE_demand_forecast!R147*Settings!$K$43,"-")</f>
        <v>46534.352474256899</v>
      </c>
      <c r="S27" s="100">
        <f>IFERROR(DTE_demand_forecast!S147*Settings!$K$43,"-")</f>
        <v>47251.807625538655</v>
      </c>
      <c r="T27" s="100">
        <f>IFERROR(DTE_demand_forecast!T147*Settings!$K$43,"-")</f>
        <v>47983.611879846037</v>
      </c>
      <c r="U27" s="100">
        <f>IFERROR(DTE_demand_forecast!U147*Settings!$K$43,"-")</f>
        <v>48730.052219239558</v>
      </c>
      <c r="V27" s="100">
        <f>IFERROR(DTE_demand_forecast!V147*Settings!$K$43,"-")</f>
        <v>49491.42136542096</v>
      </c>
    </row>
    <row r="28" spans="1:22" x14ac:dyDescent="0.3">
      <c r="A28" s="179"/>
      <c r="B28" s="47" t="s">
        <v>61</v>
      </c>
      <c r="C28" s="100">
        <f>IFERROR(DTE_demand_forecast!C148*Settings!$K$43,"-")</f>
        <v>803790.64376125706</v>
      </c>
      <c r="D28" s="100">
        <f>IFERROR(DTE_demand_forecast!D148*Settings!$K$43,"-")</f>
        <v>1616316.1207626457</v>
      </c>
      <c r="E28" s="100">
        <f>IFERROR(DTE_demand_forecast!E148*Settings!$K$43,"-")</f>
        <v>1772329.5369148885</v>
      </c>
      <c r="F28" s="100">
        <f>IFERROR(DTE_demand_forecast!F148*Settings!$K$43,"-")</f>
        <v>1934752.6191777184</v>
      </c>
      <c r="G28" s="100">
        <f>IFERROR(DTE_demand_forecast!G148*Settings!$K$43,"-")</f>
        <v>2103174.7958131679</v>
      </c>
      <c r="H28" s="100">
        <f>IFERROR(DTE_demand_forecast!H148*Settings!$K$43,"-")</f>
        <v>2997635.6787728332</v>
      </c>
      <c r="I28" s="100">
        <f>IFERROR(DTE_demand_forecast!I148*Settings!$K$43,"-")</f>
        <v>3193305.1951443651</v>
      </c>
      <c r="J28" s="100">
        <f>IFERROR(DTE_demand_forecast!J148*Settings!$K$43,"-")</f>
        <v>3395866.9511970426</v>
      </c>
      <c r="K28" s="100">
        <f>IFERROR(DTE_demand_forecast!K148*Settings!$K$43,"-")</f>
        <v>3605518.3687115656</v>
      </c>
      <c r="L28" s="100">
        <f>IFERROR(DTE_demand_forecast!L148*Settings!$K$43,"-")</f>
        <v>3822462.0094439848</v>
      </c>
      <c r="M28" s="100">
        <f>IFERROR(DTE_demand_forecast!M148*Settings!$K$43,"-")</f>
        <v>3885685.5847431473</v>
      </c>
      <c r="N28" s="100">
        <f>IFERROR(DTE_demand_forecast!N148*Settings!$K$43,"-")</f>
        <v>3950173.631548292</v>
      </c>
      <c r="O28" s="100">
        <f>IFERROR(DTE_demand_forecast!O148*Settings!$K$43,"-")</f>
        <v>4015951.4392895414</v>
      </c>
      <c r="P28" s="100">
        <f>IFERROR(DTE_demand_forecast!P148*Settings!$K$43,"-")</f>
        <v>4083044.8031856143</v>
      </c>
      <c r="Q28" s="100">
        <f>IFERROR(DTE_demand_forecast!Q148*Settings!$K$43,"-")</f>
        <v>4151480.0343596092</v>
      </c>
      <c r="R28" s="100">
        <f>IFERROR(DTE_demand_forecast!R148*Settings!$K$43,"-")</f>
        <v>4221283.9701570822</v>
      </c>
      <c r="S28" s="100">
        <f>IFERROR(DTE_demand_forecast!S148*Settings!$K$43,"-")</f>
        <v>4292483.9846705077</v>
      </c>
      <c r="T28" s="100">
        <f>IFERROR(DTE_demand_forecast!T148*Settings!$K$43,"-")</f>
        <v>4365107.9994742004</v>
      </c>
      <c r="U28" s="100">
        <f>IFERROR(DTE_demand_forecast!U148*Settings!$K$43,"-")</f>
        <v>4439184.4945739666</v>
      </c>
      <c r="V28" s="100">
        <f>IFERROR(DTE_demand_forecast!V148*Settings!$K$43,"-")</f>
        <v>4514742.5195757272</v>
      </c>
    </row>
    <row r="29" spans="1:22" x14ac:dyDescent="0.3">
      <c r="A29" s="179"/>
      <c r="B29" s="47" t="s">
        <v>104</v>
      </c>
      <c r="C29" s="176">
        <f>SUM(C21:C28)</f>
        <v>13874899.147071294</v>
      </c>
      <c r="D29" s="176">
        <f>SUM(D21:D28)</f>
        <v>13879505.123909026</v>
      </c>
      <c r="E29" s="176">
        <f>SUM(E21:E28)</f>
        <v>13897222.291172197</v>
      </c>
      <c r="F29" s="176">
        <f>SUM(F21:F28)</f>
        <v>13704174.37211556</v>
      </c>
      <c r="G29" s="176">
        <f>SUM(G21:G28)</f>
        <v>15449039.085460108</v>
      </c>
      <c r="H29" s="176">
        <f>SUM(H21:H28)</f>
        <v>16980706.164921679</v>
      </c>
      <c r="I29" s="176">
        <f>SUM(I21:I28)</f>
        <v>17890071.364584215</v>
      </c>
      <c r="J29" s="176">
        <f>SUM(J21:J28)</f>
        <v>19616728.363809224</v>
      </c>
      <c r="K29" s="176">
        <f>SUM(K21:K28)</f>
        <v>20975355.421404716</v>
      </c>
      <c r="L29" s="176">
        <f>SUM(L21:L28)</f>
        <v>22382839.079991337</v>
      </c>
      <c r="M29" s="176">
        <f>SUM(M21:M28)</f>
        <v>25741053.696967211</v>
      </c>
      <c r="N29" s="176">
        <f>SUM(N21:N28)</f>
        <v>26139238.87987157</v>
      </c>
      <c r="O29" s="176">
        <f>SUM(O21:O28)</f>
        <v>26545387.766434021</v>
      </c>
      <c r="P29" s="176">
        <f>SUM(P21:P28)</f>
        <v>26959659.630727723</v>
      </c>
      <c r="Q29" s="176">
        <f>SUM(Q21:Q28)</f>
        <v>27382216.932307296</v>
      </c>
      <c r="R29" s="176">
        <f>SUM(R21:R28)</f>
        <v>27813225.379918452</v>
      </c>
      <c r="S29" s="176">
        <f>SUM(S21:S28)</f>
        <v>28252853.996481851</v>
      </c>
      <c r="T29" s="176">
        <f>SUM(T21:T28)</f>
        <v>28701275.185376503</v>
      </c>
      <c r="U29" s="176">
        <f>SUM(U21:U28)</f>
        <v>29158664.798049051</v>
      </c>
      <c r="V29" s="176">
        <f>SUM(V21:V28)</f>
        <v>29625202.20297505</v>
      </c>
    </row>
    <row r="30" spans="1:22" x14ac:dyDescent="0.3">
      <c r="A30" s="179"/>
    </row>
    <row r="31" spans="1:22" x14ac:dyDescent="0.3">
      <c r="A31" s="179"/>
    </row>
    <row r="32" spans="1:22" x14ac:dyDescent="0.3">
      <c r="A32" s="179"/>
    </row>
    <row r="33" spans="1:22" x14ac:dyDescent="0.3">
      <c r="A33" s="179"/>
    </row>
    <row r="34" spans="1:22" x14ac:dyDescent="0.3">
      <c r="A34" s="179"/>
    </row>
    <row r="35" spans="1:22" x14ac:dyDescent="0.3">
      <c r="A35" s="179"/>
    </row>
    <row r="36" spans="1:22" x14ac:dyDescent="0.3">
      <c r="A36" s="179"/>
    </row>
    <row r="37" spans="1:22" x14ac:dyDescent="0.3">
      <c r="A37" s="179"/>
      <c r="B37" s="49" t="s">
        <v>227</v>
      </c>
      <c r="L37" s="34"/>
      <c r="M37" s="34"/>
    </row>
    <row r="38" spans="1:22" x14ac:dyDescent="0.3">
      <c r="A38" s="179"/>
      <c r="B38" s="97" t="s">
        <v>102</v>
      </c>
      <c r="C38" s="97">
        <v>2021</v>
      </c>
      <c r="D38" s="98">
        <v>2022</v>
      </c>
      <c r="E38" s="97">
        <v>2023</v>
      </c>
      <c r="F38" s="98">
        <v>2024</v>
      </c>
      <c r="G38" s="97">
        <v>2025</v>
      </c>
      <c r="H38" s="98">
        <v>2026</v>
      </c>
      <c r="I38" s="97">
        <v>2027</v>
      </c>
      <c r="J38" s="98">
        <v>2028</v>
      </c>
      <c r="K38" s="97">
        <v>2029</v>
      </c>
      <c r="L38" s="98">
        <v>2030</v>
      </c>
      <c r="M38" s="97">
        <v>2031</v>
      </c>
      <c r="N38" s="98">
        <v>2032</v>
      </c>
      <c r="O38" s="97">
        <v>2033</v>
      </c>
      <c r="P38" s="98">
        <v>2034</v>
      </c>
      <c r="Q38" s="97">
        <v>2035</v>
      </c>
      <c r="R38" s="98">
        <v>2036</v>
      </c>
      <c r="S38" s="97">
        <v>2037</v>
      </c>
      <c r="T38" s="98">
        <v>2038</v>
      </c>
      <c r="U38" s="97">
        <v>2039</v>
      </c>
      <c r="V38" s="98">
        <v>2040</v>
      </c>
    </row>
    <row r="39" spans="1:22" x14ac:dyDescent="0.3">
      <c r="A39" s="179"/>
      <c r="B39" s="47" t="s">
        <v>59</v>
      </c>
      <c r="C39" s="100">
        <f>IFERROR(DTE_demand_forecast!C220*Settings!$K$43,"-")</f>
        <v>5900423.78229954</v>
      </c>
      <c r="D39" s="100">
        <f>IFERROR(DTE_demand_forecast!D220*Settings!$K$43,"-")</f>
        <v>6689852.6792983962</v>
      </c>
      <c r="E39" s="100">
        <f>IFERROR(DTE_demand_forecast!E220*Settings!$K$43,"-")</f>
        <v>7503423.0663507609</v>
      </c>
      <c r="F39" s="100">
        <f>IFERROR(DTE_demand_forecast!F220*Settings!$K$43,"-")</f>
        <v>8367424.9356741467</v>
      </c>
      <c r="G39" s="100">
        <f>IFERROR(DTE_demand_forecast!G220*Settings!$K$43,"-")</f>
        <v>9255766.8511036206</v>
      </c>
      <c r="H39" s="100">
        <f>IFERROR(DTE_demand_forecast!H220*Settings!$K$43,"-")</f>
        <v>10178350.309455106</v>
      </c>
      <c r="I39" s="100">
        <f>IFERROR(DTE_demand_forecast!I220*Settings!$K$43,"-")</f>
        <v>11136189.635679306</v>
      </c>
      <c r="J39" s="100">
        <f>IFERROR(DTE_demand_forecast!J220*Settings!$K$43,"-")</f>
        <v>12130326.031107791</v>
      </c>
      <c r="K39" s="100">
        <f>IFERROR(DTE_demand_forecast!K220*Settings!$K$43,"-")</f>
        <v>13161828.242778245</v>
      </c>
      <c r="L39" s="100">
        <f>IFERROR(DTE_demand_forecast!L220*Settings!$K$43,"-")</f>
        <v>14231793.248782173</v>
      </c>
      <c r="M39" s="100">
        <f>IFERROR(DTE_demand_forecast!M220*Settings!$K$43,"-")</f>
        <v>17442155.636820536</v>
      </c>
      <c r="N39" s="100">
        <f>IFERROR(DTE_demand_forecast!N220*Settings!$K$43,"-")</f>
        <v>17689531.546208642</v>
      </c>
      <c r="O39" s="100">
        <f>IFERROR(DTE_demand_forecast!O220*Settings!$K$43,"-")</f>
        <v>17941854.973784517</v>
      </c>
      <c r="P39" s="100">
        <f>IFERROR(DTE_demand_forecast!P220*Settings!$K$43,"-")</f>
        <v>18199224.869911902</v>
      </c>
      <c r="Q39" s="100">
        <f>IFERROR(DTE_demand_forecast!Q220*Settings!$K$43,"-")</f>
        <v>18461742.163961839</v>
      </c>
      <c r="R39" s="100">
        <f>IFERROR(DTE_demand_forecast!R220*Settings!$K$43,"-")</f>
        <v>18729509.803892769</v>
      </c>
      <c r="S39" s="100">
        <f>IFERROR(DTE_demand_forecast!S220*Settings!$K$43,"-")</f>
        <v>19002632.796622325</v>
      </c>
      <c r="T39" s="100">
        <f>IFERROR(DTE_demand_forecast!T220*Settings!$K$43,"-")</f>
        <v>19281218.249206468</v>
      </c>
      <c r="U39" s="100">
        <f>IFERROR(DTE_demand_forecast!U220*Settings!$K$43,"-")</f>
        <v>19565375.410842292</v>
      </c>
      <c r="V39" s="100">
        <f>IFERROR(DTE_demand_forecast!V220*Settings!$K$43,"-")</f>
        <v>19855215.715710837</v>
      </c>
    </row>
    <row r="40" spans="1:22" x14ac:dyDescent="0.3">
      <c r="A40" s="179"/>
      <c r="B40" s="47" t="s">
        <v>57</v>
      </c>
      <c r="C40" s="100">
        <f>IFERROR(DTE_demand_forecast!C221*Settings!$K$43,"-")</f>
        <v>7447489.6457555033</v>
      </c>
      <c r="D40" s="100">
        <f>IFERROR(DTE_demand_forecast!D221*Settings!$K$43,"-")</f>
        <v>6249777.6660541305</v>
      </c>
      <c r="E40" s="100">
        <f>IFERROR(DTE_demand_forecast!E221*Settings!$K$43,"-")</f>
        <v>5643740.5180907119</v>
      </c>
      <c r="F40" s="100">
        <f>IFERROR(DTE_demand_forecast!F221*Settings!$K$43,"-")</f>
        <v>4963550.6158586713</v>
      </c>
      <c r="G40" s="100">
        <f>IFERROR(DTE_demand_forecast!G221*Settings!$K$43,"-")</f>
        <v>6113107.0344031146</v>
      </c>
      <c r="H40" s="100">
        <f>IFERROR(DTE_demand_forecast!H221*Settings!$K$43,"-")</f>
        <v>6312602.652043134</v>
      </c>
      <c r="I40" s="100">
        <f>IFERROR(DTE_demand_forecast!I221*Settings!$K$43,"-")</f>
        <v>6571888.0184110031</v>
      </c>
      <c r="J40" s="100">
        <f>IFERROR(DTE_demand_forecast!J221*Settings!$K$43,"-")</f>
        <v>7624380.3013080535</v>
      </c>
      <c r="K40" s="100">
        <f>IFERROR(DTE_demand_forecast!K221*Settings!$K$43,"-")</f>
        <v>8284054.3961542724</v>
      </c>
      <c r="L40" s="100">
        <f>IFERROR(DTE_demand_forecast!L221*Settings!$K$43,"-")</f>
        <v>8967074.9815999847</v>
      </c>
      <c r="M40" s="100">
        <f>IFERROR(DTE_demand_forecast!M221*Settings!$K$43,"-")</f>
        <v>9145952.5349234715</v>
      </c>
      <c r="N40" s="100">
        <f>IFERROR(DTE_demand_forecast!N221*Settings!$K$43,"-")</f>
        <v>9328407.639313424</v>
      </c>
      <c r="O40" s="100">
        <f>IFERROR(DTE_demand_forecast!O221*Settings!$K$43,"-")</f>
        <v>9514511.8457911797</v>
      </c>
      <c r="P40" s="100">
        <f>IFERROR(DTE_demand_forecast!P221*Settings!$K$43,"-")</f>
        <v>9704338.1363984868</v>
      </c>
      <c r="Q40" s="100">
        <f>IFERROR(DTE_demand_forecast!Q221*Settings!$K$43,"-")</f>
        <v>9897960.9528179448</v>
      </c>
      <c r="R40" s="100">
        <f>IFERROR(DTE_demand_forecast!R221*Settings!$K$43,"-")</f>
        <v>10095456.225565787</v>
      </c>
      <c r="S40" s="100">
        <f>IFERROR(DTE_demand_forecast!S221*Settings!$K$43,"-")</f>
        <v>10296901.40376859</v>
      </c>
      <c r="T40" s="100">
        <f>IFERROR(DTE_demand_forecast!T221*Settings!$K$43,"-")</f>
        <v>10502375.485535448</v>
      </c>
      <c r="U40" s="100">
        <f>IFERROR(DTE_demand_forecast!U221*Settings!$K$43,"-")</f>
        <v>10711959.048937641</v>
      </c>
      <c r="V40" s="100">
        <f>IFERROR(DTE_demand_forecast!V221*Settings!$K$43,"-")</f>
        <v>10925734.28360788</v>
      </c>
    </row>
    <row r="41" spans="1:22" x14ac:dyDescent="0.3">
      <c r="A41" s="179"/>
      <c r="B41" s="47" t="s">
        <v>56</v>
      </c>
      <c r="C41" s="100">
        <f>IFERROR(DTE_demand_forecast!C222*Settings!$K$43,"-")</f>
        <v>126638.04219471192</v>
      </c>
      <c r="D41" s="100">
        <f>IFERROR(DTE_demand_forecast!D222*Settings!$K$43,"-")</f>
        <v>141616.5295428739</v>
      </c>
      <c r="E41" s="100">
        <f>IFERROR(DTE_demand_forecast!E222*Settings!$K$43,"-")</f>
        <v>173589.69911610687</v>
      </c>
      <c r="F41" s="100">
        <f>IFERROR(DTE_demand_forecast!F222*Settings!$K$43,"-")</f>
        <v>190908.04807481662</v>
      </c>
      <c r="G41" s="100">
        <f>IFERROR(DTE_demand_forecast!G222*Settings!$K$43,"-")</f>
        <v>208875.01200403325</v>
      </c>
      <c r="H41" s="100">
        <f>IFERROR(DTE_demand_forecast!H222*Settings!$K$43,"-")</f>
        <v>227509.60816299348</v>
      </c>
      <c r="I41" s="100">
        <f>IFERROR(DTE_demand_forecast!I222*Settings!$K$43,"-")</f>
        <v>246831.3550553153</v>
      </c>
      <c r="J41" s="100">
        <f>IFERROR(DTE_demand_forecast!J222*Settings!$K$43,"-")</f>
        <v>266860.28487186966</v>
      </c>
      <c r="K41" s="100">
        <f>IFERROR(DTE_demand_forecast!K222*Settings!$K$43,"-")</f>
        <v>287616.95623086905</v>
      </c>
      <c r="L41" s="100">
        <f>IFERROR(DTE_demand_forecast!L222*Settings!$K$43,"-")</f>
        <v>309122.46722208441</v>
      </c>
      <c r="M41" s="100">
        <f>IFERROR(DTE_demand_forecast!M222*Settings!$K$43,"-")</f>
        <v>314039.07197628298</v>
      </c>
      <c r="N41" s="100">
        <f>IFERROR(DTE_demand_forecast!N222*Settings!$K$43,"-")</f>
        <v>319054.00882556546</v>
      </c>
      <c r="O41" s="100">
        <f>IFERROR(DTE_demand_forecast!O222*Settings!$K$43,"-")</f>
        <v>324169.2444118337</v>
      </c>
      <c r="P41" s="100">
        <f>IFERROR(DTE_demand_forecast!P222*Settings!$K$43,"-")</f>
        <v>329386.78470982722</v>
      </c>
      <c r="Q41" s="100">
        <f>IFERROR(DTE_demand_forecast!Q222*Settings!$K$43,"-")</f>
        <v>334708.67581378057</v>
      </c>
      <c r="R41" s="100">
        <f>IFERROR(DTE_demand_forecast!R222*Settings!$K$43,"-")</f>
        <v>340137.00473981298</v>
      </c>
      <c r="S41" s="100">
        <f>IFERROR(DTE_demand_forecast!S222*Settings!$K$43,"-")</f>
        <v>345673.90024436614</v>
      </c>
      <c r="T41" s="100">
        <f>IFERROR(DTE_demand_forecast!T222*Settings!$K$43,"-")</f>
        <v>351321.53365901037</v>
      </c>
      <c r="U41" s="100">
        <f>IFERROR(DTE_demand_forecast!U222*Settings!$K$43,"-")</f>
        <v>357082.11974194751</v>
      </c>
      <c r="V41" s="100">
        <f>IFERROR(DTE_demand_forecast!V222*Settings!$K$43,"-")</f>
        <v>362957.91754654323</v>
      </c>
    </row>
    <row r="42" spans="1:22" x14ac:dyDescent="0.3">
      <c r="A42" s="179"/>
      <c r="B42" s="47" t="s">
        <v>100</v>
      </c>
      <c r="C42" s="100">
        <f>IFERROR(DTE_demand_forecast!C223*Settings!$K$43,"-")</f>
        <v>0</v>
      </c>
      <c r="D42" s="100">
        <f>IFERROR(DTE_demand_forecast!D223*Settings!$K$43,"-")</f>
        <v>0</v>
      </c>
      <c r="E42" s="100">
        <f>IFERROR(DTE_demand_forecast!E223*Settings!$K$43,"-")</f>
        <v>0</v>
      </c>
      <c r="F42" s="100">
        <f>IFERROR(DTE_demand_forecast!F223*Settings!$K$43,"-")</f>
        <v>0</v>
      </c>
      <c r="G42" s="100">
        <f>IFERROR(DTE_demand_forecast!G223*Settings!$K$43,"-")</f>
        <v>0</v>
      </c>
      <c r="H42" s="100">
        <f>IFERROR(DTE_demand_forecast!H223*Settings!$K$43,"-")</f>
        <v>0</v>
      </c>
      <c r="I42" s="100">
        <f>IFERROR(DTE_demand_forecast!I223*Settings!$K$43,"-")</f>
        <v>0</v>
      </c>
      <c r="J42" s="100">
        <f>IFERROR(DTE_demand_forecast!J223*Settings!$K$43,"-")</f>
        <v>0</v>
      </c>
      <c r="K42" s="100">
        <f>IFERROR(DTE_demand_forecast!K223*Settings!$K$43,"-")</f>
        <v>0</v>
      </c>
      <c r="L42" s="100">
        <f>IFERROR(DTE_demand_forecast!L223*Settings!$K$43,"-")</f>
        <v>0</v>
      </c>
      <c r="M42" s="100">
        <f>IFERROR(DTE_demand_forecast!M223*Settings!$K$43,"-")</f>
        <v>0</v>
      </c>
      <c r="N42" s="100">
        <f>IFERROR(DTE_demand_forecast!N223*Settings!$K$43,"-")</f>
        <v>0</v>
      </c>
      <c r="O42" s="100">
        <f>IFERROR(DTE_demand_forecast!O223*Settings!$K$43,"-")</f>
        <v>0</v>
      </c>
      <c r="P42" s="100">
        <f>IFERROR(DTE_demand_forecast!P223*Settings!$K$43,"-")</f>
        <v>0</v>
      </c>
      <c r="Q42" s="100">
        <f>IFERROR(DTE_demand_forecast!Q223*Settings!$K$43,"-")</f>
        <v>0</v>
      </c>
      <c r="R42" s="100">
        <f>IFERROR(DTE_demand_forecast!R223*Settings!$K$43,"-")</f>
        <v>0</v>
      </c>
      <c r="S42" s="100">
        <f>IFERROR(DTE_demand_forecast!S223*Settings!$K$43,"-")</f>
        <v>0</v>
      </c>
      <c r="T42" s="100">
        <f>IFERROR(DTE_demand_forecast!T223*Settings!$K$43,"-")</f>
        <v>0</v>
      </c>
      <c r="U42" s="100">
        <f>IFERROR(DTE_demand_forecast!U223*Settings!$K$43,"-")</f>
        <v>0</v>
      </c>
      <c r="V42" s="100">
        <f>IFERROR(DTE_demand_forecast!V223*Settings!$K$43,"-")</f>
        <v>0</v>
      </c>
    </row>
    <row r="43" spans="1:22" x14ac:dyDescent="0.3">
      <c r="A43" s="179"/>
      <c r="B43" s="47" t="s">
        <v>60</v>
      </c>
      <c r="C43" s="100">
        <f>IFERROR(DTE_demand_forecast!C224*Settings!$K$43,"-")</f>
        <v>0</v>
      </c>
      <c r="D43" s="100">
        <f>IFERROR(DTE_demand_forecast!D224*Settings!$K$43,"-")</f>
        <v>0</v>
      </c>
      <c r="E43" s="100">
        <f>IFERROR(DTE_demand_forecast!E224*Settings!$K$43,"-")</f>
        <v>0</v>
      </c>
      <c r="F43" s="100">
        <f>IFERROR(DTE_demand_forecast!F224*Settings!$K$43,"-")</f>
        <v>0</v>
      </c>
      <c r="G43" s="100">
        <f>IFERROR(DTE_demand_forecast!G224*Settings!$K$43,"-")</f>
        <v>0</v>
      </c>
      <c r="H43" s="100">
        <f>IFERROR(DTE_demand_forecast!H224*Settings!$K$43,"-")</f>
        <v>0</v>
      </c>
      <c r="I43" s="100">
        <f>IFERROR(DTE_demand_forecast!I224*Settings!$K$43,"-")</f>
        <v>0</v>
      </c>
      <c r="J43" s="100">
        <f>IFERROR(DTE_demand_forecast!J224*Settings!$K$43,"-")</f>
        <v>0</v>
      </c>
      <c r="K43" s="100">
        <f>IFERROR(DTE_demand_forecast!K224*Settings!$K$43,"-")</f>
        <v>0</v>
      </c>
      <c r="L43" s="100">
        <f>IFERROR(DTE_demand_forecast!L224*Settings!$K$43,"-")</f>
        <v>0</v>
      </c>
      <c r="M43" s="100">
        <f>IFERROR(DTE_demand_forecast!M224*Settings!$K$43,"-")</f>
        <v>0</v>
      </c>
      <c r="N43" s="100">
        <f>IFERROR(DTE_demand_forecast!N224*Settings!$K$43,"-")</f>
        <v>0</v>
      </c>
      <c r="O43" s="100">
        <f>IFERROR(DTE_demand_forecast!O224*Settings!$K$43,"-")</f>
        <v>0</v>
      </c>
      <c r="P43" s="100">
        <f>IFERROR(DTE_demand_forecast!P224*Settings!$K$43,"-")</f>
        <v>0</v>
      </c>
      <c r="Q43" s="100">
        <f>IFERROR(DTE_demand_forecast!Q224*Settings!$K$43,"-")</f>
        <v>0</v>
      </c>
      <c r="R43" s="100">
        <f>IFERROR(DTE_demand_forecast!R224*Settings!$K$43,"-")</f>
        <v>0</v>
      </c>
      <c r="S43" s="100">
        <f>IFERROR(DTE_demand_forecast!S224*Settings!$K$43,"-")</f>
        <v>0</v>
      </c>
      <c r="T43" s="100">
        <f>IFERROR(DTE_demand_forecast!T224*Settings!$K$43,"-")</f>
        <v>0</v>
      </c>
      <c r="U43" s="100">
        <f>IFERROR(DTE_demand_forecast!U224*Settings!$K$43,"-")</f>
        <v>0</v>
      </c>
      <c r="V43" s="100">
        <f>IFERROR(DTE_demand_forecast!V224*Settings!$K$43,"-")</f>
        <v>0</v>
      </c>
    </row>
    <row r="44" spans="1:22" x14ac:dyDescent="0.3">
      <c r="A44" s="179"/>
      <c r="B44" s="47" t="s">
        <v>101</v>
      </c>
      <c r="C44" s="100">
        <f>IFERROR(DTE_demand_forecast!C225*Settings!$K$43,"-")</f>
        <v>0</v>
      </c>
      <c r="D44" s="100">
        <f>IFERROR(DTE_demand_forecast!D225*Settings!$K$43,"-")</f>
        <v>0</v>
      </c>
      <c r="E44" s="100">
        <f>IFERROR(DTE_demand_forecast!E225*Settings!$K$43,"-")</f>
        <v>0</v>
      </c>
      <c r="F44" s="100">
        <f>IFERROR(DTE_demand_forecast!F225*Settings!$K$43,"-")</f>
        <v>0</v>
      </c>
      <c r="G44" s="100">
        <f>IFERROR(DTE_demand_forecast!G225*Settings!$K$43,"-")</f>
        <v>0</v>
      </c>
      <c r="H44" s="100">
        <f>IFERROR(DTE_demand_forecast!H225*Settings!$K$43,"-")</f>
        <v>0</v>
      </c>
      <c r="I44" s="100">
        <f>IFERROR(DTE_demand_forecast!I225*Settings!$K$43,"-")</f>
        <v>0</v>
      </c>
      <c r="J44" s="100">
        <f>IFERROR(DTE_demand_forecast!J225*Settings!$K$43,"-")</f>
        <v>0</v>
      </c>
      <c r="K44" s="100">
        <f>IFERROR(DTE_demand_forecast!K225*Settings!$K$43,"-")</f>
        <v>0</v>
      </c>
      <c r="L44" s="100">
        <f>IFERROR(DTE_demand_forecast!L225*Settings!$K$43,"-")</f>
        <v>0</v>
      </c>
      <c r="M44" s="100">
        <f>IFERROR(DTE_demand_forecast!M225*Settings!$K$43,"-")</f>
        <v>0</v>
      </c>
      <c r="N44" s="100">
        <f>IFERROR(DTE_demand_forecast!N225*Settings!$K$43,"-")</f>
        <v>0</v>
      </c>
      <c r="O44" s="100">
        <f>IFERROR(DTE_demand_forecast!O225*Settings!$K$43,"-")</f>
        <v>0</v>
      </c>
      <c r="P44" s="100">
        <f>IFERROR(DTE_demand_forecast!P225*Settings!$K$43,"-")</f>
        <v>0</v>
      </c>
      <c r="Q44" s="100">
        <f>IFERROR(DTE_demand_forecast!Q225*Settings!$K$43,"-")</f>
        <v>0</v>
      </c>
      <c r="R44" s="100">
        <f>IFERROR(DTE_demand_forecast!R225*Settings!$K$43,"-")</f>
        <v>0</v>
      </c>
      <c r="S44" s="100">
        <f>IFERROR(DTE_demand_forecast!S225*Settings!$K$43,"-")</f>
        <v>0</v>
      </c>
      <c r="T44" s="100">
        <f>IFERROR(DTE_demand_forecast!T225*Settings!$K$43,"-")</f>
        <v>0</v>
      </c>
      <c r="U44" s="100">
        <f>IFERROR(DTE_demand_forecast!U225*Settings!$K$43,"-")</f>
        <v>0</v>
      </c>
      <c r="V44" s="100">
        <f>IFERROR(DTE_demand_forecast!V225*Settings!$K$43,"-")</f>
        <v>0</v>
      </c>
    </row>
    <row r="45" spans="1:22" x14ac:dyDescent="0.3">
      <c r="A45" s="179"/>
      <c r="B45" s="47" t="s">
        <v>58</v>
      </c>
      <c r="C45" s="100">
        <f>IFERROR(DTE_demand_forecast!C226*Settings!$K$43,"-")</f>
        <v>13552.901194447313</v>
      </c>
      <c r="D45" s="100">
        <f>IFERROR(DTE_demand_forecast!D226*Settings!$K$43,"-")</f>
        <v>16614.810504553672</v>
      </c>
      <c r="E45" s="100">
        <f>IFERROR(DTE_demand_forecast!E226*Settings!$K$43,"-")</f>
        <v>19116.040281676767</v>
      </c>
      <c r="F45" s="100">
        <f>IFERROR(DTE_demand_forecast!F226*Settings!$K$43,"-")</f>
        <v>22237.757947780232</v>
      </c>
      <c r="G45" s="100">
        <f>IFERROR(DTE_demand_forecast!G226*Settings!$K$43,"-")</f>
        <v>30857.388023574342</v>
      </c>
      <c r="H45" s="100">
        <f>IFERROR(DTE_demand_forecast!H226*Settings!$K$43,"-")</f>
        <v>34204.119453795705</v>
      </c>
      <c r="I45" s="100">
        <f>IFERROR(DTE_demand_forecast!I226*Settings!$K$43,"-")</f>
        <v>37676.641823980564</v>
      </c>
      <c r="J45" s="100">
        <f>IFERROR(DTE_demand_forecast!J226*Settings!$K$43,"-")</f>
        <v>41278.648079155355</v>
      </c>
      <c r="K45" s="100">
        <f>IFERROR(DTE_demand_forecast!K226*Settings!$K$43,"-")</f>
        <v>45013.928565771617</v>
      </c>
      <c r="L45" s="100">
        <f>IFERROR(DTE_demand_forecast!L226*Settings!$K$43,"-")</f>
        <v>48886.373450584935</v>
      </c>
      <c r="M45" s="100">
        <f>IFERROR(DTE_demand_forecast!M226*Settings!$K$43,"-")</f>
        <v>49650.869021393242</v>
      </c>
      <c r="N45" s="100">
        <f>IFERROR(DTE_demand_forecast!N226*Settings!$K$43,"-")</f>
        <v>50430.654503617712</v>
      </c>
      <c r="O45" s="100">
        <f>IFERROR(DTE_demand_forecast!O226*Settings!$K$43,"-")</f>
        <v>51226.03569548668</v>
      </c>
      <c r="P45" s="100">
        <f>IFERROR(DTE_demand_forecast!P226*Settings!$K$43,"-")</f>
        <v>52037.324511193023</v>
      </c>
      <c r="Q45" s="100">
        <f>IFERROR(DTE_demand_forecast!Q226*Settings!$K$43,"-")</f>
        <v>52864.839103213497</v>
      </c>
      <c r="R45" s="100">
        <f>IFERROR(DTE_demand_forecast!R226*Settings!$K$43,"-")</f>
        <v>53708.903987074358</v>
      </c>
      <c r="S45" s="100">
        <f>IFERROR(DTE_demand_forecast!S226*Settings!$K$43,"-")</f>
        <v>54569.850168612465</v>
      </c>
      <c r="T45" s="100">
        <f>IFERROR(DTE_demand_forecast!T226*Settings!$K$43,"-")</f>
        <v>55448.015273781326</v>
      </c>
      <c r="U45" s="100">
        <f>IFERROR(DTE_demand_forecast!U226*Settings!$K$43,"-")</f>
        <v>56343.743681053551</v>
      </c>
      <c r="V45" s="100">
        <f>IFERROR(DTE_demand_forecast!V226*Settings!$K$43,"-")</f>
        <v>57257.386656471237</v>
      </c>
    </row>
    <row r="46" spans="1:22" x14ac:dyDescent="0.3">
      <c r="A46" s="179"/>
      <c r="B46" s="47" t="s">
        <v>61</v>
      </c>
      <c r="C46" s="100">
        <f>IFERROR(DTE_demand_forecast!C227*Settings!$K$43,"-")</f>
        <v>869918.96820984501</v>
      </c>
      <c r="D46" s="100">
        <f>IFERROR(DTE_demand_forecast!D227*Settings!$K$43,"-")</f>
        <v>1751217.9026377657</v>
      </c>
      <c r="E46" s="100">
        <f>IFERROR(DTE_demand_forecast!E227*Settings!$K$43,"-")</f>
        <v>1978729.263183821</v>
      </c>
      <c r="F46" s="100">
        <f>IFERROR(DTE_demand_forecast!F227*Settings!$K$43,"-")</f>
        <v>2215456.246903467</v>
      </c>
      <c r="G46" s="100">
        <f>IFERROR(DTE_demand_forecast!G227*Settings!$K$43,"-")</f>
        <v>2461071.921163497</v>
      </c>
      <c r="H46" s="100">
        <f>IFERROR(DTE_demand_forecast!H227*Settings!$K$43,"-")</f>
        <v>3435701.7602016358</v>
      </c>
      <c r="I46" s="100">
        <f>IFERROR(DTE_demand_forecast!I227*Settings!$K$43,"-")</f>
        <v>3714603.832044641</v>
      </c>
      <c r="J46" s="100">
        <f>IFERROR(DTE_demand_forecast!J227*Settings!$K$43,"-")</f>
        <v>4003552.2193550798</v>
      </c>
      <c r="K46" s="100">
        <f>IFERROR(DTE_demand_forecast!K227*Settings!$K$43,"-")</f>
        <v>4302837.2139229123</v>
      </c>
      <c r="L46" s="100">
        <f>IFERROR(DTE_demand_forecast!L227*Settings!$K$43,"-")</f>
        <v>4612756.7006835109</v>
      </c>
      <c r="M46" s="100">
        <f>IFERROR(DTE_demand_forecast!M227*Settings!$K$43,"-")</f>
        <v>4691786.1698074648</v>
      </c>
      <c r="N46" s="100">
        <f>IFERROR(DTE_demand_forecast!N227*Settings!$K$43,"-")</f>
        <v>4772396.2283138949</v>
      </c>
      <c r="O46" s="100">
        <f>IFERROR(DTE_demand_forecast!O227*Settings!$K$43,"-")</f>
        <v>4854618.4879904557</v>
      </c>
      <c r="P46" s="100">
        <f>IFERROR(DTE_demand_forecast!P227*Settings!$K$43,"-")</f>
        <v>4938485.1928605475</v>
      </c>
      <c r="Q46" s="100">
        <f>IFERROR(DTE_demand_forecast!Q227*Settings!$K$43,"-")</f>
        <v>5024029.2318280414</v>
      </c>
      <c r="R46" s="100">
        <f>IFERROR(DTE_demand_forecast!R227*Settings!$K$43,"-")</f>
        <v>5111284.1515748827</v>
      </c>
      <c r="S46" s="100">
        <f>IFERROR(DTE_demand_forecast!S227*Settings!$K$43,"-")</f>
        <v>5200284.1697166637</v>
      </c>
      <c r="T46" s="100">
        <f>IFERROR(DTE_demand_forecast!T227*Settings!$K$43,"-")</f>
        <v>5291064.1882212795</v>
      </c>
      <c r="U46" s="100">
        <f>IFERROR(DTE_demand_forecast!U227*Settings!$K$43,"-")</f>
        <v>5383659.8070959877</v>
      </c>
      <c r="V46" s="100">
        <f>IFERROR(DTE_demand_forecast!V227*Settings!$K$43,"-")</f>
        <v>5478107.3383481894</v>
      </c>
    </row>
    <row r="47" spans="1:22" x14ac:dyDescent="0.3">
      <c r="A47" s="179"/>
      <c r="B47" s="47" t="s">
        <v>104</v>
      </c>
      <c r="C47" s="176">
        <f>SUM(C39:C46)</f>
        <v>14358023.339654047</v>
      </c>
      <c r="D47" s="176">
        <f>SUM(D39:D46)</f>
        <v>14849079.588037722</v>
      </c>
      <c r="E47" s="176">
        <f>SUM(E39:E46)</f>
        <v>15318598.587023078</v>
      </c>
      <c r="F47" s="176">
        <f>SUM(F39:F46)</f>
        <v>15759577.604458883</v>
      </c>
      <c r="G47" s="176">
        <f>SUM(G39:G46)</f>
        <v>18069678.206697837</v>
      </c>
      <c r="H47" s="176">
        <f>SUM(H39:H46)</f>
        <v>20188368.449316666</v>
      </c>
      <c r="I47" s="176">
        <f>SUM(I39:I46)</f>
        <v>21707189.483014245</v>
      </c>
      <c r="J47" s="176">
        <f>SUM(J39:J46)</f>
        <v>24066397.484721951</v>
      </c>
      <c r="K47" s="176">
        <f>SUM(K39:K46)</f>
        <v>26081350.737652071</v>
      </c>
      <c r="L47" s="176">
        <f>SUM(L39:L46)</f>
        <v>28169633.771738339</v>
      </c>
      <c r="M47" s="176">
        <f>SUM(M39:M46)</f>
        <v>31643584.282549147</v>
      </c>
      <c r="N47" s="176">
        <f>SUM(N39:N46)</f>
        <v>32159820.077165142</v>
      </c>
      <c r="O47" s="176">
        <f>SUM(O39:O46)</f>
        <v>32686380.58767347</v>
      </c>
      <c r="P47" s="176">
        <f>SUM(P39:P46)</f>
        <v>33223472.308391955</v>
      </c>
      <c r="Q47" s="176">
        <f>SUM(Q39:Q46)</f>
        <v>33771305.863524817</v>
      </c>
      <c r="R47" s="176">
        <f>SUM(R39:R46)</f>
        <v>34330096.089760326</v>
      </c>
      <c r="S47" s="176">
        <f>SUM(S39:S46)</f>
        <v>34900062.120520554</v>
      </c>
      <c r="T47" s="176">
        <f>SUM(T39:T46)</f>
        <v>35481427.471895993</v>
      </c>
      <c r="U47" s="176">
        <f>SUM(U39:U46)</f>
        <v>36074420.13029892</v>
      </c>
      <c r="V47" s="176">
        <f>SUM(V39:V46)</f>
        <v>36679272.641869925</v>
      </c>
    </row>
    <row r="48" spans="1:22" x14ac:dyDescent="0.3">
      <c r="A48" s="179"/>
    </row>
    <row r="49" spans="1:22" x14ac:dyDescent="0.3">
      <c r="A49" s="179"/>
    </row>
    <row r="50" spans="1:22" x14ac:dyDescent="0.3">
      <c r="A50" s="179"/>
    </row>
    <row r="51" spans="1:22" x14ac:dyDescent="0.3">
      <c r="A51" s="179"/>
    </row>
    <row r="52" spans="1:22" x14ac:dyDescent="0.3">
      <c r="A52" s="179"/>
    </row>
    <row r="53" spans="1:22" x14ac:dyDescent="0.3">
      <c r="A53" s="179"/>
    </row>
    <row r="54" spans="1:22" x14ac:dyDescent="0.3">
      <c r="A54" s="179"/>
    </row>
    <row r="55" spans="1:22" x14ac:dyDescent="0.3">
      <c r="A55" s="179"/>
    </row>
    <row r="56" spans="1:22" x14ac:dyDescent="0.3">
      <c r="A56" s="179"/>
    </row>
    <row r="57" spans="1:22" x14ac:dyDescent="0.3">
      <c r="A57" s="180">
        <v>0.4</v>
      </c>
      <c r="B57" s="49" t="s">
        <v>225</v>
      </c>
      <c r="L57" s="34"/>
      <c r="M57" s="34"/>
    </row>
    <row r="58" spans="1:22" x14ac:dyDescent="0.3">
      <c r="A58" s="179"/>
      <c r="B58" s="97" t="s">
        <v>102</v>
      </c>
      <c r="C58" s="97">
        <v>2021</v>
      </c>
      <c r="D58" s="98">
        <v>2022</v>
      </c>
      <c r="E58" s="97">
        <v>2023</v>
      </c>
      <c r="F58" s="98">
        <v>2024</v>
      </c>
      <c r="G58" s="97">
        <v>2025</v>
      </c>
      <c r="H58" s="98">
        <v>2026</v>
      </c>
      <c r="I58" s="97">
        <v>2027</v>
      </c>
      <c r="J58" s="98">
        <v>2028</v>
      </c>
      <c r="K58" s="97">
        <v>2029</v>
      </c>
      <c r="L58" s="98">
        <v>2030</v>
      </c>
      <c r="M58" s="97">
        <v>2031</v>
      </c>
      <c r="N58" s="98">
        <v>2032</v>
      </c>
      <c r="O58" s="97">
        <v>2033</v>
      </c>
      <c r="P58" s="98">
        <v>2034</v>
      </c>
      <c r="Q58" s="97">
        <v>2035</v>
      </c>
      <c r="R58" s="98">
        <v>2036</v>
      </c>
      <c r="S58" s="97">
        <v>2037</v>
      </c>
      <c r="T58" s="98">
        <v>2038</v>
      </c>
      <c r="U58" s="97">
        <v>2039</v>
      </c>
      <c r="V58" s="98">
        <v>2040</v>
      </c>
    </row>
    <row r="59" spans="1:22" x14ac:dyDescent="0.3">
      <c r="A59" s="179"/>
      <c r="B59" s="47" t="s">
        <v>59</v>
      </c>
      <c r="C59" s="100">
        <f>IFERROR(DTE_demand_forecast!C62*Settings!$K$45,"-")</f>
        <v>6143962.7216014247</v>
      </c>
      <c r="D59" s="100">
        <f>IFERROR(DTE_demand_forecast!D62*Settings!$K$45,"-")</f>
        <v>6295503.4760421291</v>
      </c>
      <c r="E59" s="100">
        <f>IFERROR(DTE_demand_forecast!E62*Settings!$K$45,"-")</f>
        <v>6444726.863206042</v>
      </c>
      <c r="F59" s="100">
        <f>IFERROR(DTE_demand_forecast!F62*Settings!$K$45,"-")</f>
        <v>6621393.0269701798</v>
      </c>
      <c r="G59" s="100">
        <f>IFERROR(DTE_demand_forecast!G62*Settings!$K$45,"-")</f>
        <v>6794126.1771925781</v>
      </c>
      <c r="H59" s="100">
        <f>IFERROR(DTE_demand_forecast!H62*Settings!$K$45,"-")</f>
        <v>6973517.4052053662</v>
      </c>
      <c r="I59" s="100">
        <f>IFERROR(DTE_demand_forecast!I62*Settings!$K$45,"-")</f>
        <v>7159763.9408600722</v>
      </c>
      <c r="J59" s="100">
        <f>IFERROR(DTE_demand_forecast!J62*Settings!$K$45,"-")</f>
        <v>7353068.2399711665</v>
      </c>
      <c r="K59" s="100">
        <f>IFERROR(DTE_demand_forecast!K62*Settings!$K$45,"-")</f>
        <v>7553638.1144626439</v>
      </c>
      <c r="L59" s="100">
        <f>IFERROR(DTE_demand_forecast!L62*Settings!$K$45,"-")</f>
        <v>7761686.8656300744</v>
      </c>
      <c r="M59" s="100">
        <f>IFERROR(DTE_demand_forecast!M62*Settings!$K$45,"-")</f>
        <v>11330268.213182515</v>
      </c>
      <c r="N59" s="100">
        <f>IFERROR(DTE_demand_forecast!N62*Settings!$K$45,"-")</f>
        <v>11438495.173539812</v>
      </c>
      <c r="O59" s="100">
        <f>IFERROR(DTE_demand_forecast!O62*Settings!$K$45,"-")</f>
        <v>11548886.673104255</v>
      </c>
      <c r="P59" s="100">
        <f>IFERROR(DTE_demand_forecast!P62*Settings!$K$45,"-")</f>
        <v>11661486.002659988</v>
      </c>
      <c r="Q59" s="100">
        <f>IFERROR(DTE_demand_forecast!Q62*Settings!$K$45,"-")</f>
        <v>11776337.318806835</v>
      </c>
      <c r="R59" s="100">
        <f>IFERROR(DTE_demand_forecast!R62*Settings!$K$45,"-")</f>
        <v>11893485.661276616</v>
      </c>
      <c r="S59" s="100">
        <f>IFERROR(DTE_demand_forecast!S62*Settings!$K$45,"-")</f>
        <v>12012976.970595798</v>
      </c>
      <c r="T59" s="100">
        <f>IFERROR(DTE_demand_forecast!T62*Settings!$K$45,"-")</f>
        <v>12134858.106101362</v>
      </c>
      <c r="U59" s="100">
        <f>IFERROR(DTE_demand_forecast!U62*Settings!$K$45,"-")</f>
        <v>12259176.864317033</v>
      </c>
      <c r="V59" s="100">
        <f>IFERROR(DTE_demand_forecast!V62*Settings!$K$45,"-")</f>
        <v>12385981.997697022</v>
      </c>
    </row>
    <row r="60" spans="1:22" x14ac:dyDescent="0.3">
      <c r="A60" s="179"/>
      <c r="B60" s="47" t="s">
        <v>57</v>
      </c>
      <c r="C60" s="100">
        <f>IFERROR(DTE_demand_forecast!C63*Settings!$K$45,"-")</f>
        <v>8323651.6202258244</v>
      </c>
      <c r="D60" s="100">
        <f>IFERROR(DTE_demand_forecast!D63*Settings!$K$45,"-")</f>
        <v>6583961.9658193514</v>
      </c>
      <c r="E60" s="100">
        <f>IFERROR(DTE_demand_forecast!E63*Settings!$K$45,"-")</f>
        <v>5646808.7581901979</v>
      </c>
      <c r="F60" s="100">
        <f>IFERROR(DTE_demand_forecast!F63*Settings!$K$45,"-")</f>
        <v>4230293.9109689025</v>
      </c>
      <c r="G60" s="100">
        <f>IFERROR(DTE_demand_forecast!G63*Settings!$K$45,"-")</f>
        <v>5142301.4021992125</v>
      </c>
      <c r="H60" s="100">
        <f>IFERROR(DTE_demand_forecast!H63*Settings!$K$45,"-")</f>
        <v>4929363.1652145116</v>
      </c>
      <c r="I60" s="100">
        <f>IFERROR(DTE_demand_forecast!I63*Settings!$K$45,"-")</f>
        <v>4769148.1728315549</v>
      </c>
      <c r="J60" s="100">
        <f>IFERROR(DTE_demand_forecast!J63*Settings!$K$45,"-")</f>
        <v>5516806.8022450274</v>
      </c>
      <c r="K60" s="100">
        <f>IFERROR(DTE_demand_forecast!K63*Settings!$K$45,"-")</f>
        <v>5788126.8060466601</v>
      </c>
      <c r="L60" s="100">
        <f>IFERROR(DTE_demand_forecast!L63*Settings!$K$45,"-")</f>
        <v>6068103.7126933262</v>
      </c>
      <c r="M60" s="100">
        <f>IFERROR(DTE_demand_forecast!M63*Settings!$K$45,"-")</f>
        <v>6188924.5162539268</v>
      </c>
      <c r="N60" s="100">
        <f>IFERROR(DTE_demand_forecast!N63*Settings!$K$45,"-")</f>
        <v>6312161.7358857365</v>
      </c>
      <c r="O60" s="100">
        <f>IFERROR(DTE_demand_forecast!O63*Settings!$K$45,"-")</f>
        <v>6437863.6999101862</v>
      </c>
      <c r="P60" s="100">
        <f>IFERROR(DTE_demand_forecast!P63*Settings!$K$45,"-")</f>
        <v>6566079.7032151222</v>
      </c>
      <c r="Q60" s="100">
        <f>IFERROR(DTE_demand_forecast!Q63*Settings!$K$45,"-")</f>
        <v>6696860.0265861591</v>
      </c>
      <c r="R60" s="100">
        <f>IFERROR(DTE_demand_forecast!R63*Settings!$K$45,"-")</f>
        <v>6830255.9564246135</v>
      </c>
      <c r="S60" s="100">
        <f>IFERROR(DTE_demand_forecast!S63*Settings!$K$45,"-")</f>
        <v>6966319.8048598403</v>
      </c>
      <c r="T60" s="100">
        <f>IFERROR(DTE_demand_forecast!T63*Settings!$K$45,"-")</f>
        <v>7105104.9302637707</v>
      </c>
      <c r="U60" s="100">
        <f>IFERROR(DTE_demand_forecast!U63*Settings!$K$45,"-")</f>
        <v>7246665.7581757782</v>
      </c>
      <c r="V60" s="100">
        <f>IFERROR(DTE_demand_forecast!V63*Settings!$K$45,"-")</f>
        <v>7391057.8026460269</v>
      </c>
    </row>
    <row r="61" spans="1:22" x14ac:dyDescent="0.3">
      <c r="A61" s="179"/>
      <c r="B61" s="47" t="s">
        <v>56</v>
      </c>
      <c r="C61" s="100">
        <f>IFERROR(DTE_demand_forecast!C64*Settings!$K$45,"-")</f>
        <v>134822.21903509859</v>
      </c>
      <c r="D61" s="100">
        <f>IFERROR(DTE_demand_forecast!D64*Settings!$K$45,"-")</f>
        <v>138858.07087487294</v>
      </c>
      <c r="E61" s="100">
        <f>IFERROR(DTE_demand_forecast!E64*Settings!$K$45,"-")</f>
        <v>162188.65883998369</v>
      </c>
      <c r="F61" s="100">
        <f>IFERROR(DTE_demand_forecast!F64*Settings!$K$45,"-")</f>
        <v>167873.64284544103</v>
      </c>
      <c r="G61" s="100">
        <f>IFERROR(DTE_demand_forecast!G64*Settings!$K$45,"-")</f>
        <v>173750.687121353</v>
      </c>
      <c r="H61" s="100">
        <f>IFERROR(DTE_demand_forecast!H64*Settings!$K$45,"-")</f>
        <v>179825.20008493564</v>
      </c>
      <c r="I61" s="100">
        <f>IFERROR(DTE_demand_forecast!I64*Settings!$K$45,"-")</f>
        <v>186102.72966598536</v>
      </c>
      <c r="J61" s="100">
        <f>IFERROR(DTE_demand_forecast!J64*Settings!$K$45,"-")</f>
        <v>192588.96672401536</v>
      </c>
      <c r="K61" s="100">
        <f>IFERROR(DTE_demand_forecast!K64*Settings!$K$45,"-")</f>
        <v>199289.74854627263</v>
      </c>
      <c r="L61" s="100">
        <f>IFERROR(DTE_demand_forecast!L64*Settings!$K$45,"-")</f>
        <v>206211.06242850286</v>
      </c>
      <c r="M61" s="100">
        <f>IFERROR(DTE_demand_forecast!M64*Settings!$K$45,"-")</f>
        <v>208858.46498845593</v>
      </c>
      <c r="N61" s="100">
        <f>IFERROR(DTE_demand_forecast!N64*Settings!$K$45,"-")</f>
        <v>211558.81559960803</v>
      </c>
      <c r="O61" s="100">
        <f>IFERROR(DTE_demand_forecast!O64*Settings!$K$45,"-")</f>
        <v>214313.17322298323</v>
      </c>
      <c r="P61" s="100">
        <f>IFERROR(DTE_demand_forecast!P64*Settings!$K$45,"-")</f>
        <v>217122.61799882591</v>
      </c>
      <c r="Q61" s="100">
        <f>IFERROR(DTE_demand_forecast!Q64*Settings!$K$45,"-")</f>
        <v>219988.25167018545</v>
      </c>
      <c r="R61" s="100">
        <f>IFERROR(DTE_demand_forecast!R64*Settings!$K$45,"-")</f>
        <v>222911.19801497212</v>
      </c>
      <c r="S61" s="100">
        <f>IFERROR(DTE_demand_forecast!S64*Settings!$K$45,"-")</f>
        <v>225892.6032866546</v>
      </c>
      <c r="T61" s="100">
        <f>IFERROR(DTE_demand_forecast!T64*Settings!$K$45,"-")</f>
        <v>228933.63666377071</v>
      </c>
      <c r="U61" s="100">
        <f>IFERROR(DTE_demand_forecast!U64*Settings!$K$45,"-")</f>
        <v>232035.4907084291</v>
      </c>
      <c r="V61" s="100">
        <f>IFERROR(DTE_demand_forecast!V64*Settings!$K$45,"-")</f>
        <v>235199.3818339807</v>
      </c>
    </row>
    <row r="62" spans="1:22" x14ac:dyDescent="0.3">
      <c r="A62" s="179"/>
      <c r="B62" s="47" t="s">
        <v>100</v>
      </c>
      <c r="C62" s="100">
        <f>IFERROR(DTE_demand_forecast!C65*Settings!$K$45,"-")</f>
        <v>0</v>
      </c>
      <c r="D62" s="100">
        <f>IFERROR(DTE_demand_forecast!D65*Settings!$K$45,"-")</f>
        <v>0</v>
      </c>
      <c r="E62" s="100">
        <f>IFERROR(DTE_demand_forecast!E65*Settings!$K$45,"-")</f>
        <v>0</v>
      </c>
      <c r="F62" s="100">
        <f>IFERROR(DTE_demand_forecast!F65*Settings!$K$45,"-")</f>
        <v>0</v>
      </c>
      <c r="G62" s="100">
        <f>IFERROR(DTE_demand_forecast!G65*Settings!$K$45,"-")</f>
        <v>0</v>
      </c>
      <c r="H62" s="100">
        <f>IFERROR(DTE_demand_forecast!H65*Settings!$K$45,"-")</f>
        <v>0</v>
      </c>
      <c r="I62" s="100">
        <f>IFERROR(DTE_demand_forecast!I65*Settings!$K$45,"-")</f>
        <v>0</v>
      </c>
      <c r="J62" s="100">
        <f>IFERROR(DTE_demand_forecast!J65*Settings!$K$45,"-")</f>
        <v>0</v>
      </c>
      <c r="K62" s="100">
        <f>IFERROR(DTE_demand_forecast!K65*Settings!$K$45,"-")</f>
        <v>0</v>
      </c>
      <c r="L62" s="100">
        <f>IFERROR(DTE_demand_forecast!L65*Settings!$K$45,"-")</f>
        <v>0</v>
      </c>
      <c r="M62" s="100">
        <f>IFERROR(DTE_demand_forecast!M65*Settings!$K$45,"-")</f>
        <v>0</v>
      </c>
      <c r="N62" s="100">
        <f>IFERROR(DTE_demand_forecast!N65*Settings!$K$45,"-")</f>
        <v>0</v>
      </c>
      <c r="O62" s="100">
        <f>IFERROR(DTE_demand_forecast!O65*Settings!$K$45,"-")</f>
        <v>0</v>
      </c>
      <c r="P62" s="100">
        <f>IFERROR(DTE_demand_forecast!P65*Settings!$K$45,"-")</f>
        <v>0</v>
      </c>
      <c r="Q62" s="100">
        <f>IFERROR(DTE_demand_forecast!Q65*Settings!$K$45,"-")</f>
        <v>0</v>
      </c>
      <c r="R62" s="100">
        <f>IFERROR(DTE_demand_forecast!R65*Settings!$K$45,"-")</f>
        <v>0</v>
      </c>
      <c r="S62" s="100">
        <f>IFERROR(DTE_demand_forecast!S65*Settings!$K$45,"-")</f>
        <v>0</v>
      </c>
      <c r="T62" s="100">
        <f>IFERROR(DTE_demand_forecast!T65*Settings!$K$45,"-")</f>
        <v>0</v>
      </c>
      <c r="U62" s="100">
        <f>IFERROR(DTE_demand_forecast!U65*Settings!$K$45,"-")</f>
        <v>0</v>
      </c>
      <c r="V62" s="100">
        <f>IFERROR(DTE_demand_forecast!V65*Settings!$K$45,"-")</f>
        <v>0</v>
      </c>
    </row>
    <row r="63" spans="1:22" x14ac:dyDescent="0.3">
      <c r="A63" s="179"/>
      <c r="B63" s="47" t="s">
        <v>60</v>
      </c>
      <c r="C63" s="100">
        <f>IFERROR(DTE_demand_forecast!C66*Settings!$K$45,"-")</f>
        <v>0</v>
      </c>
      <c r="D63" s="100">
        <f>IFERROR(DTE_demand_forecast!D66*Settings!$K$45,"-")</f>
        <v>0</v>
      </c>
      <c r="E63" s="100">
        <f>IFERROR(DTE_demand_forecast!E66*Settings!$K$45,"-")</f>
        <v>0</v>
      </c>
      <c r="F63" s="100">
        <f>IFERROR(DTE_demand_forecast!F66*Settings!$K$45,"-")</f>
        <v>0</v>
      </c>
      <c r="G63" s="100">
        <f>IFERROR(DTE_demand_forecast!G66*Settings!$K$45,"-")</f>
        <v>0</v>
      </c>
      <c r="H63" s="100">
        <f>IFERROR(DTE_demand_forecast!H66*Settings!$K$45,"-")</f>
        <v>0</v>
      </c>
      <c r="I63" s="100">
        <f>IFERROR(DTE_demand_forecast!I66*Settings!$K$45,"-")</f>
        <v>0</v>
      </c>
      <c r="J63" s="100">
        <f>IFERROR(DTE_demand_forecast!J66*Settings!$K$45,"-")</f>
        <v>0</v>
      </c>
      <c r="K63" s="100">
        <f>IFERROR(DTE_demand_forecast!K66*Settings!$K$45,"-")</f>
        <v>0</v>
      </c>
      <c r="L63" s="100">
        <f>IFERROR(DTE_demand_forecast!L66*Settings!$K$45,"-")</f>
        <v>0</v>
      </c>
      <c r="M63" s="100">
        <f>IFERROR(DTE_demand_forecast!M66*Settings!$K$45,"-")</f>
        <v>0</v>
      </c>
      <c r="N63" s="100">
        <f>IFERROR(DTE_demand_forecast!N66*Settings!$K$45,"-")</f>
        <v>0</v>
      </c>
      <c r="O63" s="100">
        <f>IFERROR(DTE_demand_forecast!O66*Settings!$K$45,"-")</f>
        <v>0</v>
      </c>
      <c r="P63" s="100">
        <f>IFERROR(DTE_demand_forecast!P66*Settings!$K$45,"-")</f>
        <v>0</v>
      </c>
      <c r="Q63" s="100">
        <f>IFERROR(DTE_demand_forecast!Q66*Settings!$K$45,"-")</f>
        <v>0</v>
      </c>
      <c r="R63" s="100">
        <f>IFERROR(DTE_demand_forecast!R66*Settings!$K$45,"-")</f>
        <v>0</v>
      </c>
      <c r="S63" s="100">
        <f>IFERROR(DTE_demand_forecast!S66*Settings!$K$45,"-")</f>
        <v>0</v>
      </c>
      <c r="T63" s="100">
        <f>IFERROR(DTE_demand_forecast!T66*Settings!$K$45,"-")</f>
        <v>0</v>
      </c>
      <c r="U63" s="100">
        <f>IFERROR(DTE_demand_forecast!U66*Settings!$K$45,"-")</f>
        <v>0</v>
      </c>
      <c r="V63" s="100">
        <f>IFERROR(DTE_demand_forecast!V66*Settings!$K$45,"-")</f>
        <v>0</v>
      </c>
    </row>
    <row r="64" spans="1:22" x14ac:dyDescent="0.3">
      <c r="A64" s="179"/>
      <c r="B64" s="47" t="s">
        <v>101</v>
      </c>
      <c r="C64" s="100">
        <f>IFERROR(DTE_demand_forecast!C67*Settings!$K$45,"-")</f>
        <v>0</v>
      </c>
      <c r="D64" s="100">
        <f>IFERROR(DTE_demand_forecast!D67*Settings!$K$45,"-")</f>
        <v>0</v>
      </c>
      <c r="E64" s="100">
        <f>IFERROR(DTE_demand_forecast!E67*Settings!$K$45,"-")</f>
        <v>0</v>
      </c>
      <c r="F64" s="100">
        <f>IFERROR(DTE_demand_forecast!F67*Settings!$K$45,"-")</f>
        <v>0</v>
      </c>
      <c r="G64" s="100">
        <f>IFERROR(DTE_demand_forecast!G67*Settings!$K$45,"-")</f>
        <v>0</v>
      </c>
      <c r="H64" s="100">
        <f>IFERROR(DTE_demand_forecast!H67*Settings!$K$45,"-")</f>
        <v>0</v>
      </c>
      <c r="I64" s="100">
        <f>IFERROR(DTE_demand_forecast!I67*Settings!$K$45,"-")</f>
        <v>0</v>
      </c>
      <c r="J64" s="100">
        <f>IFERROR(DTE_demand_forecast!J67*Settings!$K$45,"-")</f>
        <v>0</v>
      </c>
      <c r="K64" s="100">
        <f>IFERROR(DTE_demand_forecast!K67*Settings!$K$45,"-")</f>
        <v>0</v>
      </c>
      <c r="L64" s="100">
        <f>IFERROR(DTE_demand_forecast!L67*Settings!$K$45,"-")</f>
        <v>0</v>
      </c>
      <c r="M64" s="100">
        <f>IFERROR(DTE_demand_forecast!M67*Settings!$K$45,"-")</f>
        <v>0</v>
      </c>
      <c r="N64" s="100">
        <f>IFERROR(DTE_demand_forecast!N67*Settings!$K$45,"-")</f>
        <v>0</v>
      </c>
      <c r="O64" s="100">
        <f>IFERROR(DTE_demand_forecast!O67*Settings!$K$45,"-")</f>
        <v>0</v>
      </c>
      <c r="P64" s="100">
        <f>IFERROR(DTE_demand_forecast!P67*Settings!$K$45,"-")</f>
        <v>0</v>
      </c>
      <c r="Q64" s="100">
        <f>IFERROR(DTE_demand_forecast!Q67*Settings!$K$45,"-")</f>
        <v>0</v>
      </c>
      <c r="R64" s="100">
        <f>IFERROR(DTE_demand_forecast!R67*Settings!$K$45,"-")</f>
        <v>0</v>
      </c>
      <c r="S64" s="100">
        <f>IFERROR(DTE_demand_forecast!S67*Settings!$K$45,"-")</f>
        <v>0</v>
      </c>
      <c r="T64" s="100">
        <f>IFERROR(DTE_demand_forecast!T67*Settings!$K$45,"-")</f>
        <v>0</v>
      </c>
      <c r="U64" s="100">
        <f>IFERROR(DTE_demand_forecast!U67*Settings!$K$45,"-")</f>
        <v>0</v>
      </c>
      <c r="V64" s="100">
        <f>IFERROR(DTE_demand_forecast!V67*Settings!$K$45,"-")</f>
        <v>0</v>
      </c>
    </row>
    <row r="65" spans="1:22" x14ac:dyDescent="0.3">
      <c r="A65" s="179"/>
      <c r="B65" s="47" t="s">
        <v>58</v>
      </c>
      <c r="C65" s="100">
        <f>IFERROR(DTE_demand_forecast!C68*Settings!$K$45,"-")</f>
        <v>13945.938950908856</v>
      </c>
      <c r="D65" s="100">
        <f>IFERROR(DTE_demand_forecast!D68*Settings!$K$45,"-")</f>
        <v>15577.756205715412</v>
      </c>
      <c r="E65" s="100">
        <f>IFERROR(DTE_demand_forecast!E68*Settings!$K$45,"-")</f>
        <v>16478.577239405837</v>
      </c>
      <c r="F65" s="100">
        <f>IFERROR(DTE_demand_forecast!F68*Settings!$K$45,"-")</f>
        <v>18024.13207107507</v>
      </c>
      <c r="G65" s="100">
        <f>IFERROR(DTE_demand_forecast!G68*Settings!$K$45,"-")</f>
        <v>25902.389470801019</v>
      </c>
      <c r="H65" s="100">
        <f>IFERROR(DTE_demand_forecast!H68*Settings!$K$45,"-")</f>
        <v>27544.980644024607</v>
      </c>
      <c r="I65" s="100">
        <f>IFERROR(DTE_demand_forecast!I68*Settings!$K$45,"-")</f>
        <v>29247.889919346901</v>
      </c>
      <c r="J65" s="100">
        <f>IFERROR(DTE_demand_forecast!J68*Settings!$K$45,"-")</f>
        <v>31012.872984382546</v>
      </c>
      <c r="K65" s="100">
        <f>IFERROR(DTE_demand_forecast!K68*Settings!$K$45,"-")</f>
        <v>32841.731627009962</v>
      </c>
      <c r="L65" s="100">
        <f>IFERROR(DTE_demand_forecast!L68*Settings!$K$45,"-")</f>
        <v>34736.314877106801</v>
      </c>
      <c r="M65" s="100">
        <f>IFERROR(DTE_demand_forecast!M68*Settings!$K$45,"-")</f>
        <v>35182.270626744983</v>
      </c>
      <c r="N65" s="100">
        <f>IFERROR(DTE_demand_forecast!N68*Settings!$K$45,"-")</f>
        <v>35637.145491375923</v>
      </c>
      <c r="O65" s="100">
        <f>IFERROR(DTE_demand_forecast!O68*Settings!$K$45,"-")</f>
        <v>36101.117853299489</v>
      </c>
      <c r="P65" s="100">
        <f>IFERROR(DTE_demand_forecast!P68*Settings!$K$45,"-")</f>
        <v>36574.369662461519</v>
      </c>
      <c r="Q65" s="100">
        <f>IFERROR(DTE_demand_forecast!Q68*Settings!$K$45,"-")</f>
        <v>37057.086507806795</v>
      </c>
      <c r="R65" s="100">
        <f>IFERROR(DTE_demand_forecast!R68*Settings!$K$45,"-")</f>
        <v>37549.45769005896</v>
      </c>
      <c r="S65" s="100">
        <f>IFERROR(DTE_demand_forecast!S68*Settings!$K$45,"-")</f>
        <v>38051.676295956189</v>
      </c>
      <c r="T65" s="100">
        <f>IFERROR(DTE_demand_forecast!T68*Settings!$K$45,"-")</f>
        <v>38563.939273971358</v>
      </c>
      <c r="U65" s="100">
        <f>IFERROR(DTE_demand_forecast!U68*Settings!$K$45,"-")</f>
        <v>39086.44751154683</v>
      </c>
      <c r="V65" s="100">
        <f>IFERROR(DTE_demand_forecast!V68*Settings!$K$45,"-")</f>
        <v>39619.405913873808</v>
      </c>
    </row>
    <row r="66" spans="1:22" x14ac:dyDescent="0.3">
      <c r="A66" s="179"/>
      <c r="B66" s="47" t="s">
        <v>61</v>
      </c>
      <c r="C66" s="100">
        <f>IFERROR(DTE_demand_forecast!C69*Settings!$K$45,"-")</f>
        <v>860606.03919811384</v>
      </c>
      <c r="D66" s="100">
        <f>IFERROR(DTE_demand_forecast!D69*Settings!$K$45,"-")</f>
        <v>1728316.7287021142</v>
      </c>
      <c r="E66" s="100">
        <f>IFERROR(DTE_demand_forecast!E69*Settings!$K$45,"-")</f>
        <v>1826918.1124202812</v>
      </c>
      <c r="F66" s="100">
        <f>IFERROR(DTE_demand_forecast!F69*Settings!$K$45,"-")</f>
        <v>1929723.8233606312</v>
      </c>
      <c r="G66" s="100">
        <f>IFERROR(DTE_demand_forecast!G69*Settings!$K$45,"-")</f>
        <v>2036157.2822066443</v>
      </c>
      <c r="H66" s="100">
        <f>IFERROR(DTE_demand_forecast!H69*Settings!$K$45,"-")</f>
        <v>2986164.5302347005</v>
      </c>
      <c r="I66" s="100">
        <f>IFERROR(DTE_demand_forecast!I69*Settings!$K$45,"-")</f>
        <v>3117340.9846181036</v>
      </c>
      <c r="J66" s="100">
        <f>IFERROR(DTE_demand_forecast!J69*Settings!$K$45,"-")</f>
        <v>3252878.6302121747</v>
      </c>
      <c r="K66" s="100">
        <f>IFERROR(DTE_demand_forecast!K69*Settings!$K$45,"-")</f>
        <v>3392899.4440835896</v>
      </c>
      <c r="L66" s="100">
        <f>IFERROR(DTE_demand_forecast!L69*Settings!$K$45,"-")</f>
        <v>3537528.5379052022</v>
      </c>
      <c r="M66" s="100">
        <f>IFERROR(DTE_demand_forecast!M69*Settings!$K$45,"-")</f>
        <v>3592849.1662919694</v>
      </c>
      <c r="N66" s="100">
        <f>IFERROR(DTE_demand_forecast!N69*Settings!$K$45,"-")</f>
        <v>3649276.2072464707</v>
      </c>
      <c r="O66" s="100">
        <f>IFERROR(DTE_demand_forecast!O69*Settings!$K$45,"-")</f>
        <v>3706831.7890200634</v>
      </c>
      <c r="P66" s="100">
        <f>IFERROR(DTE_demand_forecast!P69*Settings!$K$45,"-")</f>
        <v>3765538.4824291277</v>
      </c>
      <c r="Q66" s="100">
        <f>IFERROR(DTE_demand_forecast!Q69*Settings!$K$45,"-")</f>
        <v>3825419.3097063731</v>
      </c>
      <c r="R66" s="100">
        <f>IFERROR(DTE_demand_forecast!R69*Settings!$K$45,"-")</f>
        <v>3886497.7535291626</v>
      </c>
      <c r="S66" s="100">
        <f>IFERROR(DTE_demand_forecast!S69*Settings!$K$45,"-")</f>
        <v>3948797.766228409</v>
      </c>
      <c r="T66" s="100">
        <f>IFERROR(DTE_demand_forecast!T69*Settings!$K$45,"-")</f>
        <v>4012343.7791816406</v>
      </c>
      <c r="U66" s="100">
        <f>IFERROR(DTE_demand_forecast!U69*Settings!$K$45,"-")</f>
        <v>4077160.7123939353</v>
      </c>
      <c r="V66" s="100">
        <f>IFERROR(DTE_demand_forecast!V69*Settings!$K$45,"-")</f>
        <v>4143273.9842704767</v>
      </c>
    </row>
    <row r="67" spans="1:22" x14ac:dyDescent="0.3">
      <c r="A67" s="179"/>
      <c r="B67" s="48" t="s">
        <v>104</v>
      </c>
      <c r="C67" s="176">
        <f>SUM(C59:C66)</f>
        <v>15476988.53901137</v>
      </c>
      <c r="D67" s="176">
        <f>SUM(D59:D66)</f>
        <v>14762217.997644184</v>
      </c>
      <c r="E67" s="176">
        <f>SUM(E59:E66)</f>
        <v>14097120.96989591</v>
      </c>
      <c r="F67" s="176">
        <f>SUM(F59:F66)</f>
        <v>12967308.536216229</v>
      </c>
      <c r="G67" s="176">
        <f>SUM(G59:G66)</f>
        <v>14172237.938190587</v>
      </c>
      <c r="H67" s="176">
        <f>SUM(H59:H66)</f>
        <v>15096415.281383539</v>
      </c>
      <c r="I67" s="176">
        <f>SUM(I59:I66)</f>
        <v>15261603.717895063</v>
      </c>
      <c r="J67" s="176">
        <f>SUM(J59:J66)</f>
        <v>16346355.512136767</v>
      </c>
      <c r="K67" s="176">
        <f>SUM(K59:K66)</f>
        <v>16966795.844766177</v>
      </c>
      <c r="L67" s="176">
        <f>SUM(L59:L66)</f>
        <v>17608266.493534211</v>
      </c>
      <c r="M67" s="176">
        <f>SUM(M59:M66)</f>
        <v>21356082.631343614</v>
      </c>
      <c r="N67" s="176">
        <f>SUM(N59:N66)</f>
        <v>21647129.077763006</v>
      </c>
      <c r="O67" s="176">
        <f>SUM(O59:O66)</f>
        <v>21943996.453110784</v>
      </c>
      <c r="P67" s="176">
        <f>SUM(P59:P66)</f>
        <v>22246801.175965525</v>
      </c>
      <c r="Q67" s="176">
        <f>SUM(Q59:Q66)</f>
        <v>22555661.993277363</v>
      </c>
      <c r="R67" s="176">
        <f>SUM(R59:R66)</f>
        <v>22870700.026935421</v>
      </c>
      <c r="S67" s="176">
        <f>SUM(S59:S66)</f>
        <v>23192038.821266655</v>
      </c>
      <c r="T67" s="176">
        <f>SUM(T59:T66)</f>
        <v>23519804.391484518</v>
      </c>
      <c r="U67" s="176">
        <f>SUM(U59:U66)</f>
        <v>23854125.273106724</v>
      </c>
      <c r="V67" s="176">
        <f>SUM(V59:V66)</f>
        <v>24195132.57236138</v>
      </c>
    </row>
    <row r="68" spans="1:22" x14ac:dyDescent="0.3">
      <c r="A68" s="179"/>
      <c r="B68" s="177"/>
      <c r="C68" s="178"/>
      <c r="D68" s="178"/>
      <c r="E68" s="178"/>
      <c r="F68" s="178"/>
      <c r="G68" s="178"/>
      <c r="H68" s="178"/>
      <c r="I68" s="178"/>
      <c r="J68" s="178"/>
      <c r="K68" s="178"/>
      <c r="L68" s="178"/>
      <c r="M68" s="178"/>
      <c r="N68" s="178"/>
      <c r="O68" s="178"/>
      <c r="P68" s="178"/>
      <c r="Q68" s="178"/>
      <c r="R68" s="178"/>
      <c r="S68" s="178"/>
      <c r="T68" s="178"/>
      <c r="U68" s="178"/>
      <c r="V68" s="178"/>
    </row>
    <row r="69" spans="1:22" x14ac:dyDescent="0.3">
      <c r="A69" s="179"/>
      <c r="B69" s="177"/>
      <c r="C69" s="178"/>
      <c r="D69" s="178"/>
      <c r="E69" s="178"/>
      <c r="F69" s="178"/>
      <c r="G69" s="178"/>
      <c r="H69" s="178"/>
      <c r="I69" s="178"/>
      <c r="J69" s="178"/>
      <c r="K69" s="178"/>
      <c r="L69" s="178"/>
      <c r="M69" s="178"/>
      <c r="N69" s="178"/>
      <c r="O69" s="178"/>
      <c r="P69" s="178"/>
      <c r="Q69" s="178"/>
      <c r="R69" s="178"/>
      <c r="S69" s="178"/>
      <c r="T69" s="178"/>
      <c r="U69" s="178"/>
      <c r="V69" s="178"/>
    </row>
    <row r="70" spans="1:22" x14ac:dyDescent="0.3">
      <c r="A70" s="179"/>
      <c r="B70" s="177"/>
      <c r="C70" s="178"/>
      <c r="D70" s="178"/>
      <c r="E70" s="178"/>
      <c r="F70" s="178"/>
      <c r="G70" s="178"/>
      <c r="H70" s="178"/>
      <c r="I70" s="178"/>
      <c r="J70" s="178"/>
      <c r="K70" s="178"/>
      <c r="L70" s="178"/>
      <c r="M70" s="178"/>
      <c r="N70" s="178"/>
      <c r="O70" s="178"/>
      <c r="P70" s="178"/>
      <c r="Q70" s="178"/>
      <c r="R70" s="178"/>
      <c r="S70" s="178"/>
      <c r="T70" s="178"/>
      <c r="U70" s="178"/>
      <c r="V70" s="178"/>
    </row>
    <row r="71" spans="1:22" x14ac:dyDescent="0.3">
      <c r="A71" s="179"/>
      <c r="B71" s="177"/>
      <c r="C71" s="178"/>
      <c r="D71" s="178"/>
      <c r="E71" s="178"/>
      <c r="F71" s="178"/>
      <c r="G71" s="178"/>
      <c r="H71" s="178"/>
      <c r="I71" s="178"/>
      <c r="J71" s="178"/>
      <c r="K71" s="178"/>
      <c r="L71" s="178"/>
      <c r="M71" s="178"/>
      <c r="N71" s="178"/>
      <c r="O71" s="178"/>
      <c r="P71" s="178"/>
      <c r="Q71" s="178"/>
      <c r="R71" s="178"/>
      <c r="S71" s="178"/>
      <c r="T71" s="178"/>
      <c r="U71" s="178"/>
      <c r="V71" s="178"/>
    </row>
    <row r="72" spans="1:22" x14ac:dyDescent="0.3">
      <c r="A72" s="179"/>
      <c r="B72" s="177"/>
      <c r="C72" s="178"/>
      <c r="D72" s="178"/>
      <c r="E72" s="178"/>
      <c r="F72" s="178"/>
      <c r="G72" s="178"/>
      <c r="H72" s="178"/>
      <c r="I72" s="178"/>
      <c r="J72" s="178"/>
      <c r="K72" s="178"/>
      <c r="L72" s="178"/>
      <c r="M72" s="178"/>
      <c r="N72" s="178"/>
      <c r="O72" s="178"/>
      <c r="P72" s="178"/>
      <c r="Q72" s="178"/>
      <c r="R72" s="178"/>
      <c r="S72" s="178"/>
      <c r="T72" s="178"/>
      <c r="U72" s="178"/>
      <c r="V72" s="178"/>
    </row>
    <row r="73" spans="1:22" x14ac:dyDescent="0.3">
      <c r="A73" s="179"/>
    </row>
    <row r="74" spans="1:22" x14ac:dyDescent="0.3">
      <c r="A74" s="179"/>
    </row>
    <row r="75" spans="1:22" x14ac:dyDescent="0.3">
      <c r="A75" s="179"/>
      <c r="B75" s="49" t="s">
        <v>226</v>
      </c>
      <c r="L75" s="34"/>
      <c r="M75" s="34"/>
    </row>
    <row r="76" spans="1:22" x14ac:dyDescent="0.3">
      <c r="A76" s="179"/>
      <c r="B76" s="97" t="s">
        <v>102</v>
      </c>
      <c r="C76" s="97">
        <v>2021</v>
      </c>
      <c r="D76" s="98">
        <v>2022</v>
      </c>
      <c r="E76" s="97">
        <v>2023</v>
      </c>
      <c r="F76" s="98">
        <v>2024</v>
      </c>
      <c r="G76" s="97">
        <v>2025</v>
      </c>
      <c r="H76" s="98">
        <v>2026</v>
      </c>
      <c r="I76" s="97">
        <v>2027</v>
      </c>
      <c r="J76" s="98">
        <v>2028</v>
      </c>
      <c r="K76" s="97">
        <v>2029</v>
      </c>
      <c r="L76" s="98">
        <v>2030</v>
      </c>
      <c r="M76" s="97">
        <v>2031</v>
      </c>
      <c r="N76" s="98">
        <v>2032</v>
      </c>
      <c r="O76" s="97">
        <v>2033</v>
      </c>
      <c r="P76" s="98">
        <v>2034</v>
      </c>
      <c r="Q76" s="97">
        <v>2035</v>
      </c>
      <c r="R76" s="98">
        <v>2036</v>
      </c>
      <c r="S76" s="97">
        <v>2037</v>
      </c>
      <c r="T76" s="98">
        <v>2038</v>
      </c>
      <c r="U76" s="97">
        <v>2039</v>
      </c>
      <c r="V76" s="98">
        <v>2040</v>
      </c>
    </row>
    <row r="77" spans="1:22" x14ac:dyDescent="0.3">
      <c r="A77" s="179"/>
      <c r="B77" s="47" t="s">
        <v>59</v>
      </c>
      <c r="C77" s="100">
        <f>IFERROR(DTE_demand_forecast!C141*Settings!$K$45,"-")</f>
        <v>6587881.7362502478</v>
      </c>
      <c r="D77" s="100">
        <f>IFERROR(DTE_demand_forecast!D141*Settings!$K$45,"-")</f>
        <v>7201098.2659257287</v>
      </c>
      <c r="E77" s="100">
        <f>IFERROR(DTE_demand_forecast!E141*Settings!$K$45,"-")</f>
        <v>7830286.8917279504</v>
      </c>
      <c r="F77" s="100">
        <f>IFERROR(DTE_demand_forecast!F141*Settings!$K$45,"-")</f>
        <v>8505754.6657599751</v>
      </c>
      <c r="G77" s="100">
        <f>IFERROR(DTE_demand_forecast!G141*Settings!$K$45,"-")</f>
        <v>9196687.2666495666</v>
      </c>
      <c r="H77" s="100">
        <f>IFERROR(DTE_demand_forecast!H141*Settings!$K$45,"-")</f>
        <v>9914252.1787007209</v>
      </c>
      <c r="I77" s="100">
        <f>IFERROR(DTE_demand_forecast!I141*Settings!$K$45,"-")</f>
        <v>10659238.321319545</v>
      </c>
      <c r="J77" s="100">
        <f>IFERROR(DTE_demand_forecast!J141*Settings!$K$45,"-")</f>
        <v>11432455.51776392</v>
      </c>
      <c r="K77" s="100">
        <f>IFERROR(DTE_demand_forecast!K141*Settings!$K$45,"-")</f>
        <v>12234735.015729828</v>
      </c>
      <c r="L77" s="100">
        <f>IFERROR(DTE_demand_forecast!L141*Settings!$K$45,"-")</f>
        <v>13066930.02039955</v>
      </c>
      <c r="M77" s="100">
        <f>IFERROR(DTE_demand_forecast!M141*Settings!$K$45,"-")</f>
        <v>16741616.231047384</v>
      </c>
      <c r="N77" s="100">
        <f>IFERROR(DTE_demand_forecast!N141*Settings!$K$45,"-")</f>
        <v>16958070.151761975</v>
      </c>
      <c r="O77" s="100">
        <f>IFERROR(DTE_demand_forecast!O141*Settings!$K$45,"-")</f>
        <v>17178853.150890864</v>
      </c>
      <c r="P77" s="100">
        <f>IFERROR(DTE_demand_forecast!P141*Settings!$K$45,"-")</f>
        <v>17404051.810002331</v>
      </c>
      <c r="Q77" s="100">
        <f>IFERROR(DTE_demand_forecast!Q141*Settings!$K$45,"-")</f>
        <v>17633754.442296021</v>
      </c>
      <c r="R77" s="100">
        <f>IFERROR(DTE_demand_forecast!R141*Settings!$K$45,"-")</f>
        <v>17868051.127235588</v>
      </c>
      <c r="S77" s="100">
        <f>IFERROR(DTE_demand_forecast!S141*Settings!$K$45,"-")</f>
        <v>18107033.745873947</v>
      </c>
      <c r="T77" s="100">
        <f>IFERROR(DTE_demand_forecast!T141*Settings!$K$45,"-")</f>
        <v>18350796.016885072</v>
      </c>
      <c r="U77" s="100">
        <f>IFERROR(DTE_demand_forecast!U141*Settings!$K$45,"-")</f>
        <v>18599433.533316422</v>
      </c>
      <c r="V77" s="100">
        <f>IFERROR(DTE_demand_forecast!V141*Settings!$K$45,"-")</f>
        <v>18853043.800076395</v>
      </c>
    </row>
    <row r="78" spans="1:22" x14ac:dyDescent="0.3">
      <c r="A78" s="179"/>
      <c r="B78" s="47" t="s">
        <v>57</v>
      </c>
      <c r="C78" s="100">
        <f>IFERROR(DTE_demand_forecast!C142*Settings!$K$45,"-")</f>
        <v>8506194.7701369561</v>
      </c>
      <c r="D78" s="100">
        <f>IFERROR(DTE_demand_forecast!D142*Settings!$K$45,"-")</f>
        <v>6937684.6214412516</v>
      </c>
      <c r="E78" s="100">
        <f>IFERROR(DTE_demand_forecast!E142*Settings!$K$45,"-")</f>
        <v>6115586.3479813477</v>
      </c>
      <c r="F78" s="100">
        <f>IFERROR(DTE_demand_forecast!F142*Settings!$K$45,"-")</f>
        <v>5010551.4814020097</v>
      </c>
      <c r="G78" s="100">
        <f>IFERROR(DTE_demand_forecast!G142*Settings!$K$45,"-")</f>
        <v>6137129.8045014227</v>
      </c>
      <c r="H78" s="100">
        <f>IFERROR(DTE_demand_forecast!H142*Settings!$K$45,"-")</f>
        <v>6147033.1296324171</v>
      </c>
      <c r="I78" s="100">
        <f>IFERROR(DTE_demand_forecast!I142*Settings!$K$45,"-")</f>
        <v>6218175.430488864</v>
      </c>
      <c r="J78" s="100">
        <f>IFERROR(DTE_demand_forecast!J142*Settings!$K$45,"-")</f>
        <v>7205958.5768855466</v>
      </c>
      <c r="K78" s="100">
        <f>IFERROR(DTE_demand_forecast!K142*Settings!$K$45,"-")</f>
        <v>7726428.467446656</v>
      </c>
      <c r="L78" s="100">
        <f>IFERROR(DTE_demand_forecast!L142*Settings!$K$45,"-")</f>
        <v>8264845.5956133213</v>
      </c>
      <c r="M78" s="100">
        <f>IFERROR(DTE_demand_forecast!M142*Settings!$K$45,"-")</f>
        <v>8429601.2368323207</v>
      </c>
      <c r="N78" s="100">
        <f>IFERROR(DTE_demand_forecast!N142*Settings!$K$45,"-")</f>
        <v>8597651.9908756986</v>
      </c>
      <c r="O78" s="100">
        <f>IFERROR(DTE_demand_forecast!O142*Settings!$K$45,"-")</f>
        <v>8769063.7599999476</v>
      </c>
      <c r="P78" s="100">
        <f>IFERROR(DTE_demand_forecast!P142*Settings!$K$45,"-")</f>
        <v>8943903.764506679</v>
      </c>
      <c r="Q78" s="100">
        <f>IFERROR(DTE_demand_forecast!Q142*Settings!$K$45,"-")</f>
        <v>9122240.5691035464</v>
      </c>
      <c r="R78" s="100">
        <f>IFERROR(DTE_demand_forecast!R142*Settings!$K$45,"-")</f>
        <v>9304144.109792348</v>
      </c>
      <c r="S78" s="100">
        <f>IFERROR(DTE_demand_forecast!S142*Settings!$K$45,"-")</f>
        <v>9489685.7212949302</v>
      </c>
      <c r="T78" s="100">
        <f>IFERROR(DTE_demand_forecast!T142*Settings!$K$45,"-")</f>
        <v>9678938.1650275625</v>
      </c>
      <c r="U78" s="100">
        <f>IFERROR(DTE_demand_forecast!U142*Settings!$K$45,"-")</f>
        <v>9871975.6576348469</v>
      </c>
      <c r="V78" s="100">
        <f>IFERROR(DTE_demand_forecast!V142*Settings!$K$45,"-")</f>
        <v>10068873.900094276</v>
      </c>
    </row>
    <row r="79" spans="1:22" x14ac:dyDescent="0.3">
      <c r="A79" s="179"/>
      <c r="B79" s="47" t="s">
        <v>56</v>
      </c>
      <c r="C79" s="100">
        <f>IFERROR(DTE_demand_forecast!C143*Settings!$K$45,"-")</f>
        <v>140360.28911741229</v>
      </c>
      <c r="D79" s="100">
        <f>IFERROR(DTE_demand_forecast!D143*Settings!$K$45,"-")</f>
        <v>150155.73384279292</v>
      </c>
      <c r="E79" s="100">
        <f>IFERROR(DTE_demand_forecast!E143*Settings!$K$45,"-")</f>
        <v>179474.08318090127</v>
      </c>
      <c r="F79" s="100">
        <f>IFERROR(DTE_demand_forecast!F143*Settings!$K$45,"-")</f>
        <v>191381.81994908891</v>
      </c>
      <c r="G79" s="100">
        <f>IFERROR(DTE_demand_forecast!G143*Settings!$K$45,"-")</f>
        <v>203723.61292850404</v>
      </c>
      <c r="H79" s="100">
        <f>IFERROR(DTE_demand_forecast!H143*Settings!$K$45,"-")</f>
        <v>216512.06127288853</v>
      </c>
      <c r="I79" s="100">
        <f>IFERROR(DTE_demand_forecast!I143*Settings!$K$45,"-")</f>
        <v>229760.0944796493</v>
      </c>
      <c r="J79" s="100">
        <f>IFERROR(DTE_demand_forecast!J143*Settings!$K$45,"-")</f>
        <v>243480.98056394362</v>
      </c>
      <c r="K79" s="100">
        <f>IFERROR(DTE_demand_forecast!K143*Settings!$K$45,"-")</f>
        <v>257688.33442759025</v>
      </c>
      <c r="L79" s="100">
        <f>IFERROR(DTE_demand_forecast!L143*Settings!$K$45,"-")</f>
        <v>272396.12642732955</v>
      </c>
      <c r="M79" s="100">
        <f>IFERROR(DTE_demand_forecast!M143*Settings!$K$45,"-")</f>
        <v>276367.23026725918</v>
      </c>
      <c r="N79" s="100">
        <f>IFERROR(DTE_demand_forecast!N143*Settings!$K$45,"-")</f>
        <v>280417.75618398731</v>
      </c>
      <c r="O79" s="100">
        <f>IFERROR(DTE_demand_forecast!O143*Settings!$K$45,"-")</f>
        <v>284549.29261905013</v>
      </c>
      <c r="P79" s="100">
        <f>IFERROR(DTE_demand_forecast!P143*Settings!$K$45,"-")</f>
        <v>288763.45978281408</v>
      </c>
      <c r="Q79" s="100">
        <f>IFERROR(DTE_demand_forecast!Q143*Settings!$K$45,"-")</f>
        <v>293061.91028985335</v>
      </c>
      <c r="R79" s="100">
        <f>IFERROR(DTE_demand_forecast!R143*Settings!$K$45,"-")</f>
        <v>297446.32980703341</v>
      </c>
      <c r="S79" s="100">
        <f>IFERROR(DTE_demand_forecast!S143*Settings!$K$45,"-")</f>
        <v>301918.43771455711</v>
      </c>
      <c r="T79" s="100">
        <f>IFERROR(DTE_demand_forecast!T143*Settings!$K$45,"-")</f>
        <v>306479.98778023128</v>
      </c>
      <c r="U79" s="100">
        <f>IFERROR(DTE_demand_forecast!U143*Settings!$K$45,"-")</f>
        <v>311132.76884721889</v>
      </c>
      <c r="V79" s="100">
        <f>IFERROR(DTE_demand_forecast!V143*Settings!$K$45,"-")</f>
        <v>315878.60553554632</v>
      </c>
    </row>
    <row r="80" spans="1:22" x14ac:dyDescent="0.3">
      <c r="A80" s="179"/>
      <c r="B80" s="47" t="s">
        <v>100</v>
      </c>
      <c r="C80" s="100">
        <f>IFERROR(DTE_demand_forecast!C144*Settings!$K$45,"-")</f>
        <v>0</v>
      </c>
      <c r="D80" s="100">
        <f>IFERROR(DTE_demand_forecast!D144*Settings!$K$45,"-")</f>
        <v>0</v>
      </c>
      <c r="E80" s="100">
        <f>IFERROR(DTE_demand_forecast!E144*Settings!$K$45,"-")</f>
        <v>0</v>
      </c>
      <c r="F80" s="100">
        <f>IFERROR(DTE_demand_forecast!F144*Settings!$K$45,"-")</f>
        <v>0</v>
      </c>
      <c r="G80" s="100">
        <f>IFERROR(DTE_demand_forecast!G144*Settings!$K$45,"-")</f>
        <v>0</v>
      </c>
      <c r="H80" s="100">
        <f>IFERROR(DTE_demand_forecast!H144*Settings!$K$45,"-")</f>
        <v>0</v>
      </c>
      <c r="I80" s="100">
        <f>IFERROR(DTE_demand_forecast!I144*Settings!$K$45,"-")</f>
        <v>0</v>
      </c>
      <c r="J80" s="100">
        <f>IFERROR(DTE_demand_forecast!J144*Settings!$K$45,"-")</f>
        <v>0</v>
      </c>
      <c r="K80" s="100">
        <f>IFERROR(DTE_demand_forecast!K144*Settings!$K$45,"-")</f>
        <v>0</v>
      </c>
      <c r="L80" s="100">
        <f>IFERROR(DTE_demand_forecast!L144*Settings!$K$45,"-")</f>
        <v>0</v>
      </c>
      <c r="M80" s="100">
        <f>IFERROR(DTE_demand_forecast!M144*Settings!$K$45,"-")</f>
        <v>0</v>
      </c>
      <c r="N80" s="100">
        <f>IFERROR(DTE_demand_forecast!N144*Settings!$K$45,"-")</f>
        <v>0</v>
      </c>
      <c r="O80" s="100">
        <f>IFERROR(DTE_demand_forecast!O144*Settings!$K$45,"-")</f>
        <v>0</v>
      </c>
      <c r="P80" s="100">
        <f>IFERROR(DTE_demand_forecast!P144*Settings!$K$45,"-")</f>
        <v>0</v>
      </c>
      <c r="Q80" s="100">
        <f>IFERROR(DTE_demand_forecast!Q144*Settings!$K$45,"-")</f>
        <v>0</v>
      </c>
      <c r="R80" s="100">
        <f>IFERROR(DTE_demand_forecast!R144*Settings!$K$45,"-")</f>
        <v>0</v>
      </c>
      <c r="S80" s="100">
        <f>IFERROR(DTE_demand_forecast!S144*Settings!$K$45,"-")</f>
        <v>0</v>
      </c>
      <c r="T80" s="100">
        <f>IFERROR(DTE_demand_forecast!T144*Settings!$K$45,"-")</f>
        <v>0</v>
      </c>
      <c r="U80" s="100">
        <f>IFERROR(DTE_demand_forecast!U144*Settings!$K$45,"-")</f>
        <v>0</v>
      </c>
      <c r="V80" s="100">
        <f>IFERROR(DTE_demand_forecast!V144*Settings!$K$45,"-")</f>
        <v>0</v>
      </c>
    </row>
    <row r="81" spans="1:22" x14ac:dyDescent="0.3">
      <c r="A81" s="179"/>
      <c r="B81" s="47" t="s">
        <v>60</v>
      </c>
      <c r="C81" s="100">
        <f>IFERROR(DTE_demand_forecast!C145*Settings!$K$45,"-")</f>
        <v>0</v>
      </c>
      <c r="D81" s="100">
        <f>IFERROR(DTE_demand_forecast!D145*Settings!$K$45,"-")</f>
        <v>0</v>
      </c>
      <c r="E81" s="100">
        <f>IFERROR(DTE_demand_forecast!E145*Settings!$K$45,"-")</f>
        <v>0</v>
      </c>
      <c r="F81" s="100">
        <f>IFERROR(DTE_demand_forecast!F145*Settings!$K$45,"-")</f>
        <v>0</v>
      </c>
      <c r="G81" s="100">
        <f>IFERROR(DTE_demand_forecast!G145*Settings!$K$45,"-")</f>
        <v>0</v>
      </c>
      <c r="H81" s="100">
        <f>IFERROR(DTE_demand_forecast!H145*Settings!$K$45,"-")</f>
        <v>0</v>
      </c>
      <c r="I81" s="100">
        <f>IFERROR(DTE_demand_forecast!I145*Settings!$K$45,"-")</f>
        <v>0</v>
      </c>
      <c r="J81" s="100">
        <f>IFERROR(DTE_demand_forecast!J145*Settings!$K$45,"-")</f>
        <v>0</v>
      </c>
      <c r="K81" s="100">
        <f>IFERROR(DTE_demand_forecast!K145*Settings!$K$45,"-")</f>
        <v>0</v>
      </c>
      <c r="L81" s="100">
        <f>IFERROR(DTE_demand_forecast!L145*Settings!$K$45,"-")</f>
        <v>0</v>
      </c>
      <c r="M81" s="100">
        <f>IFERROR(DTE_demand_forecast!M145*Settings!$K$45,"-")</f>
        <v>0</v>
      </c>
      <c r="N81" s="100">
        <f>IFERROR(DTE_demand_forecast!N145*Settings!$K$45,"-")</f>
        <v>0</v>
      </c>
      <c r="O81" s="100">
        <f>IFERROR(DTE_demand_forecast!O145*Settings!$K$45,"-")</f>
        <v>0</v>
      </c>
      <c r="P81" s="100">
        <f>IFERROR(DTE_demand_forecast!P145*Settings!$K$45,"-")</f>
        <v>0</v>
      </c>
      <c r="Q81" s="100">
        <f>IFERROR(DTE_demand_forecast!Q145*Settings!$K$45,"-")</f>
        <v>0</v>
      </c>
      <c r="R81" s="100">
        <f>IFERROR(DTE_demand_forecast!R145*Settings!$K$45,"-")</f>
        <v>0</v>
      </c>
      <c r="S81" s="100">
        <f>IFERROR(DTE_demand_forecast!S145*Settings!$K$45,"-")</f>
        <v>0</v>
      </c>
      <c r="T81" s="100">
        <f>IFERROR(DTE_demand_forecast!T145*Settings!$K$45,"-")</f>
        <v>0</v>
      </c>
      <c r="U81" s="100">
        <f>IFERROR(DTE_demand_forecast!U145*Settings!$K$45,"-")</f>
        <v>0</v>
      </c>
      <c r="V81" s="100">
        <f>IFERROR(DTE_demand_forecast!V145*Settings!$K$45,"-")</f>
        <v>0</v>
      </c>
    </row>
    <row r="82" spans="1:22" x14ac:dyDescent="0.3">
      <c r="A82" s="179"/>
      <c r="B82" s="47" t="s">
        <v>101</v>
      </c>
      <c r="C82" s="100">
        <f>IFERROR(DTE_demand_forecast!C146*Settings!$K$45,"-")</f>
        <v>0</v>
      </c>
      <c r="D82" s="100">
        <f>IFERROR(DTE_demand_forecast!D146*Settings!$K$45,"-")</f>
        <v>0</v>
      </c>
      <c r="E82" s="100">
        <f>IFERROR(DTE_demand_forecast!E146*Settings!$K$45,"-")</f>
        <v>0</v>
      </c>
      <c r="F82" s="100">
        <f>IFERROR(DTE_demand_forecast!F146*Settings!$K$45,"-")</f>
        <v>0</v>
      </c>
      <c r="G82" s="100">
        <f>IFERROR(DTE_demand_forecast!G146*Settings!$K$45,"-")</f>
        <v>0</v>
      </c>
      <c r="H82" s="100">
        <f>IFERROR(DTE_demand_forecast!H146*Settings!$K$45,"-")</f>
        <v>0</v>
      </c>
      <c r="I82" s="100">
        <f>IFERROR(DTE_demand_forecast!I146*Settings!$K$45,"-")</f>
        <v>0</v>
      </c>
      <c r="J82" s="100">
        <f>IFERROR(DTE_demand_forecast!J146*Settings!$K$45,"-")</f>
        <v>0</v>
      </c>
      <c r="K82" s="100">
        <f>IFERROR(DTE_demand_forecast!K146*Settings!$K$45,"-")</f>
        <v>0</v>
      </c>
      <c r="L82" s="100">
        <f>IFERROR(DTE_demand_forecast!L146*Settings!$K$45,"-")</f>
        <v>0</v>
      </c>
      <c r="M82" s="100">
        <f>IFERROR(DTE_demand_forecast!M146*Settings!$K$45,"-")</f>
        <v>0</v>
      </c>
      <c r="N82" s="100">
        <f>IFERROR(DTE_demand_forecast!N146*Settings!$K$45,"-")</f>
        <v>0</v>
      </c>
      <c r="O82" s="100">
        <f>IFERROR(DTE_demand_forecast!O146*Settings!$K$45,"-")</f>
        <v>0</v>
      </c>
      <c r="P82" s="100">
        <f>IFERROR(DTE_demand_forecast!P146*Settings!$K$45,"-")</f>
        <v>0</v>
      </c>
      <c r="Q82" s="100">
        <f>IFERROR(DTE_demand_forecast!Q146*Settings!$K$45,"-")</f>
        <v>0</v>
      </c>
      <c r="R82" s="100">
        <f>IFERROR(DTE_demand_forecast!R146*Settings!$K$45,"-")</f>
        <v>0</v>
      </c>
      <c r="S82" s="100">
        <f>IFERROR(DTE_demand_forecast!S146*Settings!$K$45,"-")</f>
        <v>0</v>
      </c>
      <c r="T82" s="100">
        <f>IFERROR(DTE_demand_forecast!T146*Settings!$K$45,"-")</f>
        <v>0</v>
      </c>
      <c r="U82" s="100">
        <f>IFERROR(DTE_demand_forecast!U146*Settings!$K$45,"-")</f>
        <v>0</v>
      </c>
      <c r="V82" s="100">
        <f>IFERROR(DTE_demand_forecast!V146*Settings!$K$45,"-")</f>
        <v>0</v>
      </c>
    </row>
    <row r="83" spans="1:22" x14ac:dyDescent="0.3">
      <c r="A83" s="179"/>
      <c r="B83" s="47" t="s">
        <v>58</v>
      </c>
      <c r="C83" s="100">
        <f>IFERROR(DTE_demand_forecast!C147*Settings!$K$45,"-")</f>
        <v>15189.791690428639</v>
      </c>
      <c r="D83" s="100">
        <f>IFERROR(DTE_demand_forecast!D147*Settings!$K$45,"-")</f>
        <v>18115.215794335771</v>
      </c>
      <c r="E83" s="100">
        <f>IFERROR(DTE_demand_forecast!E147*Settings!$K$45,"-")</f>
        <v>20360.89040999499</v>
      </c>
      <c r="F83" s="100">
        <f>IFERROR(DTE_demand_forecast!F147*Settings!$K$45,"-")</f>
        <v>23304.077983076313</v>
      </c>
      <c r="G83" s="100">
        <f>IFERROR(DTE_demand_forecast!G147*Settings!$K$45,"-")</f>
        <v>32634.320508602606</v>
      </c>
      <c r="H83" s="100">
        <f>IFERROR(DTE_demand_forecast!H147*Settings!$K$45,"-")</f>
        <v>35784.864234293753</v>
      </c>
      <c r="I83" s="100">
        <f>IFERROR(DTE_demand_forecast!I147*Settings!$K$45,"-")</f>
        <v>39053.351391767173</v>
      </c>
      <c r="J83" s="100">
        <f>IFERROR(DTE_demand_forecast!J147*Settings!$K$45,"-")</f>
        <v>42443.239500803895</v>
      </c>
      <c r="K83" s="100">
        <f>IFERROR(DTE_demand_forecast!K147*Settings!$K$45,"-")</f>
        <v>45958.077204603469</v>
      </c>
      <c r="L83" s="100">
        <f>IFERROR(DTE_demand_forecast!L147*Settings!$K$45,"-")</f>
        <v>49601.506531712781</v>
      </c>
      <c r="M83" s="100">
        <f>IFERROR(DTE_demand_forecast!M147*Settings!$K$45,"-")</f>
        <v>50344.766114443082</v>
      </c>
      <c r="N83" s="100">
        <f>IFERROR(DTE_demand_forecast!N147*Settings!$K$45,"-")</f>
        <v>51102.890888827977</v>
      </c>
      <c r="O83" s="100">
        <f>IFERROR(DTE_demand_forecast!O147*Settings!$K$45,"-")</f>
        <v>51876.178158700583</v>
      </c>
      <c r="P83" s="100">
        <f>IFERROR(DTE_demand_forecast!P147*Settings!$K$45,"-")</f>
        <v>52664.931173970639</v>
      </c>
      <c r="Q83" s="100">
        <f>IFERROR(DTE_demand_forecast!Q147*Settings!$K$45,"-")</f>
        <v>53469.459249546097</v>
      </c>
      <c r="R83" s="100">
        <f>IFERROR(DTE_demand_forecast!R147*Settings!$K$45,"-")</f>
        <v>54290.077886633051</v>
      </c>
      <c r="S83" s="100">
        <f>IFERROR(DTE_demand_forecast!S147*Settings!$K$45,"-")</f>
        <v>55127.108896461767</v>
      </c>
      <c r="T83" s="100">
        <f>IFERROR(DTE_demand_forecast!T147*Settings!$K$45,"-")</f>
        <v>55980.880526487039</v>
      </c>
      <c r="U83" s="100">
        <f>IFERROR(DTE_demand_forecast!U147*Settings!$K$45,"-")</f>
        <v>56851.727589112823</v>
      </c>
      <c r="V83" s="100">
        <f>IFERROR(DTE_demand_forecast!V147*Settings!$K$45,"-")</f>
        <v>57739.991592991115</v>
      </c>
    </row>
    <row r="84" spans="1:22" x14ac:dyDescent="0.3">
      <c r="A84" s="179"/>
      <c r="B84" s="47" t="s">
        <v>61</v>
      </c>
      <c r="C84" s="100">
        <f>IFERROR(DTE_demand_forecast!C148*Settings!$K$45,"-")</f>
        <v>937755.7510548</v>
      </c>
      <c r="D84" s="100">
        <f>IFERROR(DTE_demand_forecast!D148*Settings!$K$45,"-")</f>
        <v>1885702.1408897536</v>
      </c>
      <c r="E84" s="100">
        <f>IFERROR(DTE_demand_forecast!E148*Settings!$K$45,"-")</f>
        <v>2067717.7930673701</v>
      </c>
      <c r="F84" s="100">
        <f>IFERROR(DTE_demand_forecast!F148*Settings!$K$45,"-")</f>
        <v>2257211.3890406718</v>
      </c>
      <c r="G84" s="100">
        <f>IFERROR(DTE_demand_forecast!G148*Settings!$K$45,"-")</f>
        <v>2453703.9284486962</v>
      </c>
      <c r="H84" s="100">
        <f>IFERROR(DTE_demand_forecast!H148*Settings!$K$45,"-")</f>
        <v>3497241.6252349722</v>
      </c>
      <c r="I84" s="100">
        <f>IFERROR(DTE_demand_forecast!I148*Settings!$K$45,"-")</f>
        <v>3725522.727668426</v>
      </c>
      <c r="J84" s="100">
        <f>IFERROR(DTE_demand_forecast!J148*Settings!$K$45,"-")</f>
        <v>3961844.7763965502</v>
      </c>
      <c r="K84" s="100">
        <f>IFERROR(DTE_demand_forecast!K148*Settings!$K$45,"-")</f>
        <v>4206438.0968301604</v>
      </c>
      <c r="L84" s="100">
        <f>IFERROR(DTE_demand_forecast!L148*Settings!$K$45,"-")</f>
        <v>4459539.0110179828</v>
      </c>
      <c r="M84" s="100">
        <f>IFERROR(DTE_demand_forecast!M148*Settings!$K$45,"-")</f>
        <v>4533299.8488670047</v>
      </c>
      <c r="N84" s="100">
        <f>IFERROR(DTE_demand_forecast!N148*Settings!$K$45,"-")</f>
        <v>4608535.9034730075</v>
      </c>
      <c r="O84" s="100">
        <f>IFERROR(DTE_demand_forecast!O148*Settings!$K$45,"-")</f>
        <v>4685276.6791711319</v>
      </c>
      <c r="P84" s="100">
        <f>IFERROR(DTE_demand_forecast!P148*Settings!$K$45,"-")</f>
        <v>4763552.2703832164</v>
      </c>
      <c r="Q84" s="100">
        <f>IFERROR(DTE_demand_forecast!Q148*Settings!$K$45,"-")</f>
        <v>4843393.3734195447</v>
      </c>
      <c r="R84" s="100">
        <f>IFERROR(DTE_demand_forecast!R148*Settings!$K$45,"-")</f>
        <v>4924831.2985165967</v>
      </c>
      <c r="S84" s="100">
        <f>IFERROR(DTE_demand_forecast!S148*Settings!$K$45,"-")</f>
        <v>5007897.9821155919</v>
      </c>
      <c r="T84" s="100">
        <f>IFERROR(DTE_demand_forecast!T148*Settings!$K$45,"-")</f>
        <v>5092625.9993865676</v>
      </c>
      <c r="U84" s="100">
        <f>IFERROR(DTE_demand_forecast!U148*Settings!$K$45,"-")</f>
        <v>5179048.5770029612</v>
      </c>
      <c r="V84" s="100">
        <f>IFERROR(DTE_demand_forecast!V148*Settings!$K$45,"-")</f>
        <v>5267199.6061716825</v>
      </c>
    </row>
    <row r="85" spans="1:22" x14ac:dyDescent="0.3">
      <c r="A85" s="179"/>
      <c r="B85" s="47" t="s">
        <v>104</v>
      </c>
      <c r="C85" s="176">
        <f>SUM(C77:C84)</f>
        <v>16187382.338249844</v>
      </c>
      <c r="D85" s="176">
        <f>SUM(D77:D84)</f>
        <v>16192755.977893863</v>
      </c>
      <c r="E85" s="176">
        <f>SUM(E77:E84)</f>
        <v>16213426.006367564</v>
      </c>
      <c r="F85" s="176">
        <f>SUM(F77:F84)</f>
        <v>15988203.43413482</v>
      </c>
      <c r="G85" s="176">
        <f>SUM(G77:G84)</f>
        <v>18023878.933036793</v>
      </c>
      <c r="H85" s="176">
        <f>SUM(H77:H84)</f>
        <v>19810823.859075293</v>
      </c>
      <c r="I85" s="176">
        <f>SUM(I77:I84)</f>
        <v>20871749.925348252</v>
      </c>
      <c r="J85" s="176">
        <f>SUM(J77:J84)</f>
        <v>22886183.091110766</v>
      </c>
      <c r="K85" s="176">
        <f>SUM(K77:K84)</f>
        <v>24471247.991638839</v>
      </c>
      <c r="L85" s="176">
        <f>SUM(L77:L84)</f>
        <v>26113312.259989895</v>
      </c>
      <c r="M85" s="176">
        <f>SUM(M77:M84)</f>
        <v>30031229.313128412</v>
      </c>
      <c r="N85" s="176">
        <f>SUM(N77:N84)</f>
        <v>30495778.693183497</v>
      </c>
      <c r="O85" s="176">
        <f>SUM(O77:O84)</f>
        <v>30969619.06083969</v>
      </c>
      <c r="P85" s="176">
        <f>SUM(P77:P84)</f>
        <v>31452936.235849008</v>
      </c>
      <c r="Q85" s="176">
        <f>SUM(Q77:Q84)</f>
        <v>31945919.754358511</v>
      </c>
      <c r="R85" s="176">
        <f>SUM(R77:R84)</f>
        <v>32448762.943238199</v>
      </c>
      <c r="S85" s="176">
        <f>SUM(S77:S84)</f>
        <v>32961662.995895486</v>
      </c>
      <c r="T85" s="176">
        <f>SUM(T77:T84)</f>
        <v>33484821.049605921</v>
      </c>
      <c r="U85" s="176">
        <f>SUM(U77:U84)</f>
        <v>34018442.264390558</v>
      </c>
      <c r="V85" s="176">
        <f>SUM(V77:V84)</f>
        <v>34562735.903470889</v>
      </c>
    </row>
    <row r="86" spans="1:22" x14ac:dyDescent="0.3">
      <c r="A86" s="179"/>
    </row>
    <row r="87" spans="1:22" x14ac:dyDescent="0.3">
      <c r="A87" s="179"/>
    </row>
    <row r="88" spans="1:22" x14ac:dyDescent="0.3">
      <c r="A88" s="179"/>
    </row>
    <row r="89" spans="1:22" x14ac:dyDescent="0.3">
      <c r="A89" s="179"/>
    </row>
    <row r="90" spans="1:22" x14ac:dyDescent="0.3">
      <c r="A90" s="179"/>
    </row>
    <row r="91" spans="1:22" x14ac:dyDescent="0.3">
      <c r="A91" s="179"/>
    </row>
    <row r="92" spans="1:22" x14ac:dyDescent="0.3">
      <c r="A92" s="179"/>
    </row>
    <row r="93" spans="1:22" x14ac:dyDescent="0.3">
      <c r="A93" s="179"/>
      <c r="B93" s="49" t="s">
        <v>227</v>
      </c>
      <c r="L93" s="34"/>
      <c r="M93" s="34"/>
    </row>
    <row r="94" spans="1:22" x14ac:dyDescent="0.3">
      <c r="A94" s="179"/>
      <c r="B94" s="97" t="s">
        <v>102</v>
      </c>
      <c r="C94" s="97">
        <v>2021</v>
      </c>
      <c r="D94" s="98">
        <v>2022</v>
      </c>
      <c r="E94" s="97">
        <v>2023</v>
      </c>
      <c r="F94" s="98">
        <v>2024</v>
      </c>
      <c r="G94" s="97">
        <v>2025</v>
      </c>
      <c r="H94" s="98">
        <v>2026</v>
      </c>
      <c r="I94" s="97">
        <v>2027</v>
      </c>
      <c r="J94" s="98">
        <v>2028</v>
      </c>
      <c r="K94" s="97">
        <v>2029</v>
      </c>
      <c r="L94" s="98">
        <v>2030</v>
      </c>
      <c r="M94" s="97">
        <v>2031</v>
      </c>
      <c r="N94" s="98">
        <v>2032</v>
      </c>
      <c r="O94" s="97">
        <v>2033</v>
      </c>
      <c r="P94" s="98">
        <v>2034</v>
      </c>
      <c r="Q94" s="97">
        <v>2035</v>
      </c>
      <c r="R94" s="98">
        <v>2036</v>
      </c>
      <c r="S94" s="97">
        <v>2037</v>
      </c>
      <c r="T94" s="98">
        <v>2038</v>
      </c>
      <c r="U94" s="97">
        <v>2039</v>
      </c>
      <c r="V94" s="98">
        <v>2040</v>
      </c>
    </row>
    <row r="95" spans="1:22" x14ac:dyDescent="0.3">
      <c r="A95" s="179"/>
      <c r="B95" s="47" t="s">
        <v>59</v>
      </c>
      <c r="C95" s="100">
        <f>IFERROR(DTE_demand_forecast!C220*Settings!$K$45,"-")</f>
        <v>6883827.7460161308</v>
      </c>
      <c r="D95" s="100">
        <f>IFERROR(DTE_demand_forecast!D220*Settings!$K$45,"-")</f>
        <v>7804828.1258481285</v>
      </c>
      <c r="E95" s="100">
        <f>IFERROR(DTE_demand_forecast!E220*Settings!$K$45,"-")</f>
        <v>8753993.5774092209</v>
      </c>
      <c r="F95" s="100">
        <f>IFERROR(DTE_demand_forecast!F220*Settings!$K$45,"-")</f>
        <v>9761995.7582865059</v>
      </c>
      <c r="G95" s="100">
        <f>IFERROR(DTE_demand_forecast!G220*Settings!$K$45,"-")</f>
        <v>10798394.65962089</v>
      </c>
      <c r="H95" s="100">
        <f>IFERROR(DTE_demand_forecast!H220*Settings!$K$45,"-")</f>
        <v>11874742.027697625</v>
      </c>
      <c r="I95" s="100">
        <f>IFERROR(DTE_demand_forecast!I220*Settings!$K$45,"-")</f>
        <v>12992221.241625858</v>
      </c>
      <c r="J95" s="100">
        <f>IFERROR(DTE_demand_forecast!J220*Settings!$K$45,"-")</f>
        <v>14152047.036292423</v>
      </c>
      <c r="K95" s="100">
        <f>IFERROR(DTE_demand_forecast!K220*Settings!$K$45,"-")</f>
        <v>15355466.283241287</v>
      </c>
      <c r="L95" s="100">
        <f>IFERROR(DTE_demand_forecast!L220*Settings!$K$45,"-")</f>
        <v>16603758.79024587</v>
      </c>
      <c r="M95" s="100">
        <f>IFERROR(DTE_demand_forecast!M220*Settings!$K$45,"-")</f>
        <v>20349181.576290626</v>
      </c>
      <c r="N95" s="100">
        <f>IFERROR(DTE_demand_forecast!N220*Settings!$K$45,"-")</f>
        <v>20637786.80391008</v>
      </c>
      <c r="O95" s="100">
        <f>IFERROR(DTE_demand_forecast!O220*Settings!$K$45,"-")</f>
        <v>20932164.136081938</v>
      </c>
      <c r="P95" s="100">
        <f>IFERROR(DTE_demand_forecast!P220*Settings!$K$45,"-")</f>
        <v>21232429.01489722</v>
      </c>
      <c r="Q95" s="100">
        <f>IFERROR(DTE_demand_forecast!Q220*Settings!$K$45,"-")</f>
        <v>21538699.191288814</v>
      </c>
      <c r="R95" s="100">
        <f>IFERROR(DTE_demand_forecast!R220*Settings!$K$45,"-")</f>
        <v>21851094.77120823</v>
      </c>
      <c r="S95" s="100">
        <f>IFERROR(DTE_demand_forecast!S220*Settings!$K$45,"-")</f>
        <v>22169738.262726046</v>
      </c>
      <c r="T95" s="100">
        <f>IFERROR(DTE_demand_forecast!T220*Settings!$K$45,"-")</f>
        <v>22494754.624074217</v>
      </c>
      <c r="U95" s="100">
        <f>IFERROR(DTE_demand_forecast!U220*Settings!$K$45,"-")</f>
        <v>22826271.312649343</v>
      </c>
      <c r="V95" s="100">
        <f>IFERROR(DTE_demand_forecast!V220*Settings!$K$45,"-")</f>
        <v>23164418.334995978</v>
      </c>
    </row>
    <row r="96" spans="1:22" x14ac:dyDescent="0.3">
      <c r="A96" s="179"/>
      <c r="B96" s="47" t="s">
        <v>57</v>
      </c>
      <c r="C96" s="100">
        <f>IFERROR(DTE_demand_forecast!C221*Settings!$K$45,"-")</f>
        <v>8688737.9200480878</v>
      </c>
      <c r="D96" s="100">
        <f>IFERROR(DTE_demand_forecast!D221*Settings!$K$45,"-")</f>
        <v>7291407.2770631528</v>
      </c>
      <c r="E96" s="100">
        <f>IFERROR(DTE_demand_forecast!E221*Settings!$K$45,"-")</f>
        <v>6584363.9377724975</v>
      </c>
      <c r="F96" s="100">
        <f>IFERROR(DTE_demand_forecast!F221*Settings!$K$45,"-")</f>
        <v>5790809.051835116</v>
      </c>
      <c r="G96" s="100">
        <f>IFERROR(DTE_demand_forecast!G221*Settings!$K$45,"-")</f>
        <v>7131958.2068036338</v>
      </c>
      <c r="H96" s="100">
        <f>IFERROR(DTE_demand_forecast!H221*Settings!$K$45,"-")</f>
        <v>7364703.0940503236</v>
      </c>
      <c r="I96" s="100">
        <f>IFERROR(DTE_demand_forecast!I221*Settings!$K$45,"-")</f>
        <v>7667202.6881461702</v>
      </c>
      <c r="J96" s="100">
        <f>IFERROR(DTE_demand_forecast!J221*Settings!$K$45,"-")</f>
        <v>8895110.3515260629</v>
      </c>
      <c r="K96" s="100">
        <f>IFERROR(DTE_demand_forecast!K221*Settings!$K$45,"-")</f>
        <v>9664730.1288466509</v>
      </c>
      <c r="L96" s="100">
        <f>IFERROR(DTE_demand_forecast!L221*Settings!$K$45,"-")</f>
        <v>10461587.478533316</v>
      </c>
      <c r="M96" s="100">
        <f>IFERROR(DTE_demand_forecast!M221*Settings!$K$45,"-")</f>
        <v>10670277.957410717</v>
      </c>
      <c r="N96" s="100">
        <f>IFERROR(DTE_demand_forecast!N221*Settings!$K$45,"-")</f>
        <v>10883142.245865662</v>
      </c>
      <c r="O96" s="100">
        <f>IFERROR(DTE_demand_forecast!O221*Settings!$K$45,"-")</f>
        <v>11100263.820089709</v>
      </c>
      <c r="P96" s="100">
        <f>IFERROR(DTE_demand_forecast!P221*Settings!$K$45,"-")</f>
        <v>11321727.825798236</v>
      </c>
      <c r="Q96" s="100">
        <f>IFERROR(DTE_demand_forecast!Q221*Settings!$K$45,"-")</f>
        <v>11547621.111620937</v>
      </c>
      <c r="R96" s="100">
        <f>IFERROR(DTE_demand_forecast!R221*Settings!$K$45,"-")</f>
        <v>11778032.263160085</v>
      </c>
      <c r="S96" s="100">
        <f>IFERROR(DTE_demand_forecast!S221*Settings!$K$45,"-")</f>
        <v>12013051.637730021</v>
      </c>
      <c r="T96" s="100">
        <f>IFERROR(DTE_demand_forecast!T221*Settings!$K$45,"-")</f>
        <v>12252771.399791356</v>
      </c>
      <c r="U96" s="100">
        <f>IFERROR(DTE_demand_forecast!U221*Settings!$K$45,"-")</f>
        <v>12497285.557093915</v>
      </c>
      <c r="V96" s="100">
        <f>IFERROR(DTE_demand_forecast!V221*Settings!$K$45,"-")</f>
        <v>12746689.997542527</v>
      </c>
    </row>
    <row r="97" spans="1:22" x14ac:dyDescent="0.3">
      <c r="A97" s="179"/>
      <c r="B97" s="47" t="s">
        <v>56</v>
      </c>
      <c r="C97" s="100">
        <f>IFERROR(DTE_demand_forecast!C222*Settings!$K$45,"-")</f>
        <v>147744.38256049724</v>
      </c>
      <c r="D97" s="100">
        <f>IFERROR(DTE_demand_forecast!D222*Settings!$K$45,"-")</f>
        <v>165219.28446668622</v>
      </c>
      <c r="E97" s="100">
        <f>IFERROR(DTE_demand_forecast!E222*Settings!$K$45,"-")</f>
        <v>202521.31563545804</v>
      </c>
      <c r="F97" s="100">
        <f>IFERROR(DTE_demand_forecast!F222*Settings!$K$45,"-")</f>
        <v>222726.05608728607</v>
      </c>
      <c r="G97" s="100">
        <f>IFERROR(DTE_demand_forecast!G222*Settings!$K$45,"-")</f>
        <v>243687.51400470544</v>
      </c>
      <c r="H97" s="100">
        <f>IFERROR(DTE_demand_forecast!H222*Settings!$K$45,"-")</f>
        <v>265427.87619015906</v>
      </c>
      <c r="I97" s="100">
        <f>IFERROR(DTE_demand_forecast!I222*Settings!$K$45,"-")</f>
        <v>287969.91423120117</v>
      </c>
      <c r="J97" s="100">
        <f>IFERROR(DTE_demand_forecast!J222*Settings!$K$45,"-")</f>
        <v>311336.99901718128</v>
      </c>
      <c r="K97" s="100">
        <f>IFERROR(DTE_demand_forecast!K222*Settings!$K$45,"-")</f>
        <v>335553.1156026806</v>
      </c>
      <c r="L97" s="100">
        <f>IFERROR(DTE_demand_forecast!L222*Settings!$K$45,"-")</f>
        <v>360642.87842576514</v>
      </c>
      <c r="M97" s="100">
        <f>IFERROR(DTE_demand_forecast!M222*Settings!$K$45,"-")</f>
        <v>366378.91730566352</v>
      </c>
      <c r="N97" s="100">
        <f>IFERROR(DTE_demand_forecast!N222*Settings!$K$45,"-")</f>
        <v>372229.67696315976</v>
      </c>
      <c r="O97" s="100">
        <f>IFERROR(DTE_demand_forecast!O222*Settings!$K$45,"-")</f>
        <v>378197.45181380596</v>
      </c>
      <c r="P97" s="100">
        <f>IFERROR(DTE_demand_forecast!P222*Settings!$K$45,"-")</f>
        <v>384284.58216146508</v>
      </c>
      <c r="Q97" s="100">
        <f>IFERROR(DTE_demand_forecast!Q222*Settings!$K$45,"-")</f>
        <v>390493.45511607738</v>
      </c>
      <c r="R97" s="100">
        <f>IFERROR(DTE_demand_forecast!R222*Settings!$K$45,"-")</f>
        <v>396826.50552978186</v>
      </c>
      <c r="S97" s="100">
        <f>IFERROR(DTE_demand_forecast!S222*Settings!$K$45,"-")</f>
        <v>403286.21695176052</v>
      </c>
      <c r="T97" s="100">
        <f>IFERROR(DTE_demand_forecast!T222*Settings!$K$45,"-")</f>
        <v>409875.12260217877</v>
      </c>
      <c r="U97" s="100">
        <f>IFERROR(DTE_demand_forecast!U222*Settings!$K$45,"-")</f>
        <v>416595.80636560544</v>
      </c>
      <c r="V97" s="100">
        <f>IFERROR(DTE_demand_forecast!V222*Settings!$K$45,"-")</f>
        <v>423450.90380430047</v>
      </c>
    </row>
    <row r="98" spans="1:22" x14ac:dyDescent="0.3">
      <c r="A98" s="179"/>
      <c r="B98" s="47" t="s">
        <v>100</v>
      </c>
      <c r="C98" s="100">
        <f>IFERROR(DTE_demand_forecast!C223*Settings!$K$45,"-")</f>
        <v>0</v>
      </c>
      <c r="D98" s="100">
        <f>IFERROR(DTE_demand_forecast!D223*Settings!$K$45,"-")</f>
        <v>0</v>
      </c>
      <c r="E98" s="100">
        <f>IFERROR(DTE_demand_forecast!E223*Settings!$K$45,"-")</f>
        <v>0</v>
      </c>
      <c r="F98" s="100">
        <f>IFERROR(DTE_demand_forecast!F223*Settings!$K$45,"-")</f>
        <v>0</v>
      </c>
      <c r="G98" s="100">
        <f>IFERROR(DTE_demand_forecast!G223*Settings!$K$45,"-")</f>
        <v>0</v>
      </c>
      <c r="H98" s="100">
        <f>IFERROR(DTE_demand_forecast!H223*Settings!$K$45,"-")</f>
        <v>0</v>
      </c>
      <c r="I98" s="100">
        <f>IFERROR(DTE_demand_forecast!I223*Settings!$K$45,"-")</f>
        <v>0</v>
      </c>
      <c r="J98" s="100">
        <f>IFERROR(DTE_demand_forecast!J223*Settings!$K$45,"-")</f>
        <v>0</v>
      </c>
      <c r="K98" s="100">
        <f>IFERROR(DTE_demand_forecast!K223*Settings!$K$45,"-")</f>
        <v>0</v>
      </c>
      <c r="L98" s="100">
        <f>IFERROR(DTE_demand_forecast!L223*Settings!$K$45,"-")</f>
        <v>0</v>
      </c>
      <c r="M98" s="100">
        <f>IFERROR(DTE_demand_forecast!M223*Settings!$K$45,"-")</f>
        <v>0</v>
      </c>
      <c r="N98" s="100">
        <f>IFERROR(DTE_demand_forecast!N223*Settings!$K$45,"-")</f>
        <v>0</v>
      </c>
      <c r="O98" s="100">
        <f>IFERROR(DTE_demand_forecast!O223*Settings!$K$45,"-")</f>
        <v>0</v>
      </c>
      <c r="P98" s="100">
        <f>IFERROR(DTE_demand_forecast!P223*Settings!$K$45,"-")</f>
        <v>0</v>
      </c>
      <c r="Q98" s="100">
        <f>IFERROR(DTE_demand_forecast!Q223*Settings!$K$45,"-")</f>
        <v>0</v>
      </c>
      <c r="R98" s="100">
        <f>IFERROR(DTE_demand_forecast!R223*Settings!$K$45,"-")</f>
        <v>0</v>
      </c>
      <c r="S98" s="100">
        <f>IFERROR(DTE_demand_forecast!S223*Settings!$K$45,"-")</f>
        <v>0</v>
      </c>
      <c r="T98" s="100">
        <f>IFERROR(DTE_demand_forecast!T223*Settings!$K$45,"-")</f>
        <v>0</v>
      </c>
      <c r="U98" s="100">
        <f>IFERROR(DTE_demand_forecast!U223*Settings!$K$45,"-")</f>
        <v>0</v>
      </c>
      <c r="V98" s="100">
        <f>IFERROR(DTE_demand_forecast!V223*Settings!$K$45,"-")</f>
        <v>0</v>
      </c>
    </row>
    <row r="99" spans="1:22" x14ac:dyDescent="0.3">
      <c r="A99" s="179"/>
      <c r="B99" s="47" t="s">
        <v>60</v>
      </c>
      <c r="C99" s="100">
        <f>IFERROR(DTE_demand_forecast!C224*Settings!$K$45,"-")</f>
        <v>0</v>
      </c>
      <c r="D99" s="100">
        <f>IFERROR(DTE_demand_forecast!D224*Settings!$K$45,"-")</f>
        <v>0</v>
      </c>
      <c r="E99" s="100">
        <f>IFERROR(DTE_demand_forecast!E224*Settings!$K$45,"-")</f>
        <v>0</v>
      </c>
      <c r="F99" s="100">
        <f>IFERROR(DTE_demand_forecast!F224*Settings!$K$45,"-")</f>
        <v>0</v>
      </c>
      <c r="G99" s="100">
        <f>IFERROR(DTE_demand_forecast!G224*Settings!$K$45,"-")</f>
        <v>0</v>
      </c>
      <c r="H99" s="100">
        <f>IFERROR(DTE_demand_forecast!H224*Settings!$K$45,"-")</f>
        <v>0</v>
      </c>
      <c r="I99" s="100">
        <f>IFERROR(DTE_demand_forecast!I224*Settings!$K$45,"-")</f>
        <v>0</v>
      </c>
      <c r="J99" s="100">
        <f>IFERROR(DTE_demand_forecast!J224*Settings!$K$45,"-")</f>
        <v>0</v>
      </c>
      <c r="K99" s="100">
        <f>IFERROR(DTE_demand_forecast!K224*Settings!$K$45,"-")</f>
        <v>0</v>
      </c>
      <c r="L99" s="100">
        <f>IFERROR(DTE_demand_forecast!L224*Settings!$K$45,"-")</f>
        <v>0</v>
      </c>
      <c r="M99" s="100">
        <f>IFERROR(DTE_demand_forecast!M224*Settings!$K$45,"-")</f>
        <v>0</v>
      </c>
      <c r="N99" s="100">
        <f>IFERROR(DTE_demand_forecast!N224*Settings!$K$45,"-")</f>
        <v>0</v>
      </c>
      <c r="O99" s="100">
        <f>IFERROR(DTE_demand_forecast!O224*Settings!$K$45,"-")</f>
        <v>0</v>
      </c>
      <c r="P99" s="100">
        <f>IFERROR(DTE_demand_forecast!P224*Settings!$K$45,"-")</f>
        <v>0</v>
      </c>
      <c r="Q99" s="100">
        <f>IFERROR(DTE_demand_forecast!Q224*Settings!$K$45,"-")</f>
        <v>0</v>
      </c>
      <c r="R99" s="100">
        <f>IFERROR(DTE_demand_forecast!R224*Settings!$K$45,"-")</f>
        <v>0</v>
      </c>
      <c r="S99" s="100">
        <f>IFERROR(DTE_demand_forecast!S224*Settings!$K$45,"-")</f>
        <v>0</v>
      </c>
      <c r="T99" s="100">
        <f>IFERROR(DTE_demand_forecast!T224*Settings!$K$45,"-")</f>
        <v>0</v>
      </c>
      <c r="U99" s="100">
        <f>IFERROR(DTE_demand_forecast!U224*Settings!$K$45,"-")</f>
        <v>0</v>
      </c>
      <c r="V99" s="100">
        <f>IFERROR(DTE_demand_forecast!V224*Settings!$K$45,"-")</f>
        <v>0</v>
      </c>
    </row>
    <row r="100" spans="1:22" x14ac:dyDescent="0.3">
      <c r="A100" s="179"/>
      <c r="B100" s="47" t="s">
        <v>101</v>
      </c>
      <c r="C100" s="100">
        <f>IFERROR(DTE_demand_forecast!C225*Settings!$K$45,"-")</f>
        <v>0</v>
      </c>
      <c r="D100" s="100">
        <f>IFERROR(DTE_demand_forecast!D225*Settings!$K$45,"-")</f>
        <v>0</v>
      </c>
      <c r="E100" s="100">
        <f>IFERROR(DTE_demand_forecast!E225*Settings!$K$45,"-")</f>
        <v>0</v>
      </c>
      <c r="F100" s="100">
        <f>IFERROR(DTE_demand_forecast!F225*Settings!$K$45,"-")</f>
        <v>0</v>
      </c>
      <c r="G100" s="100">
        <f>IFERROR(DTE_demand_forecast!G225*Settings!$K$45,"-")</f>
        <v>0</v>
      </c>
      <c r="H100" s="100">
        <f>IFERROR(DTE_demand_forecast!H225*Settings!$K$45,"-")</f>
        <v>0</v>
      </c>
      <c r="I100" s="100">
        <f>IFERROR(DTE_demand_forecast!I225*Settings!$K$45,"-")</f>
        <v>0</v>
      </c>
      <c r="J100" s="100">
        <f>IFERROR(DTE_demand_forecast!J225*Settings!$K$45,"-")</f>
        <v>0</v>
      </c>
      <c r="K100" s="100">
        <f>IFERROR(DTE_demand_forecast!K225*Settings!$K$45,"-")</f>
        <v>0</v>
      </c>
      <c r="L100" s="100">
        <f>IFERROR(DTE_demand_forecast!L225*Settings!$K$45,"-")</f>
        <v>0</v>
      </c>
      <c r="M100" s="100">
        <f>IFERROR(DTE_demand_forecast!M225*Settings!$K$45,"-")</f>
        <v>0</v>
      </c>
      <c r="N100" s="100">
        <f>IFERROR(DTE_demand_forecast!N225*Settings!$K$45,"-")</f>
        <v>0</v>
      </c>
      <c r="O100" s="100">
        <f>IFERROR(DTE_demand_forecast!O225*Settings!$K$45,"-")</f>
        <v>0</v>
      </c>
      <c r="P100" s="100">
        <f>IFERROR(DTE_demand_forecast!P225*Settings!$K$45,"-")</f>
        <v>0</v>
      </c>
      <c r="Q100" s="100">
        <f>IFERROR(DTE_demand_forecast!Q225*Settings!$K$45,"-")</f>
        <v>0</v>
      </c>
      <c r="R100" s="100">
        <f>IFERROR(DTE_demand_forecast!R225*Settings!$K$45,"-")</f>
        <v>0</v>
      </c>
      <c r="S100" s="100">
        <f>IFERROR(DTE_demand_forecast!S225*Settings!$K$45,"-")</f>
        <v>0</v>
      </c>
      <c r="T100" s="100">
        <f>IFERROR(DTE_demand_forecast!T225*Settings!$K$45,"-")</f>
        <v>0</v>
      </c>
      <c r="U100" s="100">
        <f>IFERROR(DTE_demand_forecast!U225*Settings!$K$45,"-")</f>
        <v>0</v>
      </c>
      <c r="V100" s="100">
        <f>IFERROR(DTE_demand_forecast!V225*Settings!$K$45,"-")</f>
        <v>0</v>
      </c>
    </row>
    <row r="101" spans="1:22" x14ac:dyDescent="0.3">
      <c r="A101" s="179"/>
      <c r="B101" s="47" t="s">
        <v>58</v>
      </c>
      <c r="C101" s="100">
        <f>IFERROR(DTE_demand_forecast!C226*Settings!$K$45,"-")</f>
        <v>15811.718060188532</v>
      </c>
      <c r="D101" s="100">
        <f>IFERROR(DTE_demand_forecast!D226*Settings!$K$45,"-")</f>
        <v>19383.945588645951</v>
      </c>
      <c r="E101" s="100">
        <f>IFERROR(DTE_demand_forecast!E226*Settings!$K$45,"-")</f>
        <v>22302.046995289562</v>
      </c>
      <c r="F101" s="100">
        <f>IFERROR(DTE_demand_forecast!F226*Settings!$K$45,"-")</f>
        <v>25944.050939076937</v>
      </c>
      <c r="G101" s="100">
        <f>IFERROR(DTE_demand_forecast!G226*Settings!$K$45,"-")</f>
        <v>36000.286027503396</v>
      </c>
      <c r="H101" s="100">
        <f>IFERROR(DTE_demand_forecast!H226*Settings!$K$45,"-")</f>
        <v>39904.806029428328</v>
      </c>
      <c r="I101" s="100">
        <f>IFERROR(DTE_demand_forecast!I226*Settings!$K$45,"-")</f>
        <v>43956.082127977323</v>
      </c>
      <c r="J101" s="100">
        <f>IFERROR(DTE_demand_forecast!J226*Settings!$K$45,"-")</f>
        <v>48158.422759014582</v>
      </c>
      <c r="K101" s="100">
        <f>IFERROR(DTE_demand_forecast!K226*Settings!$K$45,"-")</f>
        <v>52516.249993400219</v>
      </c>
      <c r="L101" s="100">
        <f>IFERROR(DTE_demand_forecast!L226*Settings!$K$45,"-")</f>
        <v>57034.102359015764</v>
      </c>
      <c r="M101" s="100">
        <f>IFERROR(DTE_demand_forecast!M226*Settings!$K$45,"-")</f>
        <v>57926.013858292121</v>
      </c>
      <c r="N101" s="100">
        <f>IFERROR(DTE_demand_forecast!N226*Settings!$K$45,"-")</f>
        <v>58835.763587554</v>
      </c>
      <c r="O101" s="100">
        <f>IFERROR(DTE_demand_forecast!O226*Settings!$K$45,"-")</f>
        <v>59763.708311401133</v>
      </c>
      <c r="P101" s="100">
        <f>IFERROR(DTE_demand_forecast!P226*Settings!$K$45,"-")</f>
        <v>60710.211929725192</v>
      </c>
      <c r="Q101" s="100">
        <f>IFERROR(DTE_demand_forecast!Q226*Settings!$K$45,"-")</f>
        <v>61675.645620415744</v>
      </c>
      <c r="R101" s="100">
        <f>IFERROR(DTE_demand_forecast!R226*Settings!$K$45,"-")</f>
        <v>62660.387984920089</v>
      </c>
      <c r="S101" s="100">
        <f>IFERROR(DTE_demand_forecast!S226*Settings!$K$45,"-")</f>
        <v>63664.825196714541</v>
      </c>
      <c r="T101" s="100">
        <f>IFERROR(DTE_demand_forecast!T226*Settings!$K$45,"-")</f>
        <v>64689.351152744879</v>
      </c>
      <c r="U101" s="100">
        <f>IFERROR(DTE_demand_forecast!U226*Settings!$K$45,"-")</f>
        <v>65734.367627895816</v>
      </c>
      <c r="V101" s="100">
        <f>IFERROR(DTE_demand_forecast!V226*Settings!$K$45,"-")</f>
        <v>66800.284432549772</v>
      </c>
    </row>
    <row r="102" spans="1:22" x14ac:dyDescent="0.3">
      <c r="A102" s="179"/>
      <c r="B102" s="47" t="s">
        <v>61</v>
      </c>
      <c r="C102" s="100">
        <f>IFERROR(DTE_demand_forecast!C227*Settings!$K$45,"-")</f>
        <v>1014905.4629114859</v>
      </c>
      <c r="D102" s="100">
        <f>IFERROR(DTE_demand_forecast!D227*Settings!$K$45,"-")</f>
        <v>2043087.5530773932</v>
      </c>
      <c r="E102" s="100">
        <f>IFERROR(DTE_demand_forecast!E227*Settings!$K$45,"-")</f>
        <v>2308517.4737144578</v>
      </c>
      <c r="F102" s="100">
        <f>IFERROR(DTE_demand_forecast!F227*Settings!$K$45,"-")</f>
        <v>2584698.9547207118</v>
      </c>
      <c r="G102" s="100">
        <f>IFERROR(DTE_demand_forecast!G227*Settings!$K$45,"-")</f>
        <v>2871250.5746907471</v>
      </c>
      <c r="H102" s="100">
        <f>IFERROR(DTE_demand_forecast!H227*Settings!$K$45,"-")</f>
        <v>4008318.720235242</v>
      </c>
      <c r="I102" s="100">
        <f>IFERROR(DTE_demand_forecast!I227*Settings!$K$45,"-")</f>
        <v>4333704.4707187479</v>
      </c>
      <c r="J102" s="100">
        <f>IFERROR(DTE_demand_forecast!J227*Settings!$K$45,"-")</f>
        <v>4670810.9225809267</v>
      </c>
      <c r="K102" s="100">
        <f>IFERROR(DTE_demand_forecast!K227*Settings!$K$45,"-")</f>
        <v>5019976.7495767307</v>
      </c>
      <c r="L102" s="100">
        <f>IFERROR(DTE_demand_forecast!L227*Settings!$K$45,"-")</f>
        <v>5381549.4841307634</v>
      </c>
      <c r="M102" s="100">
        <f>IFERROR(DTE_demand_forecast!M227*Settings!$K$45,"-")</f>
        <v>5473750.5314420424</v>
      </c>
      <c r="N102" s="100">
        <f>IFERROR(DTE_demand_forecast!N227*Settings!$K$45,"-")</f>
        <v>5567795.5996995447</v>
      </c>
      <c r="O102" s="100">
        <f>IFERROR(DTE_demand_forecast!O227*Settings!$K$45,"-")</f>
        <v>5663721.5693221986</v>
      </c>
      <c r="P102" s="100">
        <f>IFERROR(DTE_demand_forecast!P227*Settings!$K$45,"-")</f>
        <v>5761566.0583373057</v>
      </c>
      <c r="Q102" s="100">
        <f>IFERROR(DTE_demand_forecast!Q227*Settings!$K$45,"-")</f>
        <v>5861367.4371327143</v>
      </c>
      <c r="R102" s="100">
        <f>IFERROR(DTE_demand_forecast!R227*Settings!$K$45,"-")</f>
        <v>5963164.8435040303</v>
      </c>
      <c r="S102" s="100">
        <f>IFERROR(DTE_demand_forecast!S227*Settings!$K$45,"-")</f>
        <v>6066998.1980027743</v>
      </c>
      <c r="T102" s="100">
        <f>IFERROR(DTE_demand_forecast!T227*Settings!$K$45,"-")</f>
        <v>6172908.2195914937</v>
      </c>
      <c r="U102" s="100">
        <f>IFERROR(DTE_demand_forecast!U227*Settings!$K$45,"-")</f>
        <v>6280936.4416119857</v>
      </c>
      <c r="V102" s="100">
        <f>IFERROR(DTE_demand_forecast!V227*Settings!$K$45,"-")</f>
        <v>6391125.2280728873</v>
      </c>
    </row>
    <row r="103" spans="1:22" x14ac:dyDescent="0.3">
      <c r="A103" s="179"/>
      <c r="B103" s="47" t="s">
        <v>104</v>
      </c>
      <c r="C103" s="176">
        <f>SUM(C95:C102)</f>
        <v>16751027.229596389</v>
      </c>
      <c r="D103" s="176">
        <f>SUM(D95:D102)</f>
        <v>17323926.186044008</v>
      </c>
      <c r="E103" s="176">
        <f>SUM(E95:E102)</f>
        <v>17871698.351526923</v>
      </c>
      <c r="F103" s="176">
        <f>SUM(F95:F102)</f>
        <v>18386173.871868696</v>
      </c>
      <c r="G103" s="176">
        <f>SUM(G95:G102)</f>
        <v>21081291.241147477</v>
      </c>
      <c r="H103" s="176">
        <f>SUM(H95:H102)</f>
        <v>23553096.524202779</v>
      </c>
      <c r="I103" s="176">
        <f>SUM(I95:I102)</f>
        <v>25325054.396849953</v>
      </c>
      <c r="J103" s="176">
        <f>SUM(J95:J102)</f>
        <v>28077463.732175611</v>
      </c>
      <c r="K103" s="176">
        <f>SUM(K95:K102)</f>
        <v>30428242.527260751</v>
      </c>
      <c r="L103" s="176">
        <f>SUM(L95:L102)</f>
        <v>32864572.733694732</v>
      </c>
      <c r="M103" s="176">
        <f>SUM(M95:M102)</f>
        <v>36917514.996307343</v>
      </c>
      <c r="N103" s="176">
        <f>SUM(N95:N102)</f>
        <v>37519790.090025999</v>
      </c>
      <c r="O103" s="176">
        <f>SUM(O95:O102)</f>
        <v>38134110.685619056</v>
      </c>
      <c r="P103" s="176">
        <f>SUM(P95:P102)</f>
        <v>38760717.693123952</v>
      </c>
      <c r="Q103" s="176">
        <f>SUM(Q95:Q102)</f>
        <v>39399856.840778962</v>
      </c>
      <c r="R103" s="176">
        <f>SUM(R95:R102)</f>
        <v>40051778.771387041</v>
      </c>
      <c r="S103" s="176">
        <f>SUM(S95:S102)</f>
        <v>40716739.140607312</v>
      </c>
      <c r="T103" s="176">
        <f>SUM(T95:T102)</f>
        <v>41394998.717211992</v>
      </c>
      <c r="U103" s="176">
        <f>SUM(U95:U102)</f>
        <v>42086823.485348746</v>
      </c>
      <c r="V103" s="176">
        <f>SUM(V95:V102)</f>
        <v>42792484.748848245</v>
      </c>
    </row>
    <row r="104" spans="1:22" x14ac:dyDescent="0.3">
      <c r="A104" s="179"/>
    </row>
    <row r="105" spans="1:22" x14ac:dyDescent="0.3">
      <c r="A105" s="179"/>
    </row>
    <row r="106" spans="1:22" x14ac:dyDescent="0.3">
      <c r="A106" s="179"/>
    </row>
    <row r="107" spans="1:22" x14ac:dyDescent="0.3">
      <c r="A107" s="179"/>
    </row>
    <row r="108" spans="1:22" x14ac:dyDescent="0.3">
      <c r="A108" s="179"/>
    </row>
    <row r="109" spans="1:22" x14ac:dyDescent="0.3">
      <c r="A109" s="179"/>
    </row>
    <row r="110" spans="1:22" x14ac:dyDescent="0.3">
      <c r="A110" s="179"/>
    </row>
    <row r="111" spans="1:22" x14ac:dyDescent="0.3">
      <c r="A111" s="179"/>
    </row>
    <row r="112" spans="1:22" x14ac:dyDescent="0.3">
      <c r="A112" s="179"/>
    </row>
    <row r="113" spans="1:22" x14ac:dyDescent="0.3">
      <c r="A113" s="180">
        <v>0.6</v>
      </c>
      <c r="B113" s="49" t="s">
        <v>225</v>
      </c>
      <c r="L113" s="34"/>
      <c r="M113" s="34"/>
    </row>
    <row r="114" spans="1:22" x14ac:dyDescent="0.3">
      <c r="A114" s="179"/>
      <c r="B114" s="97" t="s">
        <v>102</v>
      </c>
      <c r="C114" s="97">
        <v>2021</v>
      </c>
      <c r="D114" s="98">
        <v>2022</v>
      </c>
      <c r="E114" s="97">
        <v>2023</v>
      </c>
      <c r="F114" s="98">
        <v>2024</v>
      </c>
      <c r="G114" s="97">
        <v>2025</v>
      </c>
      <c r="H114" s="98">
        <v>2026</v>
      </c>
      <c r="I114" s="97">
        <v>2027</v>
      </c>
      <c r="J114" s="98">
        <v>2028</v>
      </c>
      <c r="K114" s="97">
        <v>2029</v>
      </c>
      <c r="L114" s="98">
        <v>2030</v>
      </c>
      <c r="M114" s="97">
        <v>2031</v>
      </c>
      <c r="N114" s="98">
        <v>2032</v>
      </c>
      <c r="O114" s="97">
        <v>2033</v>
      </c>
      <c r="P114" s="98">
        <v>2034</v>
      </c>
      <c r="Q114" s="97">
        <v>2035</v>
      </c>
      <c r="R114" s="98">
        <v>2036</v>
      </c>
      <c r="S114" s="97">
        <v>2037</v>
      </c>
      <c r="T114" s="98">
        <v>2038</v>
      </c>
      <c r="U114" s="97">
        <v>2039</v>
      </c>
      <c r="V114" s="98">
        <v>2040</v>
      </c>
    </row>
    <row r="115" spans="1:22" x14ac:dyDescent="0.3">
      <c r="A115" s="179"/>
      <c r="B115" s="47" t="s">
        <v>59</v>
      </c>
      <c r="C115" s="100">
        <f>IFERROR(DTE_demand_forecast!C62*Settings!$K$47,"-")</f>
        <v>7021671.6818302013</v>
      </c>
      <c r="D115" s="100">
        <f>IFERROR(DTE_demand_forecast!D62*Settings!$K$47,"-")</f>
        <v>7194861.115476721</v>
      </c>
      <c r="E115" s="100">
        <f>IFERROR(DTE_demand_forecast!E62*Settings!$K$47,"-")</f>
        <v>7365402.1293783356</v>
      </c>
      <c r="F115" s="100">
        <f>IFERROR(DTE_demand_forecast!F62*Settings!$K$47,"-")</f>
        <v>7567306.3165373495</v>
      </c>
      <c r="G115" s="100">
        <f>IFERROR(DTE_demand_forecast!G62*Settings!$K$47,"-")</f>
        <v>7764715.6310772337</v>
      </c>
      <c r="H115" s="100">
        <f>IFERROR(DTE_demand_forecast!H62*Settings!$K$47,"-")</f>
        <v>7969734.177377563</v>
      </c>
      <c r="I115" s="100">
        <f>IFERROR(DTE_demand_forecast!I62*Settings!$K$47,"-")</f>
        <v>8182587.3609829415</v>
      </c>
      <c r="J115" s="100">
        <f>IFERROR(DTE_demand_forecast!J62*Settings!$K$47,"-")</f>
        <v>8403506.5599670485</v>
      </c>
      <c r="K115" s="100">
        <f>IFERROR(DTE_demand_forecast!K62*Settings!$K$47,"-")</f>
        <v>8632729.2736715954</v>
      </c>
      <c r="L115" s="100">
        <f>IFERROR(DTE_demand_forecast!L62*Settings!$K$47,"-")</f>
        <v>8870499.2750058006</v>
      </c>
      <c r="M115" s="100">
        <f>IFERROR(DTE_demand_forecast!M62*Settings!$K$47,"-")</f>
        <v>12948877.957922876</v>
      </c>
      <c r="N115" s="100">
        <f>IFERROR(DTE_demand_forecast!N62*Settings!$K$47,"-")</f>
        <v>13072565.912616931</v>
      </c>
      <c r="O115" s="100">
        <f>IFERROR(DTE_demand_forecast!O62*Settings!$K$47,"-")</f>
        <v>13198727.626404865</v>
      </c>
      <c r="P115" s="100">
        <f>IFERROR(DTE_demand_forecast!P62*Settings!$K$47,"-")</f>
        <v>13327412.574468559</v>
      </c>
      <c r="Q115" s="100">
        <f>IFERROR(DTE_demand_forecast!Q62*Settings!$K$47,"-")</f>
        <v>13458671.221493529</v>
      </c>
      <c r="R115" s="100">
        <f>IFERROR(DTE_demand_forecast!R62*Settings!$K$47,"-")</f>
        <v>13592555.041458992</v>
      </c>
      <c r="S115" s="100">
        <f>IFERROR(DTE_demand_forecast!S62*Settings!$K$47,"-")</f>
        <v>13729116.537823772</v>
      </c>
      <c r="T115" s="100">
        <f>IFERROR(DTE_demand_forecast!T62*Settings!$K$47,"-")</f>
        <v>13868409.264115844</v>
      </c>
      <c r="U115" s="100">
        <f>IFERROR(DTE_demand_forecast!U62*Settings!$K$47,"-")</f>
        <v>14010487.844933756</v>
      </c>
      <c r="V115" s="100">
        <f>IFERROR(DTE_demand_forecast!V62*Settings!$K$47,"-")</f>
        <v>14155407.997368028</v>
      </c>
    </row>
    <row r="116" spans="1:22" x14ac:dyDescent="0.3">
      <c r="A116" s="179"/>
      <c r="B116" s="47" t="s">
        <v>57</v>
      </c>
      <c r="C116" s="100">
        <f>IFERROR(DTE_demand_forecast!C63*Settings!$K$47,"-")</f>
        <v>9512744.7088295165</v>
      </c>
      <c r="D116" s="100">
        <f>IFERROR(DTE_demand_forecast!D63*Settings!$K$47,"-")</f>
        <v>7524527.9609364029</v>
      </c>
      <c r="E116" s="100">
        <f>IFERROR(DTE_demand_forecast!E63*Settings!$K$47,"-")</f>
        <v>6453495.7236459423</v>
      </c>
      <c r="F116" s="100">
        <f>IFERROR(DTE_demand_forecast!F63*Settings!$K$47,"-")</f>
        <v>4834621.6125358902</v>
      </c>
      <c r="G116" s="100">
        <f>IFERROR(DTE_demand_forecast!G63*Settings!$K$47,"-")</f>
        <v>5876915.8882276732</v>
      </c>
      <c r="H116" s="100">
        <f>IFERROR(DTE_demand_forecast!H63*Settings!$K$47,"-")</f>
        <v>5633557.9031023001</v>
      </c>
      <c r="I116" s="100">
        <f>IFERROR(DTE_demand_forecast!I63*Settings!$K$47,"-")</f>
        <v>5450455.0546646351</v>
      </c>
      <c r="J116" s="100">
        <f>IFERROR(DTE_demand_forecast!J63*Settings!$K$47,"-")</f>
        <v>6304922.0597086037</v>
      </c>
      <c r="K116" s="100">
        <f>IFERROR(DTE_demand_forecast!K63*Settings!$K$47,"-")</f>
        <v>6615002.0640533268</v>
      </c>
      <c r="L116" s="100">
        <f>IFERROR(DTE_demand_forecast!L63*Settings!$K$47,"-")</f>
        <v>6934975.6716495175</v>
      </c>
      <c r="M116" s="100">
        <f>IFERROR(DTE_demand_forecast!M63*Settings!$K$47,"-")</f>
        <v>7073056.5900044898</v>
      </c>
      <c r="N116" s="100">
        <f>IFERROR(DTE_demand_forecast!N63*Settings!$K$47,"-")</f>
        <v>7213899.1267265575</v>
      </c>
      <c r="O116" s="100">
        <f>IFERROR(DTE_demand_forecast!O63*Settings!$K$47,"-")</f>
        <v>7357558.5141830714</v>
      </c>
      <c r="P116" s="100">
        <f>IFERROR(DTE_demand_forecast!P63*Settings!$K$47,"-")</f>
        <v>7504091.0893887132</v>
      </c>
      <c r="Q116" s="100">
        <f>IFERROR(DTE_demand_forecast!Q63*Settings!$K$47,"-")</f>
        <v>7653554.3160984693</v>
      </c>
      <c r="R116" s="100">
        <f>IFERROR(DTE_demand_forecast!R63*Settings!$K$47,"-")</f>
        <v>7806006.8073424175</v>
      </c>
      <c r="S116" s="100">
        <f>IFERROR(DTE_demand_forecast!S63*Settings!$K$47,"-")</f>
        <v>7961508.3484112471</v>
      </c>
      <c r="T116" s="100">
        <f>IFERROR(DTE_demand_forecast!T63*Settings!$K$47,"-")</f>
        <v>8120119.9203014532</v>
      </c>
      <c r="U116" s="100">
        <f>IFERROR(DTE_demand_forecast!U63*Settings!$K$47,"-")</f>
        <v>8281903.7236294625</v>
      </c>
      <c r="V116" s="100">
        <f>IFERROR(DTE_demand_forecast!V63*Settings!$K$47,"-")</f>
        <v>8446923.2030240335</v>
      </c>
    </row>
    <row r="117" spans="1:22" x14ac:dyDescent="0.3">
      <c r="A117" s="179"/>
      <c r="B117" s="47" t="s">
        <v>56</v>
      </c>
      <c r="C117" s="100">
        <f>IFERROR(DTE_demand_forecast!C64*Settings!$K$47,"-")</f>
        <v>154082.5360401127</v>
      </c>
      <c r="D117" s="100">
        <f>IFERROR(DTE_demand_forecast!D64*Settings!$K$47,"-")</f>
        <v>158694.93814271197</v>
      </c>
      <c r="E117" s="100">
        <f>IFERROR(DTE_demand_forecast!E64*Settings!$K$47,"-")</f>
        <v>185358.46724569571</v>
      </c>
      <c r="F117" s="100">
        <f>IFERROR(DTE_demand_forecast!F64*Settings!$K$47,"-")</f>
        <v>191855.59182336123</v>
      </c>
      <c r="G117" s="100">
        <f>IFERROR(DTE_demand_forecast!G64*Settings!$K$47,"-")</f>
        <v>198572.21385297491</v>
      </c>
      <c r="H117" s="100">
        <f>IFERROR(DTE_demand_forecast!H64*Settings!$K$47,"-")</f>
        <v>205514.51438278364</v>
      </c>
      <c r="I117" s="100">
        <f>IFERROR(DTE_demand_forecast!I64*Settings!$K$47,"-")</f>
        <v>212688.83390398332</v>
      </c>
      <c r="J117" s="100">
        <f>IFERROR(DTE_demand_forecast!J64*Settings!$K$47,"-")</f>
        <v>220101.67625601761</v>
      </c>
      <c r="K117" s="100">
        <f>IFERROR(DTE_demand_forecast!K64*Settings!$K$47,"-")</f>
        <v>227759.71262431162</v>
      </c>
      <c r="L117" s="100">
        <f>IFERROR(DTE_demand_forecast!L64*Settings!$K$47,"-")</f>
        <v>235669.78563257476</v>
      </c>
      <c r="M117" s="100">
        <f>IFERROR(DTE_demand_forecast!M64*Settings!$K$47,"-")</f>
        <v>238695.3885582354</v>
      </c>
      <c r="N117" s="100">
        <f>IFERROR(DTE_demand_forecast!N64*Settings!$K$47,"-")</f>
        <v>241781.50354240922</v>
      </c>
      <c r="O117" s="100">
        <f>IFERROR(DTE_demand_forecast!O64*Settings!$K$47,"-")</f>
        <v>244929.34082626662</v>
      </c>
      <c r="P117" s="100">
        <f>IFERROR(DTE_demand_forecast!P64*Settings!$K$47,"-")</f>
        <v>248140.13485580109</v>
      </c>
      <c r="Q117" s="100">
        <f>IFERROR(DTE_demand_forecast!Q64*Settings!$K$47,"-")</f>
        <v>251415.14476592626</v>
      </c>
      <c r="R117" s="100">
        <f>IFERROR(DTE_demand_forecast!R64*Settings!$K$47,"-")</f>
        <v>254755.6548742539</v>
      </c>
      <c r="S117" s="100">
        <f>IFERROR(DTE_demand_forecast!S64*Settings!$K$47,"-")</f>
        <v>258162.97518474818</v>
      </c>
      <c r="T117" s="100">
        <f>IFERROR(DTE_demand_forecast!T64*Settings!$K$47,"-")</f>
        <v>261638.44190145232</v>
      </c>
      <c r="U117" s="100">
        <f>IFERROR(DTE_demand_forecast!U64*Settings!$K$47,"-")</f>
        <v>265183.41795249045</v>
      </c>
      <c r="V117" s="100">
        <f>IFERROR(DTE_demand_forecast!V64*Settings!$K$47,"-")</f>
        <v>268799.2935245494</v>
      </c>
    </row>
    <row r="118" spans="1:22" x14ac:dyDescent="0.3">
      <c r="A118" s="179"/>
      <c r="B118" s="47" t="s">
        <v>100</v>
      </c>
      <c r="C118" s="100">
        <f>IFERROR(DTE_demand_forecast!C65*Settings!$K$47,"-")</f>
        <v>0</v>
      </c>
      <c r="D118" s="100">
        <f>IFERROR(DTE_demand_forecast!D65*Settings!$K$47,"-")</f>
        <v>0</v>
      </c>
      <c r="E118" s="100">
        <f>IFERROR(DTE_demand_forecast!E65*Settings!$K$47,"-")</f>
        <v>0</v>
      </c>
      <c r="F118" s="100">
        <f>IFERROR(DTE_demand_forecast!F65*Settings!$K$47,"-")</f>
        <v>0</v>
      </c>
      <c r="G118" s="100">
        <f>IFERROR(DTE_demand_forecast!G65*Settings!$K$47,"-")</f>
        <v>0</v>
      </c>
      <c r="H118" s="100">
        <f>IFERROR(DTE_demand_forecast!H65*Settings!$K$47,"-")</f>
        <v>0</v>
      </c>
      <c r="I118" s="100">
        <f>IFERROR(DTE_demand_forecast!I65*Settings!$K$47,"-")</f>
        <v>0</v>
      </c>
      <c r="J118" s="100">
        <f>IFERROR(DTE_demand_forecast!J65*Settings!$K$47,"-")</f>
        <v>0</v>
      </c>
      <c r="K118" s="100">
        <f>IFERROR(DTE_demand_forecast!K65*Settings!$K$47,"-")</f>
        <v>0</v>
      </c>
      <c r="L118" s="100">
        <f>IFERROR(DTE_demand_forecast!L65*Settings!$K$47,"-")</f>
        <v>0</v>
      </c>
      <c r="M118" s="100">
        <f>IFERROR(DTE_demand_forecast!M65*Settings!$K$47,"-")</f>
        <v>0</v>
      </c>
      <c r="N118" s="100">
        <f>IFERROR(DTE_demand_forecast!N65*Settings!$K$47,"-")</f>
        <v>0</v>
      </c>
      <c r="O118" s="100">
        <f>IFERROR(DTE_demand_forecast!O65*Settings!$K$47,"-")</f>
        <v>0</v>
      </c>
      <c r="P118" s="100">
        <f>IFERROR(DTE_demand_forecast!P65*Settings!$K$47,"-")</f>
        <v>0</v>
      </c>
      <c r="Q118" s="100">
        <f>IFERROR(DTE_demand_forecast!Q65*Settings!$K$47,"-")</f>
        <v>0</v>
      </c>
      <c r="R118" s="100">
        <f>IFERROR(DTE_demand_forecast!R65*Settings!$K$47,"-")</f>
        <v>0</v>
      </c>
      <c r="S118" s="100">
        <f>IFERROR(DTE_demand_forecast!S65*Settings!$K$47,"-")</f>
        <v>0</v>
      </c>
      <c r="T118" s="100">
        <f>IFERROR(DTE_demand_forecast!T65*Settings!$K$47,"-")</f>
        <v>0</v>
      </c>
      <c r="U118" s="100">
        <f>IFERROR(DTE_demand_forecast!U65*Settings!$K$47,"-")</f>
        <v>0</v>
      </c>
      <c r="V118" s="100">
        <f>IFERROR(DTE_demand_forecast!V65*Settings!$K$47,"-")</f>
        <v>0</v>
      </c>
    </row>
    <row r="119" spans="1:22" x14ac:dyDescent="0.3">
      <c r="A119" s="179"/>
      <c r="B119" s="47" t="s">
        <v>60</v>
      </c>
      <c r="C119" s="100">
        <f>IFERROR(DTE_demand_forecast!C66*Settings!$K$47,"-")</f>
        <v>0</v>
      </c>
      <c r="D119" s="100">
        <f>IFERROR(DTE_demand_forecast!D66*Settings!$K$47,"-")</f>
        <v>0</v>
      </c>
      <c r="E119" s="100">
        <f>IFERROR(DTE_demand_forecast!E66*Settings!$K$47,"-")</f>
        <v>0</v>
      </c>
      <c r="F119" s="100">
        <f>IFERROR(DTE_demand_forecast!F66*Settings!$K$47,"-")</f>
        <v>0</v>
      </c>
      <c r="G119" s="100">
        <f>IFERROR(DTE_demand_forecast!G66*Settings!$K$47,"-")</f>
        <v>0</v>
      </c>
      <c r="H119" s="100">
        <f>IFERROR(DTE_demand_forecast!H66*Settings!$K$47,"-")</f>
        <v>0</v>
      </c>
      <c r="I119" s="100">
        <f>IFERROR(DTE_demand_forecast!I66*Settings!$K$47,"-")</f>
        <v>0</v>
      </c>
      <c r="J119" s="100">
        <f>IFERROR(DTE_demand_forecast!J66*Settings!$K$47,"-")</f>
        <v>0</v>
      </c>
      <c r="K119" s="100">
        <f>IFERROR(DTE_demand_forecast!K66*Settings!$K$47,"-")</f>
        <v>0</v>
      </c>
      <c r="L119" s="100">
        <f>IFERROR(DTE_demand_forecast!L66*Settings!$K$47,"-")</f>
        <v>0</v>
      </c>
      <c r="M119" s="100">
        <f>IFERROR(DTE_demand_forecast!M66*Settings!$K$47,"-")</f>
        <v>0</v>
      </c>
      <c r="N119" s="100">
        <f>IFERROR(DTE_demand_forecast!N66*Settings!$K$47,"-")</f>
        <v>0</v>
      </c>
      <c r="O119" s="100">
        <f>IFERROR(DTE_demand_forecast!O66*Settings!$K$47,"-")</f>
        <v>0</v>
      </c>
      <c r="P119" s="100">
        <f>IFERROR(DTE_demand_forecast!P66*Settings!$K$47,"-")</f>
        <v>0</v>
      </c>
      <c r="Q119" s="100">
        <f>IFERROR(DTE_demand_forecast!Q66*Settings!$K$47,"-")</f>
        <v>0</v>
      </c>
      <c r="R119" s="100">
        <f>IFERROR(DTE_demand_forecast!R66*Settings!$K$47,"-")</f>
        <v>0</v>
      </c>
      <c r="S119" s="100">
        <f>IFERROR(DTE_demand_forecast!S66*Settings!$K$47,"-")</f>
        <v>0</v>
      </c>
      <c r="T119" s="100">
        <f>IFERROR(DTE_demand_forecast!T66*Settings!$K$47,"-")</f>
        <v>0</v>
      </c>
      <c r="U119" s="100">
        <f>IFERROR(DTE_demand_forecast!U66*Settings!$K$47,"-")</f>
        <v>0</v>
      </c>
      <c r="V119" s="100">
        <f>IFERROR(DTE_demand_forecast!V66*Settings!$K$47,"-")</f>
        <v>0</v>
      </c>
    </row>
    <row r="120" spans="1:22" x14ac:dyDescent="0.3">
      <c r="A120" s="179"/>
      <c r="B120" s="47" t="s">
        <v>101</v>
      </c>
      <c r="C120" s="100">
        <f>IFERROR(DTE_demand_forecast!C67*Settings!$K$47,"-")</f>
        <v>0</v>
      </c>
      <c r="D120" s="100">
        <f>IFERROR(DTE_demand_forecast!D67*Settings!$K$47,"-")</f>
        <v>0</v>
      </c>
      <c r="E120" s="100">
        <f>IFERROR(DTE_demand_forecast!E67*Settings!$K$47,"-")</f>
        <v>0</v>
      </c>
      <c r="F120" s="100">
        <f>IFERROR(DTE_demand_forecast!F67*Settings!$K$47,"-")</f>
        <v>0</v>
      </c>
      <c r="G120" s="100">
        <f>IFERROR(DTE_demand_forecast!G67*Settings!$K$47,"-")</f>
        <v>0</v>
      </c>
      <c r="H120" s="100">
        <f>IFERROR(DTE_demand_forecast!H67*Settings!$K$47,"-")</f>
        <v>0</v>
      </c>
      <c r="I120" s="100">
        <f>IFERROR(DTE_demand_forecast!I67*Settings!$K$47,"-")</f>
        <v>0</v>
      </c>
      <c r="J120" s="100">
        <f>IFERROR(DTE_demand_forecast!J67*Settings!$K$47,"-")</f>
        <v>0</v>
      </c>
      <c r="K120" s="100">
        <f>IFERROR(DTE_demand_forecast!K67*Settings!$K$47,"-")</f>
        <v>0</v>
      </c>
      <c r="L120" s="100">
        <f>IFERROR(DTE_demand_forecast!L67*Settings!$K$47,"-")</f>
        <v>0</v>
      </c>
      <c r="M120" s="100">
        <f>IFERROR(DTE_demand_forecast!M67*Settings!$K$47,"-")</f>
        <v>0</v>
      </c>
      <c r="N120" s="100">
        <f>IFERROR(DTE_demand_forecast!N67*Settings!$K$47,"-")</f>
        <v>0</v>
      </c>
      <c r="O120" s="100">
        <f>IFERROR(DTE_demand_forecast!O67*Settings!$K$47,"-")</f>
        <v>0</v>
      </c>
      <c r="P120" s="100">
        <f>IFERROR(DTE_demand_forecast!P67*Settings!$K$47,"-")</f>
        <v>0</v>
      </c>
      <c r="Q120" s="100">
        <f>IFERROR(DTE_demand_forecast!Q67*Settings!$K$47,"-")</f>
        <v>0</v>
      </c>
      <c r="R120" s="100">
        <f>IFERROR(DTE_demand_forecast!R67*Settings!$K$47,"-")</f>
        <v>0</v>
      </c>
      <c r="S120" s="100">
        <f>IFERROR(DTE_demand_forecast!S67*Settings!$K$47,"-")</f>
        <v>0</v>
      </c>
      <c r="T120" s="100">
        <f>IFERROR(DTE_demand_forecast!T67*Settings!$K$47,"-")</f>
        <v>0</v>
      </c>
      <c r="U120" s="100">
        <f>IFERROR(DTE_demand_forecast!U67*Settings!$K$47,"-")</f>
        <v>0</v>
      </c>
      <c r="V120" s="100">
        <f>IFERROR(DTE_demand_forecast!V67*Settings!$K$47,"-")</f>
        <v>0</v>
      </c>
    </row>
    <row r="121" spans="1:22" x14ac:dyDescent="0.3">
      <c r="A121" s="179"/>
      <c r="B121" s="47" t="s">
        <v>58</v>
      </c>
      <c r="C121" s="100">
        <f>IFERROR(DTE_demand_forecast!C68*Settings!$K$47,"-")</f>
        <v>15938.215943895839</v>
      </c>
      <c r="D121" s="100">
        <f>IFERROR(DTE_demand_forecast!D68*Settings!$K$47,"-")</f>
        <v>17803.149949389044</v>
      </c>
      <c r="E121" s="100">
        <f>IFERROR(DTE_demand_forecast!E68*Settings!$K$47,"-")</f>
        <v>18832.659702178105</v>
      </c>
      <c r="F121" s="100">
        <f>IFERROR(DTE_demand_forecast!F68*Settings!$K$47,"-")</f>
        <v>20599.008081228658</v>
      </c>
      <c r="G121" s="100">
        <f>IFERROR(DTE_demand_forecast!G68*Settings!$K$47,"-")</f>
        <v>29602.730823772599</v>
      </c>
      <c r="H121" s="100">
        <f>IFERROR(DTE_demand_forecast!H68*Settings!$K$47,"-")</f>
        <v>31479.977878885271</v>
      </c>
      <c r="I121" s="100">
        <f>IFERROR(DTE_demand_forecast!I68*Settings!$K$47,"-")</f>
        <v>33426.159907825036</v>
      </c>
      <c r="J121" s="100">
        <f>IFERROR(DTE_demand_forecast!J68*Settings!$K$47,"-")</f>
        <v>35443.283410722914</v>
      </c>
      <c r="K121" s="100">
        <f>IFERROR(DTE_demand_forecast!K68*Settings!$K$47,"-")</f>
        <v>37533.407573725679</v>
      </c>
      <c r="L121" s="100">
        <f>IFERROR(DTE_demand_forecast!L68*Settings!$K$47,"-")</f>
        <v>39698.645573836358</v>
      </c>
      <c r="M121" s="100">
        <f>IFERROR(DTE_demand_forecast!M68*Settings!$K$47,"-")</f>
        <v>40208.309287708558</v>
      </c>
      <c r="N121" s="100">
        <f>IFERROR(DTE_demand_forecast!N68*Settings!$K$47,"-")</f>
        <v>40728.166275858202</v>
      </c>
      <c r="O121" s="100">
        <f>IFERROR(DTE_demand_forecast!O68*Settings!$K$47,"-")</f>
        <v>41258.420403770855</v>
      </c>
      <c r="P121" s="100">
        <f>IFERROR(DTE_demand_forecast!P68*Settings!$K$47,"-")</f>
        <v>41799.279614241743</v>
      </c>
      <c r="Q121" s="100">
        <f>IFERROR(DTE_demand_forecast!Q68*Settings!$K$47,"-")</f>
        <v>42350.956008922054</v>
      </c>
      <c r="R121" s="100">
        <f>IFERROR(DTE_demand_forecast!R68*Settings!$K$47,"-")</f>
        <v>42913.665931495969</v>
      </c>
      <c r="S121" s="100">
        <f>IFERROR(DTE_demand_forecast!S68*Settings!$K$47,"-")</f>
        <v>43487.630052521366</v>
      </c>
      <c r="T121" s="100">
        <f>IFERROR(DTE_demand_forecast!T68*Settings!$K$47,"-")</f>
        <v>44073.073455967278</v>
      </c>
      <c r="U121" s="100">
        <f>IFERROR(DTE_demand_forecast!U68*Settings!$K$47,"-")</f>
        <v>44670.225727482102</v>
      </c>
      <c r="V121" s="100">
        <f>IFERROR(DTE_demand_forecast!V68*Settings!$K$47,"-")</f>
        <v>45279.321044427219</v>
      </c>
    </row>
    <row r="122" spans="1:22" x14ac:dyDescent="0.3">
      <c r="A122" s="179"/>
      <c r="B122" s="47" t="s">
        <v>61</v>
      </c>
      <c r="C122" s="100">
        <f>IFERROR(DTE_demand_forecast!C69*Settings!$K$47,"-")</f>
        <v>983549.75908355881</v>
      </c>
      <c r="D122" s="100">
        <f>IFERROR(DTE_demand_forecast!D69*Settings!$K$47,"-")</f>
        <v>1975219.1185167022</v>
      </c>
      <c r="E122" s="100">
        <f>IFERROR(DTE_demand_forecast!E69*Settings!$K$47,"-")</f>
        <v>2087906.4141946074</v>
      </c>
      <c r="F122" s="100">
        <f>IFERROR(DTE_demand_forecast!F69*Settings!$K$47,"-")</f>
        <v>2205398.6552692931</v>
      </c>
      <c r="G122" s="100">
        <f>IFERROR(DTE_demand_forecast!G69*Settings!$K$47,"-")</f>
        <v>2327036.8939504512</v>
      </c>
      <c r="H122" s="100">
        <f>IFERROR(DTE_demand_forecast!H69*Settings!$K$47,"-")</f>
        <v>3412759.4631253728</v>
      </c>
      <c r="I122" s="100">
        <f>IFERROR(DTE_demand_forecast!I69*Settings!$K$47,"-")</f>
        <v>3562675.4109921195</v>
      </c>
      <c r="J122" s="100">
        <f>IFERROR(DTE_demand_forecast!J69*Settings!$K$47,"-")</f>
        <v>3717575.5773853436</v>
      </c>
      <c r="K122" s="100">
        <f>IFERROR(DTE_demand_forecast!K69*Settings!$K$47,"-")</f>
        <v>3877599.3646669602</v>
      </c>
      <c r="L122" s="100">
        <f>IFERROR(DTE_demand_forecast!L69*Settings!$K$47,"-")</f>
        <v>4042889.7576059462</v>
      </c>
      <c r="M122" s="100">
        <f>IFERROR(DTE_demand_forecast!M69*Settings!$K$47,"-")</f>
        <v>4106113.3329051086</v>
      </c>
      <c r="N122" s="100">
        <f>IFERROR(DTE_demand_forecast!N69*Settings!$K$47,"-")</f>
        <v>4170601.3797102533</v>
      </c>
      <c r="O122" s="100">
        <f>IFERROR(DTE_demand_forecast!O69*Settings!$K$47,"-")</f>
        <v>4236379.1874515023</v>
      </c>
      <c r="P122" s="100">
        <f>IFERROR(DTE_demand_forecast!P69*Settings!$K$47,"-")</f>
        <v>4303472.5513475752</v>
      </c>
      <c r="Q122" s="100">
        <f>IFERROR(DTE_demand_forecast!Q69*Settings!$K$47,"-")</f>
        <v>4371907.7825215701</v>
      </c>
      <c r="R122" s="100">
        <f>IFERROR(DTE_demand_forecast!R69*Settings!$K$47,"-")</f>
        <v>4441711.7183190435</v>
      </c>
      <c r="S122" s="100">
        <f>IFERROR(DTE_demand_forecast!S69*Settings!$K$47,"-")</f>
        <v>4512911.7328324681</v>
      </c>
      <c r="T122" s="100">
        <f>IFERROR(DTE_demand_forecast!T69*Settings!$K$47,"-")</f>
        <v>4585535.7476361617</v>
      </c>
      <c r="U122" s="100">
        <f>IFERROR(DTE_demand_forecast!U69*Settings!$K$47,"-")</f>
        <v>4659612.242735927</v>
      </c>
      <c r="V122" s="100">
        <f>IFERROR(DTE_demand_forecast!V69*Settings!$K$47,"-")</f>
        <v>4735170.2677376885</v>
      </c>
    </row>
    <row r="123" spans="1:22" x14ac:dyDescent="0.3">
      <c r="A123" s="179"/>
      <c r="B123" s="48" t="s">
        <v>104</v>
      </c>
      <c r="C123" s="176">
        <f>SUM(C115:C122)</f>
        <v>17687986.901727285</v>
      </c>
      <c r="D123" s="176">
        <f>SUM(D115:D122)</f>
        <v>16871106.283021927</v>
      </c>
      <c r="E123" s="176">
        <f>SUM(E115:E122)</f>
        <v>16110995.39416676</v>
      </c>
      <c r="F123" s="176">
        <f>SUM(F115:F122)</f>
        <v>14819781.184247125</v>
      </c>
      <c r="G123" s="176">
        <f>SUM(G115:G122)</f>
        <v>16196843.357932106</v>
      </c>
      <c r="H123" s="176">
        <f>SUM(H115:H122)</f>
        <v>17253046.035866905</v>
      </c>
      <c r="I123" s="176">
        <f>SUM(I115:I122)</f>
        <v>17441832.820451505</v>
      </c>
      <c r="J123" s="176">
        <f>SUM(J115:J122)</f>
        <v>18681549.156727735</v>
      </c>
      <c r="K123" s="176">
        <f>SUM(K115:K122)</f>
        <v>19390623.822589919</v>
      </c>
      <c r="L123" s="176">
        <f>SUM(L115:L122)</f>
        <v>20123733.135467675</v>
      </c>
      <c r="M123" s="176">
        <f>SUM(M115:M122)</f>
        <v>24406951.578678418</v>
      </c>
      <c r="N123" s="176">
        <f>SUM(N115:N122)</f>
        <v>24739576.088872008</v>
      </c>
      <c r="O123" s="176">
        <f>SUM(O115:O122)</f>
        <v>25078853.089269474</v>
      </c>
      <c r="P123" s="176">
        <f>SUM(P115:P122)</f>
        <v>25424915.629674889</v>
      </c>
      <c r="Q123" s="176">
        <f>SUM(Q115:Q122)</f>
        <v>25777899.420888416</v>
      </c>
      <c r="R123" s="176">
        <f>SUM(R115:R122)</f>
        <v>26137942.887926206</v>
      </c>
      <c r="S123" s="176">
        <f>SUM(S115:S122)</f>
        <v>26505187.224304762</v>
      </c>
      <c r="T123" s="176">
        <f>SUM(T115:T122)</f>
        <v>26879776.447410878</v>
      </c>
      <c r="U123" s="176">
        <f>SUM(U115:U122)</f>
        <v>27261857.454979118</v>
      </c>
      <c r="V123" s="176">
        <f>SUM(V115:V122)</f>
        <v>27651580.082698725</v>
      </c>
    </row>
    <row r="124" spans="1:22" x14ac:dyDescent="0.3">
      <c r="A124" s="179"/>
      <c r="B124" s="177"/>
      <c r="C124" s="178"/>
      <c r="D124" s="178"/>
      <c r="E124" s="178"/>
      <c r="F124" s="178"/>
      <c r="G124" s="178"/>
      <c r="H124" s="178"/>
      <c r="I124" s="178"/>
      <c r="J124" s="178"/>
      <c r="K124" s="178"/>
      <c r="L124" s="178"/>
      <c r="M124" s="178"/>
      <c r="N124" s="178"/>
      <c r="O124" s="178"/>
      <c r="P124" s="178"/>
      <c r="Q124" s="178"/>
      <c r="R124" s="178"/>
      <c r="S124" s="178"/>
      <c r="T124" s="178"/>
      <c r="U124" s="178"/>
      <c r="V124" s="178"/>
    </row>
    <row r="125" spans="1:22" x14ac:dyDescent="0.3">
      <c r="A125" s="179"/>
      <c r="B125" s="177"/>
      <c r="C125" s="178"/>
      <c r="D125" s="178"/>
      <c r="E125" s="178"/>
      <c r="F125" s="178"/>
      <c r="G125" s="178"/>
      <c r="H125" s="178"/>
      <c r="I125" s="178"/>
      <c r="J125" s="178"/>
      <c r="K125" s="178"/>
      <c r="L125" s="178"/>
      <c r="M125" s="178"/>
      <c r="N125" s="178"/>
      <c r="O125" s="178"/>
      <c r="P125" s="178"/>
      <c r="Q125" s="178"/>
      <c r="R125" s="178"/>
      <c r="S125" s="178"/>
      <c r="T125" s="178"/>
      <c r="U125" s="178"/>
      <c r="V125" s="178"/>
    </row>
    <row r="126" spans="1:22" x14ac:dyDescent="0.3">
      <c r="A126" s="179"/>
      <c r="B126" s="177"/>
      <c r="C126" s="178"/>
      <c r="D126" s="178"/>
      <c r="E126" s="178"/>
      <c r="F126" s="178"/>
      <c r="G126" s="178"/>
      <c r="H126" s="178"/>
      <c r="I126" s="178"/>
      <c r="J126" s="178"/>
      <c r="K126" s="178"/>
      <c r="L126" s="178"/>
      <c r="M126" s="178"/>
      <c r="N126" s="178"/>
      <c r="O126" s="178"/>
      <c r="P126" s="178"/>
      <c r="Q126" s="178"/>
      <c r="R126" s="178"/>
      <c r="S126" s="178"/>
      <c r="T126" s="178"/>
      <c r="U126" s="178"/>
      <c r="V126" s="178"/>
    </row>
    <row r="127" spans="1:22" x14ac:dyDescent="0.3">
      <c r="A127" s="179"/>
      <c r="B127" s="177"/>
      <c r="C127" s="178"/>
      <c r="D127" s="178"/>
      <c r="E127" s="178"/>
      <c r="F127" s="178"/>
      <c r="G127" s="178"/>
      <c r="H127" s="178"/>
      <c r="I127" s="178"/>
      <c r="J127" s="178"/>
      <c r="K127" s="178"/>
      <c r="L127" s="178"/>
      <c r="M127" s="178"/>
      <c r="N127" s="178"/>
      <c r="O127" s="178"/>
      <c r="P127" s="178"/>
      <c r="Q127" s="178"/>
      <c r="R127" s="178"/>
      <c r="S127" s="178"/>
      <c r="T127" s="178"/>
      <c r="U127" s="178"/>
      <c r="V127" s="178"/>
    </row>
    <row r="128" spans="1:22" x14ac:dyDescent="0.3">
      <c r="A128" s="179"/>
      <c r="B128" s="177"/>
      <c r="C128" s="178"/>
      <c r="D128" s="178"/>
      <c r="E128" s="178"/>
      <c r="F128" s="178"/>
      <c r="G128" s="178"/>
      <c r="H128" s="178"/>
      <c r="I128" s="178"/>
      <c r="J128" s="178"/>
      <c r="K128" s="178"/>
      <c r="L128" s="178"/>
      <c r="M128" s="178"/>
      <c r="N128" s="178"/>
      <c r="O128" s="178"/>
      <c r="P128" s="178"/>
      <c r="Q128" s="178"/>
      <c r="R128" s="178"/>
      <c r="S128" s="178"/>
      <c r="T128" s="178"/>
      <c r="U128" s="178"/>
      <c r="V128" s="178"/>
    </row>
    <row r="129" spans="1:22" x14ac:dyDescent="0.3">
      <c r="A129" s="179"/>
    </row>
    <row r="130" spans="1:22" x14ac:dyDescent="0.3">
      <c r="A130" s="179"/>
    </row>
    <row r="131" spans="1:22" x14ac:dyDescent="0.3">
      <c r="A131" s="179"/>
      <c r="B131" s="49" t="s">
        <v>226</v>
      </c>
      <c r="L131" s="34"/>
      <c r="M131" s="34"/>
    </row>
    <row r="132" spans="1:22" x14ac:dyDescent="0.3">
      <c r="A132" s="179"/>
      <c r="B132" s="97" t="s">
        <v>102</v>
      </c>
      <c r="C132" s="97">
        <v>2021</v>
      </c>
      <c r="D132" s="98">
        <v>2022</v>
      </c>
      <c r="E132" s="97">
        <v>2023</v>
      </c>
      <c r="F132" s="98">
        <v>2024</v>
      </c>
      <c r="G132" s="97">
        <v>2025</v>
      </c>
      <c r="H132" s="98">
        <v>2026</v>
      </c>
      <c r="I132" s="97">
        <v>2027</v>
      </c>
      <c r="J132" s="98">
        <v>2028</v>
      </c>
      <c r="K132" s="97">
        <v>2029</v>
      </c>
      <c r="L132" s="98">
        <v>2030</v>
      </c>
      <c r="M132" s="97">
        <v>2031</v>
      </c>
      <c r="N132" s="98">
        <v>2032</v>
      </c>
      <c r="O132" s="97">
        <v>2033</v>
      </c>
      <c r="P132" s="98">
        <v>2034</v>
      </c>
      <c r="Q132" s="97">
        <v>2035</v>
      </c>
      <c r="R132" s="98">
        <v>2036</v>
      </c>
      <c r="S132" s="97">
        <v>2037</v>
      </c>
      <c r="T132" s="98">
        <v>2038</v>
      </c>
      <c r="U132" s="97">
        <v>2039</v>
      </c>
      <c r="V132" s="98">
        <v>2040</v>
      </c>
    </row>
    <row r="133" spans="1:22" x14ac:dyDescent="0.3">
      <c r="A133" s="179"/>
      <c r="B133" s="47" t="s">
        <v>59</v>
      </c>
      <c r="C133" s="100">
        <f>IFERROR(DTE_demand_forecast!C141*Settings!$K$47,"-")</f>
        <v>7529007.6985717136</v>
      </c>
      <c r="D133" s="100">
        <f>IFERROR(DTE_demand_forecast!D141*Settings!$K$47,"-")</f>
        <v>8229826.5896294061</v>
      </c>
      <c r="E133" s="100">
        <f>IFERROR(DTE_demand_forecast!E141*Settings!$K$47,"-")</f>
        <v>8948899.3048319444</v>
      </c>
      <c r="F133" s="100">
        <f>IFERROR(DTE_demand_forecast!F141*Settings!$K$47,"-")</f>
        <v>9720862.4751542602</v>
      </c>
      <c r="G133" s="100">
        <f>IFERROR(DTE_demand_forecast!G141*Settings!$K$47,"-")</f>
        <v>10510499.733313793</v>
      </c>
      <c r="H133" s="100">
        <f>IFERROR(DTE_demand_forecast!H141*Settings!$K$47,"-")</f>
        <v>11330573.91851511</v>
      </c>
      <c r="I133" s="100">
        <f>IFERROR(DTE_demand_forecast!I141*Settings!$K$47,"-")</f>
        <v>12181986.652936624</v>
      </c>
      <c r="J133" s="100">
        <f>IFERROR(DTE_demand_forecast!J141*Settings!$K$47,"-")</f>
        <v>13065663.448873054</v>
      </c>
      <c r="K133" s="100">
        <f>IFERROR(DTE_demand_forecast!K141*Settings!$K$47,"-")</f>
        <v>13982554.303691234</v>
      </c>
      <c r="L133" s="100">
        <f>IFERROR(DTE_demand_forecast!L141*Settings!$K$47,"-")</f>
        <v>14933634.309028061</v>
      </c>
      <c r="M133" s="100">
        <f>IFERROR(DTE_demand_forecast!M141*Settings!$K$47,"-")</f>
        <v>19133275.692625586</v>
      </c>
      <c r="N133" s="100">
        <f>IFERROR(DTE_demand_forecast!N141*Settings!$K$47,"-")</f>
        <v>19380651.602013689</v>
      </c>
      <c r="O133" s="100">
        <f>IFERROR(DTE_demand_forecast!O141*Settings!$K$47,"-")</f>
        <v>19632975.029589564</v>
      </c>
      <c r="P133" s="100">
        <f>IFERROR(DTE_demand_forecast!P141*Settings!$K$47,"-")</f>
        <v>19890344.925716951</v>
      </c>
      <c r="Q133" s="100">
        <f>IFERROR(DTE_demand_forecast!Q141*Settings!$K$47,"-")</f>
        <v>20152862.219766885</v>
      </c>
      <c r="R133" s="100">
        <f>IFERROR(DTE_demand_forecast!R141*Settings!$K$47,"-")</f>
        <v>20420629.859697819</v>
      </c>
      <c r="S133" s="100">
        <f>IFERROR(DTE_demand_forecast!S141*Settings!$K$47,"-")</f>
        <v>20693752.852427375</v>
      </c>
      <c r="T133" s="100">
        <f>IFERROR(DTE_demand_forecast!T141*Settings!$K$47,"-")</f>
        <v>20972338.305011518</v>
      </c>
      <c r="U133" s="100">
        <f>IFERROR(DTE_demand_forecast!U141*Settings!$K$47,"-")</f>
        <v>21256495.466647346</v>
      </c>
      <c r="V133" s="100">
        <f>IFERROR(DTE_demand_forecast!V141*Settings!$K$47,"-")</f>
        <v>21546335.771515887</v>
      </c>
    </row>
    <row r="134" spans="1:22" x14ac:dyDescent="0.3">
      <c r="A134" s="179"/>
      <c r="B134" s="47" t="s">
        <v>57</v>
      </c>
      <c r="C134" s="100">
        <f>IFERROR(DTE_demand_forecast!C142*Settings!$K$47,"-")</f>
        <v>9721365.4515850954</v>
      </c>
      <c r="D134" s="100">
        <f>IFERROR(DTE_demand_forecast!D142*Settings!$K$47,"-")</f>
        <v>7928782.4245042894</v>
      </c>
      <c r="E134" s="100">
        <f>IFERROR(DTE_demand_forecast!E142*Settings!$K$47,"-")</f>
        <v>6989241.5405501137</v>
      </c>
      <c r="F134" s="100">
        <f>IFERROR(DTE_demand_forecast!F142*Settings!$K$47,"-")</f>
        <v>5726344.5501737259</v>
      </c>
      <c r="G134" s="100">
        <f>IFERROR(DTE_demand_forecast!G142*Settings!$K$47,"-")</f>
        <v>7013862.6337159127</v>
      </c>
      <c r="H134" s="100">
        <f>IFERROR(DTE_demand_forecast!H142*Settings!$K$47,"-")</f>
        <v>7025180.7195799071</v>
      </c>
      <c r="I134" s="100">
        <f>IFERROR(DTE_demand_forecast!I142*Settings!$K$47,"-")</f>
        <v>7106486.2062729886</v>
      </c>
      <c r="J134" s="100">
        <f>IFERROR(DTE_demand_forecast!J142*Settings!$K$47,"-")</f>
        <v>8235381.2307263399</v>
      </c>
      <c r="K134" s="100">
        <f>IFERROR(DTE_demand_forecast!K142*Settings!$K$47,"-")</f>
        <v>8830203.9627961796</v>
      </c>
      <c r="L134" s="100">
        <f>IFERROR(DTE_demand_forecast!L142*Settings!$K$47,"-")</f>
        <v>9445537.8235580828</v>
      </c>
      <c r="M134" s="100">
        <f>IFERROR(DTE_demand_forecast!M142*Settings!$K$47,"-")</f>
        <v>9633829.984951226</v>
      </c>
      <c r="N134" s="100">
        <f>IFERROR(DTE_demand_forecast!N142*Settings!$K$47,"-")</f>
        <v>9825887.9895722289</v>
      </c>
      <c r="O134" s="100">
        <f>IFERROR(DTE_demand_forecast!O142*Settings!$K$47,"-")</f>
        <v>10021787.154285656</v>
      </c>
      <c r="P134" s="100">
        <f>IFERROR(DTE_demand_forecast!P142*Settings!$K$47,"-")</f>
        <v>10221604.302293349</v>
      </c>
      <c r="Q134" s="100">
        <f>IFERROR(DTE_demand_forecast!Q142*Settings!$K$47,"-")</f>
        <v>10425417.793261198</v>
      </c>
      <c r="R134" s="100">
        <f>IFERROR(DTE_demand_forecast!R142*Settings!$K$47,"-")</f>
        <v>10633307.5540484</v>
      </c>
      <c r="S134" s="100">
        <f>IFERROR(DTE_demand_forecast!S142*Settings!$K$47,"-")</f>
        <v>10845355.110051351</v>
      </c>
      <c r="T134" s="100">
        <f>IFERROR(DTE_demand_forecast!T142*Settings!$K$47,"-")</f>
        <v>11061643.617174359</v>
      </c>
      <c r="U134" s="100">
        <f>IFERROR(DTE_demand_forecast!U142*Settings!$K$47,"-")</f>
        <v>11282257.894439828</v>
      </c>
      <c r="V134" s="100">
        <f>IFERROR(DTE_demand_forecast!V142*Settings!$K$47,"-")</f>
        <v>11507284.457250604</v>
      </c>
    </row>
    <row r="135" spans="1:22" x14ac:dyDescent="0.3">
      <c r="A135" s="179"/>
      <c r="B135" s="47" t="s">
        <v>56</v>
      </c>
      <c r="C135" s="100">
        <f>IFERROR(DTE_demand_forecast!C143*Settings!$K$47,"-")</f>
        <v>160411.75899132839</v>
      </c>
      <c r="D135" s="100">
        <f>IFERROR(DTE_demand_forecast!D143*Settings!$K$47,"-")</f>
        <v>171606.55296319196</v>
      </c>
      <c r="E135" s="100">
        <f>IFERROR(DTE_demand_forecast!E143*Settings!$K$47,"-")</f>
        <v>205113.23792103006</v>
      </c>
      <c r="F135" s="100">
        <f>IFERROR(DTE_demand_forecast!F143*Settings!$K$47,"-")</f>
        <v>218722.07994181593</v>
      </c>
      <c r="G135" s="100">
        <f>IFERROR(DTE_demand_forecast!G143*Settings!$K$47,"-")</f>
        <v>232826.98620400467</v>
      </c>
      <c r="H135" s="100">
        <f>IFERROR(DTE_demand_forecast!H143*Settings!$K$47,"-")</f>
        <v>247442.35574044409</v>
      </c>
      <c r="I135" s="100">
        <f>IFERROR(DTE_demand_forecast!I143*Settings!$K$47,"-")</f>
        <v>262582.96511959925</v>
      </c>
      <c r="J135" s="100">
        <f>IFERROR(DTE_demand_forecast!J143*Settings!$K$47,"-")</f>
        <v>278263.97778736422</v>
      </c>
      <c r="K135" s="100">
        <f>IFERROR(DTE_demand_forecast!K143*Settings!$K$47,"-")</f>
        <v>294500.9536315318</v>
      </c>
      <c r="L135" s="100">
        <f>IFERROR(DTE_demand_forecast!L143*Settings!$K$47,"-")</f>
        <v>311309.85877409094</v>
      </c>
      <c r="M135" s="100">
        <f>IFERROR(DTE_demand_forecast!M143*Settings!$K$47,"-")</f>
        <v>315848.26316258195</v>
      </c>
      <c r="N135" s="100">
        <f>IFERROR(DTE_demand_forecast!N143*Settings!$K$47,"-")</f>
        <v>320477.4356388427</v>
      </c>
      <c r="O135" s="100">
        <f>IFERROR(DTE_demand_forecast!O143*Settings!$K$47,"-")</f>
        <v>325199.19156462874</v>
      </c>
      <c r="P135" s="100">
        <f>IFERROR(DTE_demand_forecast!P143*Settings!$K$47,"-")</f>
        <v>330015.38260893046</v>
      </c>
      <c r="Q135" s="100">
        <f>IFERROR(DTE_demand_forecast!Q143*Settings!$K$47,"-")</f>
        <v>334927.89747411822</v>
      </c>
      <c r="R135" s="100">
        <f>IFERROR(DTE_demand_forecast!R143*Settings!$K$47,"-")</f>
        <v>339938.66263660969</v>
      </c>
      <c r="S135" s="100">
        <f>IFERROR(DTE_demand_forecast!S143*Settings!$K$47,"-")</f>
        <v>345049.64310235105</v>
      </c>
      <c r="T135" s="100">
        <f>IFERROR(DTE_demand_forecast!T143*Settings!$K$47,"-")</f>
        <v>350262.84317740728</v>
      </c>
      <c r="U135" s="100">
        <f>IFERROR(DTE_demand_forecast!U143*Settings!$K$47,"-")</f>
        <v>355580.30725396448</v>
      </c>
      <c r="V135" s="100">
        <f>IFERROR(DTE_demand_forecast!V143*Settings!$K$47,"-")</f>
        <v>361004.12061205303</v>
      </c>
    </row>
    <row r="136" spans="1:22" x14ac:dyDescent="0.3">
      <c r="A136" s="179"/>
      <c r="B136" s="47" t="s">
        <v>100</v>
      </c>
      <c r="C136" s="100">
        <f>IFERROR(DTE_demand_forecast!C144*Settings!$K$47,"-")</f>
        <v>0</v>
      </c>
      <c r="D136" s="100">
        <f>IFERROR(DTE_demand_forecast!D144*Settings!$K$47,"-")</f>
        <v>0</v>
      </c>
      <c r="E136" s="100">
        <f>IFERROR(DTE_demand_forecast!E144*Settings!$K$47,"-")</f>
        <v>0</v>
      </c>
      <c r="F136" s="100">
        <f>IFERROR(DTE_demand_forecast!F144*Settings!$K$47,"-")</f>
        <v>0</v>
      </c>
      <c r="G136" s="100">
        <f>IFERROR(DTE_demand_forecast!G144*Settings!$K$47,"-")</f>
        <v>0</v>
      </c>
      <c r="H136" s="100">
        <f>IFERROR(DTE_demand_forecast!H144*Settings!$K$47,"-")</f>
        <v>0</v>
      </c>
      <c r="I136" s="100">
        <f>IFERROR(DTE_demand_forecast!I144*Settings!$K$47,"-")</f>
        <v>0</v>
      </c>
      <c r="J136" s="100">
        <f>IFERROR(DTE_demand_forecast!J144*Settings!$K$47,"-")</f>
        <v>0</v>
      </c>
      <c r="K136" s="100">
        <f>IFERROR(DTE_demand_forecast!K144*Settings!$K$47,"-")</f>
        <v>0</v>
      </c>
      <c r="L136" s="100">
        <f>IFERROR(DTE_demand_forecast!L144*Settings!$K$47,"-")</f>
        <v>0</v>
      </c>
      <c r="M136" s="100">
        <f>IFERROR(DTE_demand_forecast!M144*Settings!$K$47,"-")</f>
        <v>0</v>
      </c>
      <c r="N136" s="100">
        <f>IFERROR(DTE_demand_forecast!N144*Settings!$K$47,"-")</f>
        <v>0</v>
      </c>
      <c r="O136" s="100">
        <f>IFERROR(DTE_demand_forecast!O144*Settings!$K$47,"-")</f>
        <v>0</v>
      </c>
      <c r="P136" s="100">
        <f>IFERROR(DTE_demand_forecast!P144*Settings!$K$47,"-")</f>
        <v>0</v>
      </c>
      <c r="Q136" s="100">
        <f>IFERROR(DTE_demand_forecast!Q144*Settings!$K$47,"-")</f>
        <v>0</v>
      </c>
      <c r="R136" s="100">
        <f>IFERROR(DTE_demand_forecast!R144*Settings!$K$47,"-")</f>
        <v>0</v>
      </c>
      <c r="S136" s="100">
        <f>IFERROR(DTE_demand_forecast!S144*Settings!$K$47,"-")</f>
        <v>0</v>
      </c>
      <c r="T136" s="100">
        <f>IFERROR(DTE_demand_forecast!T144*Settings!$K$47,"-")</f>
        <v>0</v>
      </c>
      <c r="U136" s="100">
        <f>IFERROR(DTE_demand_forecast!U144*Settings!$K$47,"-")</f>
        <v>0</v>
      </c>
      <c r="V136" s="100">
        <f>IFERROR(DTE_demand_forecast!V144*Settings!$K$47,"-")</f>
        <v>0</v>
      </c>
    </row>
    <row r="137" spans="1:22" x14ac:dyDescent="0.3">
      <c r="A137" s="179"/>
      <c r="B137" s="47" t="s">
        <v>60</v>
      </c>
      <c r="C137" s="100">
        <f>IFERROR(DTE_demand_forecast!C145*Settings!$K$47,"-")</f>
        <v>0</v>
      </c>
      <c r="D137" s="100">
        <f>IFERROR(DTE_demand_forecast!D145*Settings!$K$47,"-")</f>
        <v>0</v>
      </c>
      <c r="E137" s="100">
        <f>IFERROR(DTE_demand_forecast!E145*Settings!$K$47,"-")</f>
        <v>0</v>
      </c>
      <c r="F137" s="100">
        <f>IFERROR(DTE_demand_forecast!F145*Settings!$K$47,"-")</f>
        <v>0</v>
      </c>
      <c r="G137" s="100">
        <f>IFERROR(DTE_demand_forecast!G145*Settings!$K$47,"-")</f>
        <v>0</v>
      </c>
      <c r="H137" s="100">
        <f>IFERROR(DTE_demand_forecast!H145*Settings!$K$47,"-")</f>
        <v>0</v>
      </c>
      <c r="I137" s="100">
        <f>IFERROR(DTE_demand_forecast!I145*Settings!$K$47,"-")</f>
        <v>0</v>
      </c>
      <c r="J137" s="100">
        <f>IFERROR(DTE_demand_forecast!J145*Settings!$K$47,"-")</f>
        <v>0</v>
      </c>
      <c r="K137" s="100">
        <f>IFERROR(DTE_demand_forecast!K145*Settings!$K$47,"-")</f>
        <v>0</v>
      </c>
      <c r="L137" s="100">
        <f>IFERROR(DTE_demand_forecast!L145*Settings!$K$47,"-")</f>
        <v>0</v>
      </c>
      <c r="M137" s="100">
        <f>IFERROR(DTE_demand_forecast!M145*Settings!$K$47,"-")</f>
        <v>0</v>
      </c>
      <c r="N137" s="100">
        <f>IFERROR(DTE_demand_forecast!N145*Settings!$K$47,"-")</f>
        <v>0</v>
      </c>
      <c r="O137" s="100">
        <f>IFERROR(DTE_demand_forecast!O145*Settings!$K$47,"-")</f>
        <v>0</v>
      </c>
      <c r="P137" s="100">
        <f>IFERROR(DTE_demand_forecast!P145*Settings!$K$47,"-")</f>
        <v>0</v>
      </c>
      <c r="Q137" s="100">
        <f>IFERROR(DTE_demand_forecast!Q145*Settings!$K$47,"-")</f>
        <v>0</v>
      </c>
      <c r="R137" s="100">
        <f>IFERROR(DTE_demand_forecast!R145*Settings!$K$47,"-")</f>
        <v>0</v>
      </c>
      <c r="S137" s="100">
        <f>IFERROR(DTE_demand_forecast!S145*Settings!$K$47,"-")</f>
        <v>0</v>
      </c>
      <c r="T137" s="100">
        <f>IFERROR(DTE_demand_forecast!T145*Settings!$K$47,"-")</f>
        <v>0</v>
      </c>
      <c r="U137" s="100">
        <f>IFERROR(DTE_demand_forecast!U145*Settings!$K$47,"-")</f>
        <v>0</v>
      </c>
      <c r="V137" s="100">
        <f>IFERROR(DTE_demand_forecast!V145*Settings!$K$47,"-")</f>
        <v>0</v>
      </c>
    </row>
    <row r="138" spans="1:22" x14ac:dyDescent="0.3">
      <c r="A138" s="179"/>
      <c r="B138" s="47" t="s">
        <v>101</v>
      </c>
      <c r="C138" s="100">
        <f>IFERROR(DTE_demand_forecast!C146*Settings!$K$47,"-")</f>
        <v>0</v>
      </c>
      <c r="D138" s="100">
        <f>IFERROR(DTE_demand_forecast!D146*Settings!$K$47,"-")</f>
        <v>0</v>
      </c>
      <c r="E138" s="100">
        <f>IFERROR(DTE_demand_forecast!E146*Settings!$K$47,"-")</f>
        <v>0</v>
      </c>
      <c r="F138" s="100">
        <f>IFERROR(DTE_demand_forecast!F146*Settings!$K$47,"-")</f>
        <v>0</v>
      </c>
      <c r="G138" s="100">
        <f>IFERROR(DTE_demand_forecast!G146*Settings!$K$47,"-")</f>
        <v>0</v>
      </c>
      <c r="H138" s="100">
        <f>IFERROR(DTE_demand_forecast!H146*Settings!$K$47,"-")</f>
        <v>0</v>
      </c>
      <c r="I138" s="100">
        <f>IFERROR(DTE_demand_forecast!I146*Settings!$K$47,"-")</f>
        <v>0</v>
      </c>
      <c r="J138" s="100">
        <f>IFERROR(DTE_demand_forecast!J146*Settings!$K$47,"-")</f>
        <v>0</v>
      </c>
      <c r="K138" s="100">
        <f>IFERROR(DTE_demand_forecast!K146*Settings!$K$47,"-")</f>
        <v>0</v>
      </c>
      <c r="L138" s="100">
        <f>IFERROR(DTE_demand_forecast!L146*Settings!$K$47,"-")</f>
        <v>0</v>
      </c>
      <c r="M138" s="100">
        <f>IFERROR(DTE_demand_forecast!M146*Settings!$K$47,"-")</f>
        <v>0</v>
      </c>
      <c r="N138" s="100">
        <f>IFERROR(DTE_demand_forecast!N146*Settings!$K$47,"-")</f>
        <v>0</v>
      </c>
      <c r="O138" s="100">
        <f>IFERROR(DTE_demand_forecast!O146*Settings!$K$47,"-")</f>
        <v>0</v>
      </c>
      <c r="P138" s="100">
        <f>IFERROR(DTE_demand_forecast!P146*Settings!$K$47,"-")</f>
        <v>0</v>
      </c>
      <c r="Q138" s="100">
        <f>IFERROR(DTE_demand_forecast!Q146*Settings!$K$47,"-")</f>
        <v>0</v>
      </c>
      <c r="R138" s="100">
        <f>IFERROR(DTE_demand_forecast!R146*Settings!$K$47,"-")</f>
        <v>0</v>
      </c>
      <c r="S138" s="100">
        <f>IFERROR(DTE_demand_forecast!S146*Settings!$K$47,"-")</f>
        <v>0</v>
      </c>
      <c r="T138" s="100">
        <f>IFERROR(DTE_demand_forecast!T146*Settings!$K$47,"-")</f>
        <v>0</v>
      </c>
      <c r="U138" s="100">
        <f>IFERROR(DTE_demand_forecast!U146*Settings!$K$47,"-")</f>
        <v>0</v>
      </c>
      <c r="V138" s="100">
        <f>IFERROR(DTE_demand_forecast!V146*Settings!$K$47,"-")</f>
        <v>0</v>
      </c>
    </row>
    <row r="139" spans="1:22" x14ac:dyDescent="0.3">
      <c r="A139" s="179"/>
      <c r="B139" s="47" t="s">
        <v>58</v>
      </c>
      <c r="C139" s="100">
        <f>IFERROR(DTE_demand_forecast!C147*Settings!$K$47,"-")</f>
        <v>17359.761931918449</v>
      </c>
      <c r="D139" s="100">
        <f>IFERROR(DTE_demand_forecast!D147*Settings!$K$47,"-")</f>
        <v>20703.103764955169</v>
      </c>
      <c r="E139" s="100">
        <f>IFERROR(DTE_demand_forecast!E147*Settings!$K$47,"-")</f>
        <v>23269.58903999428</v>
      </c>
      <c r="F139" s="100">
        <f>IFERROR(DTE_demand_forecast!F147*Settings!$K$47,"-")</f>
        <v>26633.231980658649</v>
      </c>
      <c r="G139" s="100">
        <f>IFERROR(DTE_demand_forecast!G147*Settings!$K$47,"-")</f>
        <v>37296.366295545842</v>
      </c>
      <c r="H139" s="100">
        <f>IFERROR(DTE_demand_forecast!H147*Settings!$K$47,"-")</f>
        <v>40896.987696335724</v>
      </c>
      <c r="I139" s="100">
        <f>IFERROR(DTE_demand_forecast!I147*Settings!$K$47,"-")</f>
        <v>44632.401590591071</v>
      </c>
      <c r="J139" s="100">
        <f>IFERROR(DTE_demand_forecast!J147*Settings!$K$47,"-")</f>
        <v>48506.559429490175</v>
      </c>
      <c r="K139" s="100">
        <f>IFERROR(DTE_demand_forecast!K147*Settings!$K$47,"-")</f>
        <v>52523.516805261119</v>
      </c>
      <c r="L139" s="100">
        <f>IFERROR(DTE_demand_forecast!L147*Settings!$K$47,"-")</f>
        <v>56687.436036243191</v>
      </c>
      <c r="M139" s="100">
        <f>IFERROR(DTE_demand_forecast!M147*Settings!$K$47,"-")</f>
        <v>57536.875559363529</v>
      </c>
      <c r="N139" s="100">
        <f>IFERROR(DTE_demand_forecast!N147*Settings!$K$47,"-")</f>
        <v>58403.303872946271</v>
      </c>
      <c r="O139" s="100">
        <f>IFERROR(DTE_demand_forecast!O147*Settings!$K$47,"-")</f>
        <v>59287.06075280068</v>
      </c>
      <c r="P139" s="100">
        <f>IFERROR(DTE_demand_forecast!P147*Settings!$K$47,"-")</f>
        <v>60188.492770252175</v>
      </c>
      <c r="Q139" s="100">
        <f>IFERROR(DTE_demand_forecast!Q147*Settings!$K$47,"-")</f>
        <v>61107.9534280527</v>
      </c>
      <c r="R139" s="100">
        <f>IFERROR(DTE_demand_forecast!R147*Settings!$K$47,"-")</f>
        <v>62045.803299009211</v>
      </c>
      <c r="S139" s="100">
        <f>IFERROR(DTE_demand_forecast!S147*Settings!$K$47,"-")</f>
        <v>63002.410167384885</v>
      </c>
      <c r="T139" s="100">
        <f>IFERROR(DTE_demand_forecast!T147*Settings!$K$47,"-")</f>
        <v>63978.149173128062</v>
      </c>
      <c r="U139" s="100">
        <f>IFERROR(DTE_demand_forecast!U147*Settings!$K$47,"-")</f>
        <v>64973.402958986095</v>
      </c>
      <c r="V139" s="100">
        <f>IFERROR(DTE_demand_forecast!V147*Settings!$K$47,"-")</f>
        <v>65988.561820561299</v>
      </c>
    </row>
    <row r="140" spans="1:22" x14ac:dyDescent="0.3">
      <c r="A140" s="179"/>
      <c r="B140" s="47" t="s">
        <v>61</v>
      </c>
      <c r="C140" s="100">
        <f>IFERROR(DTE_demand_forecast!C148*Settings!$K$47,"-")</f>
        <v>1071720.8583483431</v>
      </c>
      <c r="D140" s="100">
        <f>IFERROR(DTE_demand_forecast!D148*Settings!$K$47,"-")</f>
        <v>2155088.1610168614</v>
      </c>
      <c r="E140" s="100">
        <f>IFERROR(DTE_demand_forecast!E148*Settings!$K$47,"-")</f>
        <v>2363106.0492198518</v>
      </c>
      <c r="F140" s="100">
        <f>IFERROR(DTE_demand_forecast!F148*Settings!$K$47,"-")</f>
        <v>2579670.1589036253</v>
      </c>
      <c r="G140" s="100">
        <f>IFERROR(DTE_demand_forecast!G148*Settings!$K$47,"-")</f>
        <v>2804233.0610842244</v>
      </c>
      <c r="H140" s="100">
        <f>IFERROR(DTE_demand_forecast!H148*Settings!$K$47,"-")</f>
        <v>3996847.5716971117</v>
      </c>
      <c r="I140" s="100">
        <f>IFERROR(DTE_demand_forecast!I148*Settings!$K$47,"-")</f>
        <v>4257740.2601924874</v>
      </c>
      <c r="J140" s="100">
        <f>IFERROR(DTE_demand_forecast!J148*Settings!$K$47,"-")</f>
        <v>4527822.6015960583</v>
      </c>
      <c r="K140" s="100">
        <f>IFERROR(DTE_demand_forecast!K148*Settings!$K$47,"-")</f>
        <v>4807357.8249487551</v>
      </c>
      <c r="L140" s="100">
        <f>IFERROR(DTE_demand_forecast!L148*Settings!$K$47,"-")</f>
        <v>5096616.0125919813</v>
      </c>
      <c r="M140" s="100">
        <f>IFERROR(DTE_demand_forecast!M148*Settings!$K$47,"-")</f>
        <v>5180914.1129908646</v>
      </c>
      <c r="N140" s="100">
        <f>IFERROR(DTE_demand_forecast!N148*Settings!$K$47,"-")</f>
        <v>5266898.1753977239</v>
      </c>
      <c r="O140" s="100">
        <f>IFERROR(DTE_demand_forecast!O148*Settings!$K$47,"-")</f>
        <v>5354601.9190527229</v>
      </c>
      <c r="P140" s="100">
        <f>IFERROR(DTE_demand_forecast!P148*Settings!$K$47,"-")</f>
        <v>5444059.73758082</v>
      </c>
      <c r="Q140" s="100">
        <f>IFERROR(DTE_demand_forecast!Q148*Settings!$K$47,"-")</f>
        <v>5535306.7124794805</v>
      </c>
      <c r="R140" s="100">
        <f>IFERROR(DTE_demand_forecast!R148*Settings!$K$47,"-")</f>
        <v>5628378.6268761111</v>
      </c>
      <c r="S140" s="100">
        <f>IFERROR(DTE_demand_forecast!S148*Settings!$K$47,"-")</f>
        <v>5723311.9795606779</v>
      </c>
      <c r="T140" s="100">
        <f>IFERROR(DTE_demand_forecast!T148*Settings!$K$47,"-")</f>
        <v>5820143.9992989358</v>
      </c>
      <c r="U140" s="100">
        <f>IFERROR(DTE_demand_forecast!U148*Settings!$K$47,"-")</f>
        <v>5918912.6594319567</v>
      </c>
      <c r="V140" s="100">
        <f>IFERROR(DTE_demand_forecast!V148*Settings!$K$47,"-")</f>
        <v>6019656.6927676387</v>
      </c>
    </row>
    <row r="141" spans="1:22" x14ac:dyDescent="0.3">
      <c r="A141" s="179"/>
      <c r="B141" s="47" t="s">
        <v>104</v>
      </c>
      <c r="C141" s="176">
        <f>SUM(C133:C140)</f>
        <v>18499865.5294284</v>
      </c>
      <c r="D141" s="176">
        <f>SUM(D133:D140)</f>
        <v>18506006.831878703</v>
      </c>
      <c r="E141" s="176">
        <f>SUM(E133:E140)</f>
        <v>18529629.721562933</v>
      </c>
      <c r="F141" s="176">
        <f>SUM(F133:F140)</f>
        <v>18272232.496154089</v>
      </c>
      <c r="G141" s="176">
        <f>SUM(G133:G140)</f>
        <v>20598718.780613482</v>
      </c>
      <c r="H141" s="176">
        <f>SUM(H133:H140)</f>
        <v>22640941.553228907</v>
      </c>
      <c r="I141" s="176">
        <f>SUM(I133:I140)</f>
        <v>23853428.486112289</v>
      </c>
      <c r="J141" s="176">
        <f>SUM(J133:J140)</f>
        <v>26155637.818412304</v>
      </c>
      <c r="K141" s="176">
        <f>SUM(K133:K140)</f>
        <v>27967140.561872959</v>
      </c>
      <c r="L141" s="176">
        <f>SUM(L133:L140)</f>
        <v>29843785.43998846</v>
      </c>
      <c r="M141" s="176">
        <f>SUM(M133:M140)</f>
        <v>34321404.929289624</v>
      </c>
      <c r="N141" s="176">
        <f>SUM(N133:N140)</f>
        <v>34852318.506495431</v>
      </c>
      <c r="O141" s="176">
        <f>SUM(O133:O140)</f>
        <v>35393850.355245367</v>
      </c>
      <c r="P141" s="176">
        <f>SUM(P133:P140)</f>
        <v>35946212.8409703</v>
      </c>
      <c r="Q141" s="176">
        <f>SUM(Q133:Q140)</f>
        <v>36509622.576409735</v>
      </c>
      <c r="R141" s="176">
        <f>SUM(R133:R140)</f>
        <v>37084300.506557949</v>
      </c>
      <c r="S141" s="176">
        <f>SUM(S133:S140)</f>
        <v>37670471.995309144</v>
      </c>
      <c r="T141" s="176">
        <f>SUM(T133:T140)</f>
        <v>38268366.913835347</v>
      </c>
      <c r="U141" s="176">
        <f>SUM(U133:U140)</f>
        <v>38878219.730732083</v>
      </c>
      <c r="V141" s="176">
        <f>SUM(V133:V140)</f>
        <v>39500269.603966743</v>
      </c>
    </row>
    <row r="142" spans="1:22" x14ac:dyDescent="0.3">
      <c r="A142" s="179"/>
    </row>
    <row r="143" spans="1:22" x14ac:dyDescent="0.3">
      <c r="A143" s="179"/>
    </row>
    <row r="144" spans="1:22" x14ac:dyDescent="0.3">
      <c r="A144" s="179"/>
    </row>
    <row r="145" spans="1:22" x14ac:dyDescent="0.3">
      <c r="A145" s="179"/>
    </row>
    <row r="146" spans="1:22" x14ac:dyDescent="0.3">
      <c r="A146" s="179"/>
    </row>
    <row r="147" spans="1:22" x14ac:dyDescent="0.3">
      <c r="A147" s="179"/>
    </row>
    <row r="148" spans="1:22" x14ac:dyDescent="0.3">
      <c r="A148" s="179"/>
    </row>
    <row r="149" spans="1:22" x14ac:dyDescent="0.3">
      <c r="A149" s="179"/>
      <c r="B149" s="49" t="s">
        <v>227</v>
      </c>
      <c r="L149" s="34"/>
      <c r="M149" s="34"/>
    </row>
    <row r="150" spans="1:22" x14ac:dyDescent="0.3">
      <c r="A150" s="179"/>
      <c r="B150" s="97" t="s">
        <v>102</v>
      </c>
      <c r="C150" s="97">
        <v>2021</v>
      </c>
      <c r="D150" s="98">
        <v>2022</v>
      </c>
      <c r="E150" s="97">
        <v>2023</v>
      </c>
      <c r="F150" s="98">
        <v>2024</v>
      </c>
      <c r="G150" s="97">
        <v>2025</v>
      </c>
      <c r="H150" s="98">
        <v>2026</v>
      </c>
      <c r="I150" s="97">
        <v>2027</v>
      </c>
      <c r="J150" s="98">
        <v>2028</v>
      </c>
      <c r="K150" s="97">
        <v>2029</v>
      </c>
      <c r="L150" s="98">
        <v>2030</v>
      </c>
      <c r="M150" s="97">
        <v>2031</v>
      </c>
      <c r="N150" s="98">
        <v>2032</v>
      </c>
      <c r="O150" s="97">
        <v>2033</v>
      </c>
      <c r="P150" s="98">
        <v>2034</v>
      </c>
      <c r="Q150" s="97">
        <v>2035</v>
      </c>
      <c r="R150" s="98">
        <v>2036</v>
      </c>
      <c r="S150" s="97">
        <v>2037</v>
      </c>
      <c r="T150" s="98">
        <v>2038</v>
      </c>
      <c r="U150" s="97">
        <v>2039</v>
      </c>
      <c r="V150" s="98">
        <v>2040</v>
      </c>
    </row>
    <row r="151" spans="1:22" x14ac:dyDescent="0.3">
      <c r="A151" s="179"/>
      <c r="B151" s="47" t="s">
        <v>59</v>
      </c>
      <c r="C151" s="100">
        <f>IFERROR(DTE_demand_forecast!C220*Settings!$K$47,"-")</f>
        <v>7867231.7097327225</v>
      </c>
      <c r="D151" s="100">
        <f>IFERROR(DTE_demand_forecast!D220*Settings!$K$47,"-")</f>
        <v>8919803.5723978635</v>
      </c>
      <c r="E151" s="100">
        <f>IFERROR(DTE_demand_forecast!E220*Settings!$K$47,"-")</f>
        <v>10004564.088467684</v>
      </c>
      <c r="F151" s="100">
        <f>IFERROR(DTE_demand_forecast!F220*Settings!$K$47,"-")</f>
        <v>11156566.580898866</v>
      </c>
      <c r="G151" s="100">
        <f>IFERROR(DTE_demand_forecast!G220*Settings!$K$47,"-")</f>
        <v>12341022.468138164</v>
      </c>
      <c r="H151" s="100">
        <f>IFERROR(DTE_demand_forecast!H220*Settings!$K$47,"-")</f>
        <v>13571133.745940145</v>
      </c>
      <c r="I151" s="100">
        <f>IFERROR(DTE_demand_forecast!I220*Settings!$K$47,"-")</f>
        <v>14848252.847572412</v>
      </c>
      <c r="J151" s="100">
        <f>IFERROR(DTE_demand_forecast!J220*Settings!$K$47,"-")</f>
        <v>16173768.041477058</v>
      </c>
      <c r="K151" s="100">
        <f>IFERROR(DTE_demand_forecast!K220*Settings!$K$47,"-")</f>
        <v>17549104.323704332</v>
      </c>
      <c r="L151" s="100">
        <f>IFERROR(DTE_demand_forecast!L220*Settings!$K$47,"-")</f>
        <v>18975724.331709567</v>
      </c>
      <c r="M151" s="100">
        <f>IFERROR(DTE_demand_forecast!M220*Settings!$K$47,"-")</f>
        <v>23256207.51576072</v>
      </c>
      <c r="N151" s="100">
        <f>IFERROR(DTE_demand_forecast!N220*Settings!$K$47,"-")</f>
        <v>23586042.061611526</v>
      </c>
      <c r="O151" s="100">
        <f>IFERROR(DTE_demand_forecast!O220*Settings!$K$47,"-")</f>
        <v>23922473.298379362</v>
      </c>
      <c r="P151" s="100">
        <f>IFERROR(DTE_demand_forecast!P220*Settings!$K$47,"-")</f>
        <v>24265633.159882542</v>
      </c>
      <c r="Q151" s="100">
        <f>IFERROR(DTE_demand_forecast!Q220*Settings!$K$47,"-")</f>
        <v>24615656.218615793</v>
      </c>
      <c r="R151" s="100">
        <f>IFERROR(DTE_demand_forecast!R220*Settings!$K$47,"-")</f>
        <v>24972679.738523699</v>
      </c>
      <c r="S151" s="100">
        <f>IFERROR(DTE_demand_forecast!S220*Settings!$K$47,"-")</f>
        <v>25336843.728829775</v>
      </c>
      <c r="T151" s="100">
        <f>IFERROR(DTE_demand_forecast!T220*Settings!$K$47,"-")</f>
        <v>25708290.998941965</v>
      </c>
      <c r="U151" s="100">
        <f>IFERROR(DTE_demand_forecast!U220*Settings!$K$47,"-")</f>
        <v>26087167.214456398</v>
      </c>
      <c r="V151" s="100">
        <f>IFERROR(DTE_demand_forecast!V220*Settings!$K$47,"-")</f>
        <v>26473620.954281125</v>
      </c>
    </row>
    <row r="152" spans="1:22" x14ac:dyDescent="0.3">
      <c r="A152" s="179"/>
      <c r="B152" s="47" t="s">
        <v>57</v>
      </c>
      <c r="C152" s="100">
        <f>IFERROR(DTE_demand_forecast!C221*Settings!$K$47,"-")</f>
        <v>9929986.1943406742</v>
      </c>
      <c r="D152" s="100">
        <f>IFERROR(DTE_demand_forecast!D221*Settings!$K$47,"-")</f>
        <v>8333036.8880721759</v>
      </c>
      <c r="E152" s="100">
        <f>IFERROR(DTE_demand_forecast!E221*Settings!$K$47,"-")</f>
        <v>7524987.357454285</v>
      </c>
      <c r="F152" s="100">
        <f>IFERROR(DTE_demand_forecast!F221*Settings!$K$47,"-")</f>
        <v>6618067.4878115626</v>
      </c>
      <c r="G152" s="100">
        <f>IFERROR(DTE_demand_forecast!G221*Settings!$K$47,"-")</f>
        <v>8150809.379204154</v>
      </c>
      <c r="H152" s="100">
        <f>IFERROR(DTE_demand_forecast!H221*Settings!$K$47,"-")</f>
        <v>8416803.5360575151</v>
      </c>
      <c r="I152" s="100">
        <f>IFERROR(DTE_demand_forecast!I221*Settings!$K$47,"-")</f>
        <v>8762517.3578813393</v>
      </c>
      <c r="J152" s="100">
        <f>IFERROR(DTE_demand_forecast!J221*Settings!$K$47,"-")</f>
        <v>10165840.401744073</v>
      </c>
      <c r="K152" s="100">
        <f>IFERROR(DTE_demand_forecast!K221*Settings!$K$47,"-")</f>
        <v>11045405.861539032</v>
      </c>
      <c r="L152" s="100">
        <f>IFERROR(DTE_demand_forecast!L221*Settings!$K$47,"-")</f>
        <v>11956099.975466648</v>
      </c>
      <c r="M152" s="100">
        <f>IFERROR(DTE_demand_forecast!M221*Settings!$K$47,"-")</f>
        <v>12194603.379897965</v>
      </c>
      <c r="N152" s="100">
        <f>IFERROR(DTE_demand_forecast!N221*Settings!$K$47,"-")</f>
        <v>12437876.852417901</v>
      </c>
      <c r="O152" s="100">
        <f>IFERROR(DTE_demand_forecast!O221*Settings!$K$47,"-")</f>
        <v>12686015.794388242</v>
      </c>
      <c r="P152" s="100">
        <f>IFERROR(DTE_demand_forecast!P221*Settings!$K$47,"-")</f>
        <v>12939117.515197987</v>
      </c>
      <c r="Q152" s="100">
        <f>IFERROR(DTE_demand_forecast!Q221*Settings!$K$47,"-")</f>
        <v>13197281.27042393</v>
      </c>
      <c r="R152" s="100">
        <f>IFERROR(DTE_demand_forecast!R221*Settings!$K$47,"-")</f>
        <v>13460608.300754385</v>
      </c>
      <c r="S152" s="100">
        <f>IFERROR(DTE_demand_forecast!S221*Settings!$K$47,"-")</f>
        <v>13729201.871691456</v>
      </c>
      <c r="T152" s="100">
        <f>IFERROR(DTE_demand_forecast!T221*Settings!$K$47,"-")</f>
        <v>14003167.314047266</v>
      </c>
      <c r="U152" s="100">
        <f>IFERROR(DTE_demand_forecast!U221*Settings!$K$47,"-")</f>
        <v>14282612.065250192</v>
      </c>
      <c r="V152" s="100">
        <f>IFERROR(DTE_demand_forecast!V221*Settings!$K$47,"-")</f>
        <v>14567645.711477175</v>
      </c>
    </row>
    <row r="153" spans="1:22" x14ac:dyDescent="0.3">
      <c r="A153" s="179"/>
      <c r="B153" s="47" t="s">
        <v>56</v>
      </c>
      <c r="C153" s="100">
        <f>IFERROR(DTE_demand_forecast!C222*Settings!$K$47,"-")</f>
        <v>168850.72292628259</v>
      </c>
      <c r="D153" s="100">
        <f>IFERROR(DTE_demand_forecast!D222*Settings!$K$47,"-")</f>
        <v>188822.0393904986</v>
      </c>
      <c r="E153" s="100">
        <f>IFERROR(DTE_demand_forecast!E222*Settings!$K$47,"-")</f>
        <v>231452.93215480921</v>
      </c>
      <c r="F153" s="100">
        <f>IFERROR(DTE_demand_forecast!F222*Settings!$K$47,"-")</f>
        <v>254544.06409975557</v>
      </c>
      <c r="G153" s="100">
        <f>IFERROR(DTE_demand_forecast!G222*Settings!$K$47,"-")</f>
        <v>278500.01600537769</v>
      </c>
      <c r="H153" s="100">
        <f>IFERROR(DTE_demand_forecast!H222*Settings!$K$47,"-")</f>
        <v>303346.14421732468</v>
      </c>
      <c r="I153" s="100">
        <f>IFERROR(DTE_demand_forecast!I222*Settings!$K$47,"-")</f>
        <v>329108.47340708715</v>
      </c>
      <c r="J153" s="100">
        <f>IFERROR(DTE_demand_forecast!J222*Settings!$K$47,"-")</f>
        <v>355813.71316249296</v>
      </c>
      <c r="K153" s="100">
        <f>IFERROR(DTE_demand_forecast!K222*Settings!$K$47,"-")</f>
        <v>383489.27497449215</v>
      </c>
      <c r="L153" s="100">
        <f>IFERROR(DTE_demand_forecast!L222*Settings!$K$47,"-")</f>
        <v>412163.28962944599</v>
      </c>
      <c r="M153" s="100">
        <f>IFERROR(DTE_demand_forecast!M222*Settings!$K$47,"-")</f>
        <v>418718.76263504411</v>
      </c>
      <c r="N153" s="100">
        <f>IFERROR(DTE_demand_forecast!N222*Settings!$K$47,"-")</f>
        <v>425405.34510075406</v>
      </c>
      <c r="O153" s="100">
        <f>IFERROR(DTE_demand_forecast!O222*Settings!$K$47,"-")</f>
        <v>432225.65921577835</v>
      </c>
      <c r="P153" s="100">
        <f>IFERROR(DTE_demand_forecast!P222*Settings!$K$47,"-")</f>
        <v>439182.37961310305</v>
      </c>
      <c r="Q153" s="100">
        <f>IFERROR(DTE_demand_forecast!Q222*Settings!$K$47,"-")</f>
        <v>446278.23441837425</v>
      </c>
      <c r="R153" s="100">
        <f>IFERROR(DTE_demand_forecast!R222*Settings!$K$47,"-")</f>
        <v>453516.0063197508</v>
      </c>
      <c r="S153" s="100">
        <f>IFERROR(DTE_demand_forecast!S222*Settings!$K$47,"-")</f>
        <v>460898.53365915501</v>
      </c>
      <c r="T153" s="100">
        <f>IFERROR(DTE_demand_forecast!T222*Settings!$K$47,"-")</f>
        <v>468428.71154534729</v>
      </c>
      <c r="U153" s="100">
        <f>IFERROR(DTE_demand_forecast!U222*Settings!$K$47,"-")</f>
        <v>476109.49298926344</v>
      </c>
      <c r="V153" s="100">
        <f>IFERROR(DTE_demand_forecast!V222*Settings!$K$47,"-")</f>
        <v>483943.89006205776</v>
      </c>
    </row>
    <row r="154" spans="1:22" x14ac:dyDescent="0.3">
      <c r="A154" s="179"/>
      <c r="B154" s="47" t="s">
        <v>100</v>
      </c>
      <c r="C154" s="100">
        <f>IFERROR(DTE_demand_forecast!C223*Settings!$K$47,"-")</f>
        <v>0</v>
      </c>
      <c r="D154" s="100">
        <f>IFERROR(DTE_demand_forecast!D223*Settings!$K$47,"-")</f>
        <v>0</v>
      </c>
      <c r="E154" s="100">
        <f>IFERROR(DTE_demand_forecast!E223*Settings!$K$47,"-")</f>
        <v>0</v>
      </c>
      <c r="F154" s="100">
        <f>IFERROR(DTE_demand_forecast!F223*Settings!$K$47,"-")</f>
        <v>0</v>
      </c>
      <c r="G154" s="100">
        <f>IFERROR(DTE_demand_forecast!G223*Settings!$K$47,"-")</f>
        <v>0</v>
      </c>
      <c r="H154" s="100">
        <f>IFERROR(DTE_demand_forecast!H223*Settings!$K$47,"-")</f>
        <v>0</v>
      </c>
      <c r="I154" s="100">
        <f>IFERROR(DTE_demand_forecast!I223*Settings!$K$47,"-")</f>
        <v>0</v>
      </c>
      <c r="J154" s="100">
        <f>IFERROR(DTE_demand_forecast!J223*Settings!$K$47,"-")</f>
        <v>0</v>
      </c>
      <c r="K154" s="100">
        <f>IFERROR(DTE_demand_forecast!K223*Settings!$K$47,"-")</f>
        <v>0</v>
      </c>
      <c r="L154" s="100">
        <f>IFERROR(DTE_demand_forecast!L223*Settings!$K$47,"-")</f>
        <v>0</v>
      </c>
      <c r="M154" s="100">
        <f>IFERROR(DTE_demand_forecast!M223*Settings!$K$47,"-")</f>
        <v>0</v>
      </c>
      <c r="N154" s="100">
        <f>IFERROR(DTE_demand_forecast!N223*Settings!$K$47,"-")</f>
        <v>0</v>
      </c>
      <c r="O154" s="100">
        <f>IFERROR(DTE_demand_forecast!O223*Settings!$K$47,"-")</f>
        <v>0</v>
      </c>
      <c r="P154" s="100">
        <f>IFERROR(DTE_demand_forecast!P223*Settings!$K$47,"-")</f>
        <v>0</v>
      </c>
      <c r="Q154" s="100">
        <f>IFERROR(DTE_demand_forecast!Q223*Settings!$K$47,"-")</f>
        <v>0</v>
      </c>
      <c r="R154" s="100">
        <f>IFERROR(DTE_demand_forecast!R223*Settings!$K$47,"-")</f>
        <v>0</v>
      </c>
      <c r="S154" s="100">
        <f>IFERROR(DTE_demand_forecast!S223*Settings!$K$47,"-")</f>
        <v>0</v>
      </c>
      <c r="T154" s="100">
        <f>IFERROR(DTE_demand_forecast!T223*Settings!$K$47,"-")</f>
        <v>0</v>
      </c>
      <c r="U154" s="100">
        <f>IFERROR(DTE_demand_forecast!U223*Settings!$K$47,"-")</f>
        <v>0</v>
      </c>
      <c r="V154" s="100">
        <f>IFERROR(DTE_demand_forecast!V223*Settings!$K$47,"-")</f>
        <v>0</v>
      </c>
    </row>
    <row r="155" spans="1:22" x14ac:dyDescent="0.3">
      <c r="A155" s="179"/>
      <c r="B155" s="47" t="s">
        <v>60</v>
      </c>
      <c r="C155" s="100">
        <f>IFERROR(DTE_demand_forecast!C224*Settings!$K$47,"-")</f>
        <v>0</v>
      </c>
      <c r="D155" s="100">
        <f>IFERROR(DTE_demand_forecast!D224*Settings!$K$47,"-")</f>
        <v>0</v>
      </c>
      <c r="E155" s="100">
        <f>IFERROR(DTE_demand_forecast!E224*Settings!$K$47,"-")</f>
        <v>0</v>
      </c>
      <c r="F155" s="100">
        <f>IFERROR(DTE_demand_forecast!F224*Settings!$K$47,"-")</f>
        <v>0</v>
      </c>
      <c r="G155" s="100">
        <f>IFERROR(DTE_demand_forecast!G224*Settings!$K$47,"-")</f>
        <v>0</v>
      </c>
      <c r="H155" s="100">
        <f>IFERROR(DTE_demand_forecast!H224*Settings!$K$47,"-")</f>
        <v>0</v>
      </c>
      <c r="I155" s="100">
        <f>IFERROR(DTE_demand_forecast!I224*Settings!$K$47,"-")</f>
        <v>0</v>
      </c>
      <c r="J155" s="100">
        <f>IFERROR(DTE_demand_forecast!J224*Settings!$K$47,"-")</f>
        <v>0</v>
      </c>
      <c r="K155" s="100">
        <f>IFERROR(DTE_demand_forecast!K224*Settings!$K$47,"-")</f>
        <v>0</v>
      </c>
      <c r="L155" s="100">
        <f>IFERROR(DTE_demand_forecast!L224*Settings!$K$47,"-")</f>
        <v>0</v>
      </c>
      <c r="M155" s="100">
        <f>IFERROR(DTE_demand_forecast!M224*Settings!$K$47,"-")</f>
        <v>0</v>
      </c>
      <c r="N155" s="100">
        <f>IFERROR(DTE_demand_forecast!N224*Settings!$K$47,"-")</f>
        <v>0</v>
      </c>
      <c r="O155" s="100">
        <f>IFERROR(DTE_demand_forecast!O224*Settings!$K$47,"-")</f>
        <v>0</v>
      </c>
      <c r="P155" s="100">
        <f>IFERROR(DTE_demand_forecast!P224*Settings!$K$47,"-")</f>
        <v>0</v>
      </c>
      <c r="Q155" s="100">
        <f>IFERROR(DTE_demand_forecast!Q224*Settings!$K$47,"-")</f>
        <v>0</v>
      </c>
      <c r="R155" s="100">
        <f>IFERROR(DTE_demand_forecast!R224*Settings!$K$47,"-")</f>
        <v>0</v>
      </c>
      <c r="S155" s="100">
        <f>IFERROR(DTE_demand_forecast!S224*Settings!$K$47,"-")</f>
        <v>0</v>
      </c>
      <c r="T155" s="100">
        <f>IFERROR(DTE_demand_forecast!T224*Settings!$K$47,"-")</f>
        <v>0</v>
      </c>
      <c r="U155" s="100">
        <f>IFERROR(DTE_demand_forecast!U224*Settings!$K$47,"-")</f>
        <v>0</v>
      </c>
      <c r="V155" s="100">
        <f>IFERROR(DTE_demand_forecast!V224*Settings!$K$47,"-")</f>
        <v>0</v>
      </c>
    </row>
    <row r="156" spans="1:22" x14ac:dyDescent="0.3">
      <c r="A156" s="179"/>
      <c r="B156" s="47" t="s">
        <v>101</v>
      </c>
      <c r="C156" s="100">
        <f>IFERROR(DTE_demand_forecast!C225*Settings!$K$47,"-")</f>
        <v>0</v>
      </c>
      <c r="D156" s="100">
        <f>IFERROR(DTE_demand_forecast!D225*Settings!$K$47,"-")</f>
        <v>0</v>
      </c>
      <c r="E156" s="100">
        <f>IFERROR(DTE_demand_forecast!E225*Settings!$K$47,"-")</f>
        <v>0</v>
      </c>
      <c r="F156" s="100">
        <f>IFERROR(DTE_demand_forecast!F225*Settings!$K$47,"-")</f>
        <v>0</v>
      </c>
      <c r="G156" s="100">
        <f>IFERROR(DTE_demand_forecast!G225*Settings!$K$47,"-")</f>
        <v>0</v>
      </c>
      <c r="H156" s="100">
        <f>IFERROR(DTE_demand_forecast!H225*Settings!$K$47,"-")</f>
        <v>0</v>
      </c>
      <c r="I156" s="100">
        <f>IFERROR(DTE_demand_forecast!I225*Settings!$K$47,"-")</f>
        <v>0</v>
      </c>
      <c r="J156" s="100">
        <f>IFERROR(DTE_demand_forecast!J225*Settings!$K$47,"-")</f>
        <v>0</v>
      </c>
      <c r="K156" s="100">
        <f>IFERROR(DTE_demand_forecast!K225*Settings!$K$47,"-")</f>
        <v>0</v>
      </c>
      <c r="L156" s="100">
        <f>IFERROR(DTE_demand_forecast!L225*Settings!$K$47,"-")</f>
        <v>0</v>
      </c>
      <c r="M156" s="100">
        <f>IFERROR(DTE_demand_forecast!M225*Settings!$K$47,"-")</f>
        <v>0</v>
      </c>
      <c r="N156" s="100">
        <f>IFERROR(DTE_demand_forecast!N225*Settings!$K$47,"-")</f>
        <v>0</v>
      </c>
      <c r="O156" s="100">
        <f>IFERROR(DTE_demand_forecast!O225*Settings!$K$47,"-")</f>
        <v>0</v>
      </c>
      <c r="P156" s="100">
        <f>IFERROR(DTE_demand_forecast!P225*Settings!$K$47,"-")</f>
        <v>0</v>
      </c>
      <c r="Q156" s="100">
        <f>IFERROR(DTE_demand_forecast!Q225*Settings!$K$47,"-")</f>
        <v>0</v>
      </c>
      <c r="R156" s="100">
        <f>IFERROR(DTE_demand_forecast!R225*Settings!$K$47,"-")</f>
        <v>0</v>
      </c>
      <c r="S156" s="100">
        <f>IFERROR(DTE_demand_forecast!S225*Settings!$K$47,"-")</f>
        <v>0</v>
      </c>
      <c r="T156" s="100">
        <f>IFERROR(DTE_demand_forecast!T225*Settings!$K$47,"-")</f>
        <v>0</v>
      </c>
      <c r="U156" s="100">
        <f>IFERROR(DTE_demand_forecast!U225*Settings!$K$47,"-")</f>
        <v>0</v>
      </c>
      <c r="V156" s="100">
        <f>IFERROR(DTE_demand_forecast!V225*Settings!$K$47,"-")</f>
        <v>0</v>
      </c>
    </row>
    <row r="157" spans="1:22" x14ac:dyDescent="0.3">
      <c r="A157" s="179"/>
      <c r="B157" s="47" t="s">
        <v>58</v>
      </c>
      <c r="C157" s="100">
        <f>IFERROR(DTE_demand_forecast!C226*Settings!$K$47,"-")</f>
        <v>18070.534925929755</v>
      </c>
      <c r="D157" s="100">
        <f>IFERROR(DTE_demand_forecast!D226*Settings!$K$47,"-")</f>
        <v>22153.080672738233</v>
      </c>
      <c r="E157" s="100">
        <f>IFERROR(DTE_demand_forecast!E226*Settings!$K$47,"-")</f>
        <v>25488.053708902364</v>
      </c>
      <c r="F157" s="100">
        <f>IFERROR(DTE_demand_forecast!F226*Settings!$K$47,"-")</f>
        <v>29650.343930373649</v>
      </c>
      <c r="G157" s="100">
        <f>IFERROR(DTE_demand_forecast!G226*Settings!$K$47,"-")</f>
        <v>41143.184031432465</v>
      </c>
      <c r="H157" s="100">
        <f>IFERROR(DTE_demand_forecast!H226*Settings!$K$47,"-")</f>
        <v>45605.492605060957</v>
      </c>
      <c r="I157" s="100">
        <f>IFERROR(DTE_demand_forecast!I226*Settings!$K$47,"-")</f>
        <v>50235.522431974096</v>
      </c>
      <c r="J157" s="100">
        <f>IFERROR(DTE_demand_forecast!J226*Settings!$K$47,"-")</f>
        <v>55038.197438873816</v>
      </c>
      <c r="K157" s="100">
        <f>IFERROR(DTE_demand_forecast!K226*Settings!$K$47,"-")</f>
        <v>60018.571421028835</v>
      </c>
      <c r="L157" s="100">
        <f>IFERROR(DTE_demand_forecast!L226*Settings!$K$47,"-")</f>
        <v>65181.8312674466</v>
      </c>
      <c r="M157" s="100">
        <f>IFERROR(DTE_demand_forecast!M226*Settings!$K$47,"-")</f>
        <v>66201.158695191014</v>
      </c>
      <c r="N157" s="100">
        <f>IFERROR(DTE_demand_forecast!N226*Settings!$K$47,"-")</f>
        <v>67240.872671490302</v>
      </c>
      <c r="O157" s="100">
        <f>IFERROR(DTE_demand_forecast!O226*Settings!$K$47,"-")</f>
        <v>68301.380927315593</v>
      </c>
      <c r="P157" s="100">
        <f>IFERROR(DTE_demand_forecast!P226*Settings!$K$47,"-")</f>
        <v>69383.099348257383</v>
      </c>
      <c r="Q157" s="100">
        <f>IFERROR(DTE_demand_forecast!Q226*Settings!$K$47,"-")</f>
        <v>70486.452137618006</v>
      </c>
      <c r="R157" s="100">
        <f>IFERROR(DTE_demand_forecast!R226*Settings!$K$47,"-")</f>
        <v>71611.871982765835</v>
      </c>
      <c r="S157" s="100">
        <f>IFERROR(DTE_demand_forecast!S226*Settings!$K$47,"-")</f>
        <v>72759.80022481663</v>
      </c>
      <c r="T157" s="100">
        <f>IFERROR(DTE_demand_forecast!T226*Settings!$K$47,"-")</f>
        <v>73930.687031708454</v>
      </c>
      <c r="U157" s="100">
        <f>IFERROR(DTE_demand_forecast!U226*Settings!$K$47,"-")</f>
        <v>75124.991574738087</v>
      </c>
      <c r="V157" s="100">
        <f>IFERROR(DTE_demand_forecast!V226*Settings!$K$47,"-")</f>
        <v>76343.182208628336</v>
      </c>
    </row>
    <row r="158" spans="1:22" x14ac:dyDescent="0.3">
      <c r="A158" s="179"/>
      <c r="B158" s="47" t="s">
        <v>61</v>
      </c>
      <c r="C158" s="100">
        <f>IFERROR(DTE_demand_forecast!C227*Settings!$K$47,"-")</f>
        <v>1159891.9576131271</v>
      </c>
      <c r="D158" s="100">
        <f>IFERROR(DTE_demand_forecast!D227*Settings!$K$47,"-")</f>
        <v>2334957.2035170216</v>
      </c>
      <c r="E158" s="100">
        <f>IFERROR(DTE_demand_forecast!E227*Settings!$K$47,"-")</f>
        <v>2638305.6842450956</v>
      </c>
      <c r="F158" s="100">
        <f>IFERROR(DTE_demand_forecast!F227*Settings!$K$47,"-")</f>
        <v>2953941.6625379571</v>
      </c>
      <c r="G158" s="100">
        <f>IFERROR(DTE_demand_forecast!G227*Settings!$K$47,"-")</f>
        <v>3281429.2282179971</v>
      </c>
      <c r="H158" s="100">
        <f>IFERROR(DTE_demand_forecast!H227*Settings!$K$47,"-")</f>
        <v>4580935.6802688492</v>
      </c>
      <c r="I158" s="100">
        <f>IFERROR(DTE_demand_forecast!I227*Settings!$K$47,"-")</f>
        <v>4952805.1093928562</v>
      </c>
      <c r="J158" s="100">
        <f>IFERROR(DTE_demand_forecast!J227*Settings!$K$47,"-")</f>
        <v>5338069.6258067749</v>
      </c>
      <c r="K158" s="100">
        <f>IFERROR(DTE_demand_forecast!K227*Settings!$K$47,"-")</f>
        <v>5737116.2852305509</v>
      </c>
      <c r="L158" s="100">
        <f>IFERROR(DTE_demand_forecast!L227*Settings!$K$47,"-")</f>
        <v>6150342.267578016</v>
      </c>
      <c r="M158" s="100">
        <f>IFERROR(DTE_demand_forecast!M227*Settings!$K$47,"-")</f>
        <v>6255714.893076621</v>
      </c>
      <c r="N158" s="100">
        <f>IFERROR(DTE_demand_forecast!N227*Settings!$K$47,"-")</f>
        <v>6363194.9710851954</v>
      </c>
      <c r="O158" s="100">
        <f>IFERROR(DTE_demand_forecast!O227*Settings!$K$47,"-")</f>
        <v>6472824.6506539434</v>
      </c>
      <c r="P158" s="100">
        <f>IFERROR(DTE_demand_forecast!P227*Settings!$K$47,"-")</f>
        <v>6584646.9238140648</v>
      </c>
      <c r="Q158" s="100">
        <f>IFERROR(DTE_demand_forecast!Q227*Settings!$K$47,"-")</f>
        <v>6698705.6424373901</v>
      </c>
      <c r="R158" s="100">
        <f>IFERROR(DTE_demand_forecast!R227*Settings!$K$47,"-")</f>
        <v>6815045.5354331788</v>
      </c>
      <c r="S158" s="100">
        <f>IFERROR(DTE_demand_forecast!S227*Settings!$K$47,"-")</f>
        <v>6933712.2262888867</v>
      </c>
      <c r="T158" s="100">
        <f>IFERROR(DTE_demand_forecast!T227*Settings!$K$47,"-")</f>
        <v>7054752.2509617079</v>
      </c>
      <c r="U158" s="100">
        <f>IFERROR(DTE_demand_forecast!U227*Settings!$K$47,"-")</f>
        <v>7178213.0761279846</v>
      </c>
      <c r="V158" s="100">
        <f>IFERROR(DTE_demand_forecast!V227*Settings!$K$47,"-")</f>
        <v>7304143.1177975871</v>
      </c>
    </row>
    <row r="159" spans="1:22" x14ac:dyDescent="0.3">
      <c r="A159" s="179"/>
      <c r="B159" s="47" t="s">
        <v>104</v>
      </c>
      <c r="C159" s="176">
        <f>SUM(C151:C158)</f>
        <v>19144031.119538732</v>
      </c>
      <c r="D159" s="176">
        <f>SUM(D151:D158)</f>
        <v>19798772.784050293</v>
      </c>
      <c r="E159" s="176">
        <f>SUM(E151:E158)</f>
        <v>20424798.116030775</v>
      </c>
      <c r="F159" s="176">
        <f>SUM(F151:F158)</f>
        <v>21012770.139278516</v>
      </c>
      <c r="G159" s="176">
        <f>SUM(G151:G158)</f>
        <v>24092904.275597125</v>
      </c>
      <c r="H159" s="176">
        <f>SUM(H151:H158)</f>
        <v>26917824.599088892</v>
      </c>
      <c r="I159" s="176">
        <f>SUM(I151:I158)</f>
        <v>28942919.310685668</v>
      </c>
      <c r="J159" s="176">
        <f>SUM(J151:J158)</f>
        <v>32088529.979629271</v>
      </c>
      <c r="K159" s="176">
        <f>SUM(K151:K158)</f>
        <v>34775134.316869438</v>
      </c>
      <c r="L159" s="176">
        <f>SUM(L151:L158)</f>
        <v>37559511.695651121</v>
      </c>
      <c r="M159" s="176">
        <f>SUM(M151:M158)</f>
        <v>42191445.710065544</v>
      </c>
      <c r="N159" s="176">
        <f>SUM(N151:N158)</f>
        <v>42879760.102886871</v>
      </c>
      <c r="O159" s="176">
        <f>SUM(O151:O158)</f>
        <v>43581840.783564642</v>
      </c>
      <c r="P159" s="176">
        <f>SUM(P151:P158)</f>
        <v>44297963.077855952</v>
      </c>
      <c r="Q159" s="176">
        <f>SUM(Q151:Q158)</f>
        <v>45028407.818033107</v>
      </c>
      <c r="R159" s="176">
        <f>SUM(R151:R158)</f>
        <v>45773461.453013785</v>
      </c>
      <c r="S159" s="176">
        <f>SUM(S151:S158)</f>
        <v>46533416.160694085</v>
      </c>
      <c r="T159" s="176">
        <f>SUM(T151:T158)</f>
        <v>47308569.962527998</v>
      </c>
      <c r="U159" s="176">
        <f>SUM(U151:U158)</f>
        <v>48099226.840398572</v>
      </c>
      <c r="V159" s="176">
        <f>SUM(V151:V158)</f>
        <v>48905696.855826572</v>
      </c>
    </row>
    <row r="160" spans="1:22" x14ac:dyDescent="0.3">
      <c r="A160" s="179"/>
    </row>
    <row r="161" spans="1:22" x14ac:dyDescent="0.3">
      <c r="A161" s="179"/>
    </row>
    <row r="162" spans="1:22" x14ac:dyDescent="0.3">
      <c r="A162" s="179"/>
    </row>
    <row r="163" spans="1:22" x14ac:dyDescent="0.3">
      <c r="A163" s="179"/>
    </row>
    <row r="164" spans="1:22" x14ac:dyDescent="0.3">
      <c r="A164" s="179"/>
    </row>
    <row r="165" spans="1:22" x14ac:dyDescent="0.3">
      <c r="A165" s="179"/>
    </row>
    <row r="166" spans="1:22" x14ac:dyDescent="0.3">
      <c r="A166" s="179"/>
    </row>
    <row r="167" spans="1:22" x14ac:dyDescent="0.3">
      <c r="A167" s="179"/>
    </row>
    <row r="168" spans="1:22" x14ac:dyDescent="0.3">
      <c r="A168" s="179"/>
    </row>
    <row r="169" spans="1:22" x14ac:dyDescent="0.3">
      <c r="A169" s="180">
        <v>0.8</v>
      </c>
      <c r="B169" s="49" t="s">
        <v>225</v>
      </c>
      <c r="L169" s="34"/>
      <c r="M169" s="34"/>
    </row>
    <row r="170" spans="1:22" x14ac:dyDescent="0.3">
      <c r="A170" s="179"/>
      <c r="B170" s="97" t="s">
        <v>102</v>
      </c>
      <c r="C170" s="97">
        <v>2021</v>
      </c>
      <c r="D170" s="98">
        <v>2022</v>
      </c>
      <c r="E170" s="97">
        <v>2023</v>
      </c>
      <c r="F170" s="98">
        <v>2024</v>
      </c>
      <c r="G170" s="97">
        <v>2025</v>
      </c>
      <c r="H170" s="98">
        <v>2026</v>
      </c>
      <c r="I170" s="97">
        <v>2027</v>
      </c>
      <c r="J170" s="98">
        <v>2028</v>
      </c>
      <c r="K170" s="97">
        <v>2029</v>
      </c>
      <c r="L170" s="98">
        <v>2030</v>
      </c>
      <c r="M170" s="97">
        <v>2031</v>
      </c>
      <c r="N170" s="98">
        <v>2032</v>
      </c>
      <c r="O170" s="97">
        <v>2033</v>
      </c>
      <c r="P170" s="98">
        <v>2034</v>
      </c>
      <c r="Q170" s="97">
        <v>2035</v>
      </c>
      <c r="R170" s="98">
        <v>2036</v>
      </c>
      <c r="S170" s="97">
        <v>2037</v>
      </c>
      <c r="T170" s="98">
        <v>2038</v>
      </c>
      <c r="U170" s="97">
        <v>2039</v>
      </c>
      <c r="V170" s="98">
        <v>2040</v>
      </c>
    </row>
    <row r="171" spans="1:22" x14ac:dyDescent="0.3">
      <c r="A171" s="179"/>
      <c r="B171" s="47" t="s">
        <v>59</v>
      </c>
      <c r="C171" s="100">
        <f>IFERROR(DTE_demand_forecast!C62*Settings!$K$49,"-")</f>
        <v>7899380.6420589751</v>
      </c>
      <c r="D171" s="100">
        <f>IFERROR(DTE_demand_forecast!D62*Settings!$K$49,"-")</f>
        <v>8094218.7549113091</v>
      </c>
      <c r="E171" s="100">
        <f>IFERROR(DTE_demand_forecast!E62*Settings!$K$49,"-")</f>
        <v>8286077.3955506254</v>
      </c>
      <c r="F171" s="100">
        <f>IFERROR(DTE_demand_forecast!F62*Settings!$K$49,"-")</f>
        <v>8513219.6061045174</v>
      </c>
      <c r="G171" s="100">
        <f>IFERROR(DTE_demand_forecast!G62*Settings!$K$49,"-")</f>
        <v>8735305.0849618856</v>
      </c>
      <c r="H171" s="100">
        <f>IFERROR(DTE_demand_forecast!H62*Settings!$K$49,"-")</f>
        <v>8965950.9495497569</v>
      </c>
      <c r="I171" s="100">
        <f>IFERROR(DTE_demand_forecast!I62*Settings!$K$49,"-")</f>
        <v>9205410.7811058071</v>
      </c>
      <c r="J171" s="100">
        <f>IFERROR(DTE_demand_forecast!J62*Settings!$K$49,"-")</f>
        <v>9453944.8799629286</v>
      </c>
      <c r="K171" s="100">
        <f>IFERROR(DTE_demand_forecast!K62*Settings!$K$49,"-")</f>
        <v>9711820.4328805432</v>
      </c>
      <c r="L171" s="100">
        <f>IFERROR(DTE_demand_forecast!L62*Settings!$K$49,"-")</f>
        <v>9979311.6843815241</v>
      </c>
      <c r="M171" s="100">
        <f>IFERROR(DTE_demand_forecast!M62*Settings!$K$49,"-")</f>
        <v>14567487.702663234</v>
      </c>
      <c r="N171" s="100">
        <f>IFERROR(DTE_demand_forecast!N62*Settings!$K$49,"-")</f>
        <v>14706636.651694044</v>
      </c>
      <c r="O171" s="100">
        <f>IFERROR(DTE_demand_forecast!O62*Settings!$K$49,"-")</f>
        <v>14848568.579705471</v>
      </c>
      <c r="P171" s="100">
        <f>IFERROR(DTE_demand_forecast!P62*Settings!$K$49,"-")</f>
        <v>14993339.146277126</v>
      </c>
      <c r="Q171" s="100">
        <f>IFERROR(DTE_demand_forecast!Q62*Settings!$K$49,"-")</f>
        <v>15141005.124180218</v>
      </c>
      <c r="R171" s="100">
        <f>IFERROR(DTE_demand_forecast!R62*Settings!$K$49,"-")</f>
        <v>15291624.421641365</v>
      </c>
      <c r="S171" s="100">
        <f>IFERROR(DTE_demand_forecast!S62*Settings!$K$49,"-")</f>
        <v>15445256.105051741</v>
      </c>
      <c r="T171" s="100">
        <f>IFERROR(DTE_demand_forecast!T62*Settings!$K$49,"-")</f>
        <v>15601960.422130322</v>
      </c>
      <c r="U171" s="100">
        <f>IFERROR(DTE_demand_forecast!U62*Settings!$K$49,"-")</f>
        <v>15761798.825550472</v>
      </c>
      <c r="V171" s="100">
        <f>IFERROR(DTE_demand_forecast!V62*Settings!$K$49,"-")</f>
        <v>15924833.997039029</v>
      </c>
    </row>
    <row r="172" spans="1:22" x14ac:dyDescent="0.3">
      <c r="A172" s="179"/>
      <c r="B172" s="47" t="s">
        <v>57</v>
      </c>
      <c r="C172" s="100">
        <f>IFERROR(DTE_demand_forecast!C63*Settings!$K$49,"-")</f>
        <v>10701837.797433203</v>
      </c>
      <c r="D172" s="100">
        <f>IFERROR(DTE_demand_forecast!D63*Settings!$K$49,"-")</f>
        <v>8465093.9560534526</v>
      </c>
      <c r="E172" s="100">
        <f>IFERROR(DTE_demand_forecast!E63*Settings!$K$49,"-")</f>
        <v>7260182.689101683</v>
      </c>
      <c r="F172" s="100">
        <f>IFERROR(DTE_demand_forecast!F63*Settings!$K$49,"-")</f>
        <v>5438949.3141028751</v>
      </c>
      <c r="G172" s="100">
        <f>IFERROR(DTE_demand_forecast!G63*Settings!$K$49,"-")</f>
        <v>6611530.3742561312</v>
      </c>
      <c r="H172" s="100">
        <f>IFERROR(DTE_demand_forecast!H63*Settings!$K$49,"-")</f>
        <v>6337752.6409900868</v>
      </c>
      <c r="I172" s="100">
        <f>IFERROR(DTE_demand_forecast!I63*Settings!$K$49,"-")</f>
        <v>6131761.9364977134</v>
      </c>
      <c r="J172" s="100">
        <f>IFERROR(DTE_demand_forecast!J63*Settings!$K$49,"-")</f>
        <v>7093037.3171721781</v>
      </c>
      <c r="K172" s="100">
        <f>IFERROR(DTE_demand_forecast!K63*Settings!$K$49,"-")</f>
        <v>7441877.3220599918</v>
      </c>
      <c r="L172" s="100">
        <f>IFERROR(DTE_demand_forecast!L63*Settings!$K$49,"-")</f>
        <v>7801847.630605706</v>
      </c>
      <c r="M172" s="100">
        <f>IFERROR(DTE_demand_forecast!M63*Settings!$K$49,"-")</f>
        <v>7957188.663755049</v>
      </c>
      <c r="N172" s="100">
        <f>IFERROR(DTE_demand_forecast!N63*Settings!$K$49,"-")</f>
        <v>8115636.5175673757</v>
      </c>
      <c r="O172" s="100">
        <f>IFERROR(DTE_demand_forecast!O63*Settings!$K$49,"-")</f>
        <v>8277253.3284559539</v>
      </c>
      <c r="P172" s="100">
        <f>IFERROR(DTE_demand_forecast!P63*Settings!$K$49,"-")</f>
        <v>8442102.4755623005</v>
      </c>
      <c r="Q172" s="100">
        <f>IFERROR(DTE_demand_forecast!Q63*Settings!$K$49,"-")</f>
        <v>8610248.6056107767</v>
      </c>
      <c r="R172" s="100">
        <f>IFERROR(DTE_demand_forecast!R63*Settings!$K$49,"-")</f>
        <v>8781757.6582602188</v>
      </c>
      <c r="S172" s="100">
        <f>IFERROR(DTE_demand_forecast!S63*Settings!$K$49,"-")</f>
        <v>8956696.8919626512</v>
      </c>
      <c r="T172" s="100">
        <f>IFERROR(DTE_demand_forecast!T63*Settings!$K$49,"-")</f>
        <v>9135134.9103391338</v>
      </c>
      <c r="U172" s="100">
        <f>IFERROR(DTE_demand_forecast!U63*Settings!$K$49,"-")</f>
        <v>9317141.6890831441</v>
      </c>
      <c r="V172" s="100">
        <f>IFERROR(DTE_demand_forecast!V63*Settings!$K$49,"-")</f>
        <v>9502788.6034020353</v>
      </c>
    </row>
    <row r="173" spans="1:22" x14ac:dyDescent="0.3">
      <c r="A173" s="179"/>
      <c r="B173" s="47" t="s">
        <v>56</v>
      </c>
      <c r="C173" s="100">
        <f>IFERROR(DTE_demand_forecast!C64*Settings!$K$49,"-")</f>
        <v>173342.85304512677</v>
      </c>
      <c r="D173" s="100">
        <f>IFERROR(DTE_demand_forecast!D64*Settings!$K$49,"-")</f>
        <v>178531.80541055094</v>
      </c>
      <c r="E173" s="100">
        <f>IFERROR(DTE_demand_forecast!E64*Settings!$K$49,"-")</f>
        <v>208528.27565140763</v>
      </c>
      <c r="F173" s="100">
        <f>IFERROR(DTE_demand_forecast!F64*Settings!$K$49,"-")</f>
        <v>215837.54080128134</v>
      </c>
      <c r="G173" s="100">
        <f>IFERROR(DTE_demand_forecast!G64*Settings!$K$49,"-")</f>
        <v>223393.74058459673</v>
      </c>
      <c r="H173" s="100">
        <f>IFERROR(DTE_demand_forecast!H64*Settings!$K$49,"-")</f>
        <v>231203.82868063156</v>
      </c>
      <c r="I173" s="100">
        <f>IFERROR(DTE_demand_forecast!I64*Settings!$K$49,"-")</f>
        <v>239274.9381419812</v>
      </c>
      <c r="J173" s="100">
        <f>IFERROR(DTE_demand_forecast!J64*Settings!$K$49,"-")</f>
        <v>247614.38578801978</v>
      </c>
      <c r="K173" s="100">
        <f>IFERROR(DTE_demand_forecast!K64*Settings!$K$49,"-")</f>
        <v>256229.67670235052</v>
      </c>
      <c r="L173" s="100">
        <f>IFERROR(DTE_demand_forecast!L64*Settings!$K$49,"-")</f>
        <v>265128.50883664656</v>
      </c>
      <c r="M173" s="100">
        <f>IFERROR(DTE_demand_forecast!M64*Settings!$K$49,"-")</f>
        <v>268532.31212801475</v>
      </c>
      <c r="N173" s="100">
        <f>IFERROR(DTE_demand_forecast!N64*Settings!$K$49,"-")</f>
        <v>272004.19148521032</v>
      </c>
      <c r="O173" s="100">
        <f>IFERROR(DTE_demand_forecast!O64*Settings!$K$49,"-")</f>
        <v>275545.50842954987</v>
      </c>
      <c r="P173" s="100">
        <f>IFERROR(DTE_demand_forecast!P64*Settings!$K$49,"-")</f>
        <v>279157.65171277616</v>
      </c>
      <c r="Q173" s="100">
        <f>IFERROR(DTE_demand_forecast!Q64*Settings!$K$49,"-")</f>
        <v>282842.03786166699</v>
      </c>
      <c r="R173" s="100">
        <f>IFERROR(DTE_demand_forecast!R64*Settings!$K$49,"-")</f>
        <v>286600.1117335356</v>
      </c>
      <c r="S173" s="100">
        <f>IFERROR(DTE_demand_forecast!S64*Settings!$K$49,"-")</f>
        <v>290433.34708284168</v>
      </c>
      <c r="T173" s="100">
        <f>IFERROR(DTE_demand_forecast!T64*Settings!$K$49,"-")</f>
        <v>294343.2471391338</v>
      </c>
      <c r="U173" s="100">
        <f>IFERROR(DTE_demand_forecast!U64*Settings!$K$49,"-")</f>
        <v>298331.3451965517</v>
      </c>
      <c r="V173" s="100">
        <f>IFERROR(DTE_demand_forecast!V64*Settings!$K$49,"-")</f>
        <v>302399.20521511807</v>
      </c>
    </row>
    <row r="174" spans="1:22" x14ac:dyDescent="0.3">
      <c r="A174" s="179"/>
      <c r="B174" s="47" t="s">
        <v>100</v>
      </c>
      <c r="C174" s="100">
        <f>IFERROR(DTE_demand_forecast!C65*Settings!$K$49,"-")</f>
        <v>0</v>
      </c>
      <c r="D174" s="100">
        <f>IFERROR(DTE_demand_forecast!D65*Settings!$K$49,"-")</f>
        <v>0</v>
      </c>
      <c r="E174" s="100">
        <f>IFERROR(DTE_demand_forecast!E65*Settings!$K$49,"-")</f>
        <v>0</v>
      </c>
      <c r="F174" s="100">
        <f>IFERROR(DTE_demand_forecast!F65*Settings!$K$49,"-")</f>
        <v>0</v>
      </c>
      <c r="G174" s="100">
        <f>IFERROR(DTE_demand_forecast!G65*Settings!$K$49,"-")</f>
        <v>0</v>
      </c>
      <c r="H174" s="100">
        <f>IFERROR(DTE_demand_forecast!H65*Settings!$K$49,"-")</f>
        <v>0</v>
      </c>
      <c r="I174" s="100">
        <f>IFERROR(DTE_demand_forecast!I65*Settings!$K$49,"-")</f>
        <v>0</v>
      </c>
      <c r="J174" s="100">
        <f>IFERROR(DTE_demand_forecast!J65*Settings!$K$49,"-")</f>
        <v>0</v>
      </c>
      <c r="K174" s="100">
        <f>IFERROR(DTE_demand_forecast!K65*Settings!$K$49,"-")</f>
        <v>0</v>
      </c>
      <c r="L174" s="100">
        <f>IFERROR(DTE_demand_forecast!L65*Settings!$K$49,"-")</f>
        <v>0</v>
      </c>
      <c r="M174" s="100">
        <f>IFERROR(DTE_demand_forecast!M65*Settings!$K$49,"-")</f>
        <v>0</v>
      </c>
      <c r="N174" s="100">
        <f>IFERROR(DTE_demand_forecast!N65*Settings!$K$49,"-")</f>
        <v>0</v>
      </c>
      <c r="O174" s="100">
        <f>IFERROR(DTE_demand_forecast!O65*Settings!$K$49,"-")</f>
        <v>0</v>
      </c>
      <c r="P174" s="100">
        <f>IFERROR(DTE_demand_forecast!P65*Settings!$K$49,"-")</f>
        <v>0</v>
      </c>
      <c r="Q174" s="100">
        <f>IFERROR(DTE_demand_forecast!Q65*Settings!$K$49,"-")</f>
        <v>0</v>
      </c>
      <c r="R174" s="100">
        <f>IFERROR(DTE_demand_forecast!R65*Settings!$K$49,"-")</f>
        <v>0</v>
      </c>
      <c r="S174" s="100">
        <f>IFERROR(DTE_demand_forecast!S65*Settings!$K$49,"-")</f>
        <v>0</v>
      </c>
      <c r="T174" s="100">
        <f>IFERROR(DTE_demand_forecast!T65*Settings!$K$49,"-")</f>
        <v>0</v>
      </c>
      <c r="U174" s="100">
        <f>IFERROR(DTE_demand_forecast!U65*Settings!$K$49,"-")</f>
        <v>0</v>
      </c>
      <c r="V174" s="100">
        <f>IFERROR(DTE_demand_forecast!V65*Settings!$K$49,"-")</f>
        <v>0</v>
      </c>
    </row>
    <row r="175" spans="1:22" x14ac:dyDescent="0.3">
      <c r="A175" s="179"/>
      <c r="B175" s="47" t="s">
        <v>60</v>
      </c>
      <c r="C175" s="100">
        <f>IFERROR(DTE_demand_forecast!C66*Settings!$K$49,"-")</f>
        <v>0</v>
      </c>
      <c r="D175" s="100">
        <f>IFERROR(DTE_demand_forecast!D66*Settings!$K$49,"-")</f>
        <v>0</v>
      </c>
      <c r="E175" s="100">
        <f>IFERROR(DTE_demand_forecast!E66*Settings!$K$49,"-")</f>
        <v>0</v>
      </c>
      <c r="F175" s="100">
        <f>IFERROR(DTE_demand_forecast!F66*Settings!$K$49,"-")</f>
        <v>0</v>
      </c>
      <c r="G175" s="100">
        <f>IFERROR(DTE_demand_forecast!G66*Settings!$K$49,"-")</f>
        <v>0</v>
      </c>
      <c r="H175" s="100">
        <f>IFERROR(DTE_demand_forecast!H66*Settings!$K$49,"-")</f>
        <v>0</v>
      </c>
      <c r="I175" s="100">
        <f>IFERROR(DTE_demand_forecast!I66*Settings!$K$49,"-")</f>
        <v>0</v>
      </c>
      <c r="J175" s="100">
        <f>IFERROR(DTE_demand_forecast!J66*Settings!$K$49,"-")</f>
        <v>0</v>
      </c>
      <c r="K175" s="100">
        <f>IFERROR(DTE_demand_forecast!K66*Settings!$K$49,"-")</f>
        <v>0</v>
      </c>
      <c r="L175" s="100">
        <f>IFERROR(DTE_demand_forecast!L66*Settings!$K$49,"-")</f>
        <v>0</v>
      </c>
      <c r="M175" s="100">
        <f>IFERROR(DTE_demand_forecast!M66*Settings!$K$49,"-")</f>
        <v>0</v>
      </c>
      <c r="N175" s="100">
        <f>IFERROR(DTE_demand_forecast!N66*Settings!$K$49,"-")</f>
        <v>0</v>
      </c>
      <c r="O175" s="100">
        <f>IFERROR(DTE_demand_forecast!O66*Settings!$K$49,"-")</f>
        <v>0</v>
      </c>
      <c r="P175" s="100">
        <f>IFERROR(DTE_demand_forecast!P66*Settings!$K$49,"-")</f>
        <v>0</v>
      </c>
      <c r="Q175" s="100">
        <f>IFERROR(DTE_demand_forecast!Q66*Settings!$K$49,"-")</f>
        <v>0</v>
      </c>
      <c r="R175" s="100">
        <f>IFERROR(DTE_demand_forecast!R66*Settings!$K$49,"-")</f>
        <v>0</v>
      </c>
      <c r="S175" s="100">
        <f>IFERROR(DTE_demand_forecast!S66*Settings!$K$49,"-")</f>
        <v>0</v>
      </c>
      <c r="T175" s="100">
        <f>IFERROR(DTE_demand_forecast!T66*Settings!$K$49,"-")</f>
        <v>0</v>
      </c>
      <c r="U175" s="100">
        <f>IFERROR(DTE_demand_forecast!U66*Settings!$K$49,"-")</f>
        <v>0</v>
      </c>
      <c r="V175" s="100">
        <f>IFERROR(DTE_demand_forecast!V66*Settings!$K$49,"-")</f>
        <v>0</v>
      </c>
    </row>
    <row r="176" spans="1:22" x14ac:dyDescent="0.3">
      <c r="A176" s="179"/>
      <c r="B176" s="47" t="s">
        <v>101</v>
      </c>
      <c r="C176" s="100">
        <f>IFERROR(DTE_demand_forecast!C67*Settings!$K$49,"-")</f>
        <v>0</v>
      </c>
      <c r="D176" s="100">
        <f>IFERROR(DTE_demand_forecast!D67*Settings!$K$49,"-")</f>
        <v>0</v>
      </c>
      <c r="E176" s="100">
        <f>IFERROR(DTE_demand_forecast!E67*Settings!$K$49,"-")</f>
        <v>0</v>
      </c>
      <c r="F176" s="100">
        <f>IFERROR(DTE_demand_forecast!F67*Settings!$K$49,"-")</f>
        <v>0</v>
      </c>
      <c r="G176" s="100">
        <f>IFERROR(DTE_demand_forecast!G67*Settings!$K$49,"-")</f>
        <v>0</v>
      </c>
      <c r="H176" s="100">
        <f>IFERROR(DTE_demand_forecast!H67*Settings!$K$49,"-")</f>
        <v>0</v>
      </c>
      <c r="I176" s="100">
        <f>IFERROR(DTE_demand_forecast!I67*Settings!$K$49,"-")</f>
        <v>0</v>
      </c>
      <c r="J176" s="100">
        <f>IFERROR(DTE_demand_forecast!J67*Settings!$K$49,"-")</f>
        <v>0</v>
      </c>
      <c r="K176" s="100">
        <f>IFERROR(DTE_demand_forecast!K67*Settings!$K$49,"-")</f>
        <v>0</v>
      </c>
      <c r="L176" s="100">
        <f>IFERROR(DTE_demand_forecast!L67*Settings!$K$49,"-")</f>
        <v>0</v>
      </c>
      <c r="M176" s="100">
        <f>IFERROR(DTE_demand_forecast!M67*Settings!$K$49,"-")</f>
        <v>0</v>
      </c>
      <c r="N176" s="100">
        <f>IFERROR(DTE_demand_forecast!N67*Settings!$K$49,"-")</f>
        <v>0</v>
      </c>
      <c r="O176" s="100">
        <f>IFERROR(DTE_demand_forecast!O67*Settings!$K$49,"-")</f>
        <v>0</v>
      </c>
      <c r="P176" s="100">
        <f>IFERROR(DTE_demand_forecast!P67*Settings!$K$49,"-")</f>
        <v>0</v>
      </c>
      <c r="Q176" s="100">
        <f>IFERROR(DTE_demand_forecast!Q67*Settings!$K$49,"-")</f>
        <v>0</v>
      </c>
      <c r="R176" s="100">
        <f>IFERROR(DTE_demand_forecast!R67*Settings!$K$49,"-")</f>
        <v>0</v>
      </c>
      <c r="S176" s="100">
        <f>IFERROR(DTE_demand_forecast!S67*Settings!$K$49,"-")</f>
        <v>0</v>
      </c>
      <c r="T176" s="100">
        <f>IFERROR(DTE_demand_forecast!T67*Settings!$K$49,"-")</f>
        <v>0</v>
      </c>
      <c r="U176" s="100">
        <f>IFERROR(DTE_demand_forecast!U67*Settings!$K$49,"-")</f>
        <v>0</v>
      </c>
      <c r="V176" s="100">
        <f>IFERROR(DTE_demand_forecast!V67*Settings!$K$49,"-")</f>
        <v>0</v>
      </c>
    </row>
    <row r="177" spans="1:22" x14ac:dyDescent="0.3">
      <c r="A177" s="179"/>
      <c r="B177" s="47" t="s">
        <v>58</v>
      </c>
      <c r="C177" s="100">
        <f>IFERROR(DTE_demand_forecast!C68*Settings!$K$49,"-")</f>
        <v>17930.492936882816</v>
      </c>
      <c r="D177" s="100">
        <f>IFERROR(DTE_demand_forecast!D68*Settings!$K$49,"-")</f>
        <v>20028.543693062671</v>
      </c>
      <c r="E177" s="100">
        <f>IFERROR(DTE_demand_forecast!E68*Settings!$K$49,"-")</f>
        <v>21186.742164950363</v>
      </c>
      <c r="F177" s="100">
        <f>IFERROR(DTE_demand_forecast!F68*Settings!$K$49,"-")</f>
        <v>23173.884091382235</v>
      </c>
      <c r="G177" s="100">
        <f>IFERROR(DTE_demand_forecast!G68*Settings!$K$49,"-")</f>
        <v>33303.072176744172</v>
      </c>
      <c r="H177" s="100">
        <f>IFERROR(DTE_demand_forecast!H68*Settings!$K$49,"-")</f>
        <v>35414.975113745924</v>
      </c>
      <c r="I177" s="100">
        <f>IFERROR(DTE_demand_forecast!I68*Settings!$K$49,"-")</f>
        <v>37604.429896303162</v>
      </c>
      <c r="J177" s="100">
        <f>IFERROR(DTE_demand_forecast!J68*Settings!$K$49,"-")</f>
        <v>39873.693837063271</v>
      </c>
      <c r="K177" s="100">
        <f>IFERROR(DTE_demand_forecast!K68*Settings!$K$49,"-")</f>
        <v>42225.083520441382</v>
      </c>
      <c r="L177" s="100">
        <f>IFERROR(DTE_demand_forecast!L68*Settings!$K$49,"-")</f>
        <v>44660.976270565894</v>
      </c>
      <c r="M177" s="100">
        <f>IFERROR(DTE_demand_forecast!M68*Settings!$K$49,"-")</f>
        <v>45234.347948672119</v>
      </c>
      <c r="N177" s="100">
        <f>IFERROR(DTE_demand_forecast!N68*Settings!$K$49,"-")</f>
        <v>45819.187060340468</v>
      </c>
      <c r="O177" s="100">
        <f>IFERROR(DTE_demand_forecast!O68*Settings!$K$49,"-")</f>
        <v>46415.722954242199</v>
      </c>
      <c r="P177" s="100">
        <f>IFERROR(DTE_demand_forecast!P68*Settings!$K$49,"-")</f>
        <v>47024.189566021952</v>
      </c>
      <c r="Q177" s="100">
        <f>IFERROR(DTE_demand_forecast!Q68*Settings!$K$49,"-")</f>
        <v>47644.825510037306</v>
      </c>
      <c r="R177" s="100">
        <f>IFERROR(DTE_demand_forecast!R68*Settings!$K$49,"-")</f>
        <v>48277.874172932956</v>
      </c>
      <c r="S177" s="100">
        <f>IFERROR(DTE_demand_forecast!S68*Settings!$K$49,"-")</f>
        <v>48923.583809086529</v>
      </c>
      <c r="T177" s="100">
        <f>IFERROR(DTE_demand_forecast!T68*Settings!$K$49,"-")</f>
        <v>49582.207637963176</v>
      </c>
      <c r="U177" s="100">
        <f>IFERROR(DTE_demand_forecast!U68*Settings!$K$49,"-")</f>
        <v>50254.003943417352</v>
      </c>
      <c r="V177" s="100">
        <f>IFERROR(DTE_demand_forecast!V68*Settings!$K$49,"-")</f>
        <v>50939.236174980615</v>
      </c>
    </row>
    <row r="178" spans="1:22" x14ac:dyDescent="0.3">
      <c r="A178" s="179"/>
      <c r="B178" s="47" t="s">
        <v>61</v>
      </c>
      <c r="C178" s="100">
        <f>IFERROR(DTE_demand_forecast!C69*Settings!$K$49,"-")</f>
        <v>1106493.4789690035</v>
      </c>
      <c r="D178" s="100">
        <f>IFERROR(DTE_demand_forecast!D69*Settings!$K$49,"-")</f>
        <v>2222121.50833129</v>
      </c>
      <c r="E178" s="100">
        <f>IFERROR(DTE_demand_forecast!E69*Settings!$K$49,"-")</f>
        <v>2348894.715968933</v>
      </c>
      <c r="F178" s="100">
        <f>IFERROR(DTE_demand_forecast!F69*Settings!$K$49,"-")</f>
        <v>2481073.4871779545</v>
      </c>
      <c r="G178" s="100">
        <f>IFERROR(DTE_demand_forecast!G69*Settings!$K$49,"-")</f>
        <v>2617916.5056942571</v>
      </c>
      <c r="H178" s="100">
        <f>IFERROR(DTE_demand_forecast!H69*Settings!$K$49,"-")</f>
        <v>3839354.3960160441</v>
      </c>
      <c r="I178" s="100">
        <f>IFERROR(DTE_demand_forecast!I69*Settings!$K$49,"-")</f>
        <v>4008009.8373661335</v>
      </c>
      <c r="J178" s="100">
        <f>IFERROR(DTE_demand_forecast!J69*Settings!$K$49,"-")</f>
        <v>4182272.5245585106</v>
      </c>
      <c r="K178" s="100">
        <f>IFERROR(DTE_demand_forecast!K69*Settings!$K$49,"-")</f>
        <v>4362299.2852503294</v>
      </c>
      <c r="L178" s="100">
        <f>IFERROR(DTE_demand_forecast!L69*Settings!$K$49,"-")</f>
        <v>4548250.9773066891</v>
      </c>
      <c r="M178" s="100">
        <f>IFERROR(DTE_demand_forecast!M69*Settings!$K$49,"-")</f>
        <v>4619377.4995182464</v>
      </c>
      <c r="N178" s="100">
        <f>IFERROR(DTE_demand_forecast!N69*Settings!$K$49,"-")</f>
        <v>4691926.5521740336</v>
      </c>
      <c r="O178" s="100">
        <f>IFERROR(DTE_demand_forecast!O69*Settings!$K$49,"-")</f>
        <v>4765926.5858829394</v>
      </c>
      <c r="P178" s="100">
        <f>IFERROR(DTE_demand_forecast!P69*Settings!$K$49,"-")</f>
        <v>4841406.6202660212</v>
      </c>
      <c r="Q178" s="100">
        <f>IFERROR(DTE_demand_forecast!Q69*Settings!$K$49,"-")</f>
        <v>4918396.2553367652</v>
      </c>
      <c r="R178" s="100">
        <f>IFERROR(DTE_demand_forecast!R69*Settings!$K$49,"-")</f>
        <v>4996925.683108923</v>
      </c>
      <c r="S178" s="100">
        <f>IFERROR(DTE_demand_forecast!S69*Settings!$K$49,"-")</f>
        <v>5077025.6994365258</v>
      </c>
      <c r="T178" s="100">
        <f>IFERROR(DTE_demand_forecast!T69*Settings!$K$49,"-")</f>
        <v>5158727.716090681</v>
      </c>
      <c r="U178" s="100">
        <f>IFERROR(DTE_demand_forecast!U69*Settings!$K$49,"-")</f>
        <v>5242063.7730779173</v>
      </c>
      <c r="V178" s="100">
        <f>IFERROR(DTE_demand_forecast!V69*Settings!$K$49,"-")</f>
        <v>5327066.5512048993</v>
      </c>
    </row>
    <row r="179" spans="1:22" x14ac:dyDescent="0.3">
      <c r="A179" s="179"/>
      <c r="B179" s="48" t="s">
        <v>104</v>
      </c>
      <c r="C179" s="176">
        <f>SUM(C171:C178)</f>
        <v>19898985.264443193</v>
      </c>
      <c r="D179" s="176">
        <f>SUM(D171:D178)</f>
        <v>18979994.568399664</v>
      </c>
      <c r="E179" s="176">
        <f>SUM(E171:E178)</f>
        <v>18124869.818437599</v>
      </c>
      <c r="F179" s="176">
        <f>SUM(F171:F178)</f>
        <v>16672253.832278011</v>
      </c>
      <c r="G179" s="176">
        <f>SUM(G171:G178)</f>
        <v>18221448.777673617</v>
      </c>
      <c r="H179" s="176">
        <f>SUM(H171:H178)</f>
        <v>19409676.790350262</v>
      </c>
      <c r="I179" s="176">
        <f>SUM(I171:I178)</f>
        <v>19622061.923007935</v>
      </c>
      <c r="J179" s="176">
        <f>SUM(J171:J178)</f>
        <v>21016742.801318698</v>
      </c>
      <c r="K179" s="176">
        <f>SUM(K171:K178)</f>
        <v>21814451.800413657</v>
      </c>
      <c r="L179" s="176">
        <f>SUM(L171:L178)</f>
        <v>22639199.777401134</v>
      </c>
      <c r="M179" s="176">
        <f>SUM(M171:M178)</f>
        <v>27457820.526013214</v>
      </c>
      <c r="N179" s="176">
        <f>SUM(N171:N178)</f>
        <v>27832023.099981003</v>
      </c>
      <c r="O179" s="176">
        <f>SUM(O171:O178)</f>
        <v>28213709.725428157</v>
      </c>
      <c r="P179" s="176">
        <f>SUM(P171:P178)</f>
        <v>28603030.083384246</v>
      </c>
      <c r="Q179" s="176">
        <f>SUM(Q171:Q178)</f>
        <v>29000136.848499462</v>
      </c>
      <c r="R179" s="176">
        <f>SUM(R171:R178)</f>
        <v>29405185.748916976</v>
      </c>
      <c r="S179" s="176">
        <f>SUM(S171:S178)</f>
        <v>29818335.627342846</v>
      </c>
      <c r="T179" s="176">
        <f>SUM(T171:T178)</f>
        <v>30239748.503337234</v>
      </c>
      <c r="U179" s="176">
        <f>SUM(U171:U178)</f>
        <v>30669589.636851504</v>
      </c>
      <c r="V179" s="176">
        <f>SUM(V171:V178)</f>
        <v>31108027.593036063</v>
      </c>
    </row>
    <row r="180" spans="1:22" x14ac:dyDescent="0.3">
      <c r="A180" s="179"/>
      <c r="B180" s="177"/>
      <c r="C180" s="178"/>
      <c r="D180" s="178"/>
      <c r="E180" s="178"/>
      <c r="F180" s="178"/>
      <c r="G180" s="178"/>
      <c r="H180" s="178"/>
      <c r="I180" s="178"/>
      <c r="J180" s="178"/>
      <c r="K180" s="178"/>
      <c r="L180" s="178"/>
      <c r="M180" s="178"/>
      <c r="N180" s="178"/>
      <c r="O180" s="178"/>
      <c r="P180" s="178"/>
      <c r="Q180" s="178"/>
      <c r="R180" s="178"/>
      <c r="S180" s="178"/>
      <c r="T180" s="178"/>
      <c r="U180" s="178"/>
      <c r="V180" s="178"/>
    </row>
    <row r="181" spans="1:22" x14ac:dyDescent="0.3">
      <c r="A181" s="179"/>
      <c r="B181" s="177"/>
      <c r="C181" s="178"/>
      <c r="D181" s="178"/>
      <c r="E181" s="178"/>
      <c r="F181" s="178"/>
      <c r="G181" s="178"/>
      <c r="H181" s="178"/>
      <c r="I181" s="178"/>
      <c r="J181" s="178"/>
      <c r="K181" s="178"/>
      <c r="L181" s="178"/>
      <c r="M181" s="178"/>
      <c r="N181" s="178"/>
      <c r="O181" s="178"/>
      <c r="P181" s="178"/>
      <c r="Q181" s="178"/>
      <c r="R181" s="178"/>
      <c r="S181" s="178"/>
      <c r="T181" s="178"/>
      <c r="U181" s="178"/>
      <c r="V181" s="178"/>
    </row>
    <row r="182" spans="1:22" x14ac:dyDescent="0.3">
      <c r="A182" s="179"/>
      <c r="B182" s="177"/>
      <c r="C182" s="178"/>
      <c r="D182" s="178"/>
      <c r="E182" s="178"/>
      <c r="F182" s="178"/>
      <c r="G182" s="178"/>
      <c r="H182" s="178"/>
      <c r="I182" s="178"/>
      <c r="J182" s="178"/>
      <c r="K182" s="178"/>
      <c r="L182" s="178"/>
      <c r="M182" s="178"/>
      <c r="N182" s="178"/>
      <c r="O182" s="178"/>
      <c r="P182" s="178"/>
      <c r="Q182" s="178"/>
      <c r="R182" s="178"/>
      <c r="S182" s="178"/>
      <c r="T182" s="178"/>
      <c r="U182" s="178"/>
      <c r="V182" s="178"/>
    </row>
    <row r="183" spans="1:22" x14ac:dyDescent="0.3">
      <c r="A183" s="179"/>
      <c r="B183" s="177"/>
      <c r="C183" s="178"/>
      <c r="D183" s="178"/>
      <c r="E183" s="178"/>
      <c r="F183" s="178"/>
      <c r="G183" s="178"/>
      <c r="H183" s="178"/>
      <c r="I183" s="178"/>
      <c r="J183" s="178"/>
      <c r="K183" s="178"/>
      <c r="L183" s="178"/>
      <c r="M183" s="178"/>
      <c r="N183" s="178"/>
      <c r="O183" s="178"/>
      <c r="P183" s="178"/>
      <c r="Q183" s="178"/>
      <c r="R183" s="178"/>
      <c r="S183" s="178"/>
      <c r="T183" s="178"/>
      <c r="U183" s="178"/>
      <c r="V183" s="178"/>
    </row>
    <row r="184" spans="1:22" x14ac:dyDescent="0.3">
      <c r="A184" s="179"/>
      <c r="B184" s="177"/>
      <c r="C184" s="178"/>
      <c r="D184" s="178"/>
      <c r="E184" s="178"/>
      <c r="F184" s="178"/>
      <c r="G184" s="178"/>
      <c r="H184" s="178"/>
      <c r="I184" s="178"/>
      <c r="J184" s="178"/>
      <c r="K184" s="178"/>
      <c r="L184" s="178"/>
      <c r="M184" s="178"/>
      <c r="N184" s="178"/>
      <c r="O184" s="178"/>
      <c r="P184" s="178"/>
      <c r="Q184" s="178"/>
      <c r="R184" s="178"/>
      <c r="S184" s="178"/>
      <c r="T184" s="178"/>
      <c r="U184" s="178"/>
      <c r="V184" s="178"/>
    </row>
    <row r="185" spans="1:22" x14ac:dyDescent="0.3">
      <c r="A185" s="179"/>
    </row>
    <row r="186" spans="1:22" x14ac:dyDescent="0.3">
      <c r="A186" s="179"/>
    </row>
    <row r="187" spans="1:22" x14ac:dyDescent="0.3">
      <c r="A187" s="179"/>
      <c r="B187" s="49" t="s">
        <v>226</v>
      </c>
      <c r="L187" s="34"/>
      <c r="M187" s="34"/>
    </row>
    <row r="188" spans="1:22" x14ac:dyDescent="0.3">
      <c r="A188" s="179"/>
      <c r="B188" s="97" t="s">
        <v>102</v>
      </c>
      <c r="C188" s="97">
        <v>2021</v>
      </c>
      <c r="D188" s="98">
        <v>2022</v>
      </c>
      <c r="E188" s="97">
        <v>2023</v>
      </c>
      <c r="F188" s="98">
        <v>2024</v>
      </c>
      <c r="G188" s="97">
        <v>2025</v>
      </c>
      <c r="H188" s="98">
        <v>2026</v>
      </c>
      <c r="I188" s="97">
        <v>2027</v>
      </c>
      <c r="J188" s="98">
        <v>2028</v>
      </c>
      <c r="K188" s="97">
        <v>2029</v>
      </c>
      <c r="L188" s="98">
        <v>2030</v>
      </c>
      <c r="M188" s="97">
        <v>2031</v>
      </c>
      <c r="N188" s="98">
        <v>2032</v>
      </c>
      <c r="O188" s="97">
        <v>2033</v>
      </c>
      <c r="P188" s="98">
        <v>2034</v>
      </c>
      <c r="Q188" s="97">
        <v>2035</v>
      </c>
      <c r="R188" s="98">
        <v>2036</v>
      </c>
      <c r="S188" s="97">
        <v>2037</v>
      </c>
      <c r="T188" s="98">
        <v>2038</v>
      </c>
      <c r="U188" s="97">
        <v>2039</v>
      </c>
      <c r="V188" s="98">
        <v>2040</v>
      </c>
    </row>
    <row r="189" spans="1:22" x14ac:dyDescent="0.3">
      <c r="A189" s="179"/>
      <c r="B189" s="47" t="s">
        <v>59</v>
      </c>
      <c r="C189" s="100">
        <f>IFERROR(DTE_demand_forecast!C141*Settings!$K$49,"-")</f>
        <v>8470133.6608931758</v>
      </c>
      <c r="D189" s="100">
        <f>IFERROR(DTE_demand_forecast!D141*Settings!$K$49,"-")</f>
        <v>9258554.9133330807</v>
      </c>
      <c r="E189" s="100">
        <f>IFERROR(DTE_demand_forecast!E141*Settings!$K$49,"-")</f>
        <v>10067511.717935937</v>
      </c>
      <c r="F189" s="100">
        <f>IFERROR(DTE_demand_forecast!F141*Settings!$K$49,"-")</f>
        <v>10935970.28454854</v>
      </c>
      <c r="G189" s="100">
        <f>IFERROR(DTE_demand_forecast!G141*Settings!$K$49,"-")</f>
        <v>11824312.199978014</v>
      </c>
      <c r="H189" s="100">
        <f>IFERROR(DTE_demand_forecast!H141*Settings!$K$49,"-")</f>
        <v>12746895.658329498</v>
      </c>
      <c r="I189" s="100">
        <f>IFERROR(DTE_demand_forecast!I141*Settings!$K$49,"-")</f>
        <v>13704734.9845537</v>
      </c>
      <c r="J189" s="100">
        <f>IFERROR(DTE_demand_forecast!J141*Settings!$K$49,"-")</f>
        <v>14698871.379982183</v>
      </c>
      <c r="K189" s="100">
        <f>IFERROR(DTE_demand_forecast!K141*Settings!$K$49,"-")</f>
        <v>15730373.591652637</v>
      </c>
      <c r="L189" s="100">
        <f>IFERROR(DTE_demand_forecast!L141*Settings!$K$49,"-")</f>
        <v>16800338.597656567</v>
      </c>
      <c r="M189" s="100">
        <f>IFERROR(DTE_demand_forecast!M141*Settings!$K$49,"-")</f>
        <v>21524935.15420378</v>
      </c>
      <c r="N189" s="100">
        <f>IFERROR(DTE_demand_forecast!N141*Settings!$K$49,"-")</f>
        <v>21803233.052265398</v>
      </c>
      <c r="O189" s="100">
        <f>IFERROR(DTE_demand_forecast!O141*Settings!$K$49,"-")</f>
        <v>22087096.908288255</v>
      </c>
      <c r="P189" s="100">
        <f>IFERROR(DTE_demand_forecast!P141*Settings!$K$49,"-")</f>
        <v>22376638.041431569</v>
      </c>
      <c r="Q189" s="100">
        <f>IFERROR(DTE_demand_forecast!Q141*Settings!$K$49,"-")</f>
        <v>22671969.997237742</v>
      </c>
      <c r="R189" s="100">
        <f>IFERROR(DTE_demand_forecast!R141*Settings!$K$49,"-")</f>
        <v>22973208.592160042</v>
      </c>
      <c r="S189" s="100">
        <f>IFERROR(DTE_demand_forecast!S141*Settings!$K$49,"-")</f>
        <v>23280471.958980791</v>
      </c>
      <c r="T189" s="100">
        <f>IFERROR(DTE_demand_forecast!T141*Settings!$K$49,"-")</f>
        <v>23593880.593137953</v>
      </c>
      <c r="U189" s="100">
        <f>IFERROR(DTE_demand_forecast!U141*Settings!$K$49,"-")</f>
        <v>23913557.399978258</v>
      </c>
      <c r="V189" s="100">
        <f>IFERROR(DTE_demand_forecast!V141*Settings!$K$49,"-")</f>
        <v>24239627.742955368</v>
      </c>
    </row>
    <row r="190" spans="1:22" x14ac:dyDescent="0.3">
      <c r="A190" s="179"/>
      <c r="B190" s="47" t="s">
        <v>57</v>
      </c>
      <c r="C190" s="100">
        <f>IFERROR(DTE_demand_forecast!C142*Settings!$K$49,"-")</f>
        <v>10936536.133033229</v>
      </c>
      <c r="D190" s="100">
        <f>IFERROR(DTE_demand_forecast!D142*Settings!$K$49,"-")</f>
        <v>8919880.2275673244</v>
      </c>
      <c r="E190" s="100">
        <f>IFERROR(DTE_demand_forecast!E142*Settings!$K$49,"-")</f>
        <v>7862896.7331188759</v>
      </c>
      <c r="F190" s="100">
        <f>IFERROR(DTE_demand_forecast!F142*Settings!$K$49,"-")</f>
        <v>6442137.6189454412</v>
      </c>
      <c r="G190" s="100">
        <f>IFERROR(DTE_demand_forecast!G142*Settings!$K$49,"-")</f>
        <v>7890595.4629304009</v>
      </c>
      <c r="H190" s="100">
        <f>IFERROR(DTE_demand_forecast!H142*Settings!$K$49,"-")</f>
        <v>7903328.3095273934</v>
      </c>
      <c r="I190" s="100">
        <f>IFERROR(DTE_demand_forecast!I142*Settings!$K$49,"-")</f>
        <v>7994796.9820571104</v>
      </c>
      <c r="J190" s="100">
        <f>IFERROR(DTE_demand_forecast!J142*Settings!$K$49,"-")</f>
        <v>9264803.8845671304</v>
      </c>
      <c r="K190" s="100">
        <f>IFERROR(DTE_demand_forecast!K142*Settings!$K$49,"-")</f>
        <v>9933979.4581457004</v>
      </c>
      <c r="L190" s="100">
        <f>IFERROR(DTE_demand_forecast!L142*Settings!$K$49,"-")</f>
        <v>10626230.051502842</v>
      </c>
      <c r="M190" s="100">
        <f>IFERROR(DTE_demand_forecast!M142*Settings!$K$49,"-")</f>
        <v>10838058.733070126</v>
      </c>
      <c r="N190" s="100">
        <f>IFERROR(DTE_demand_forecast!N142*Settings!$K$49,"-")</f>
        <v>11054123.988268755</v>
      </c>
      <c r="O190" s="100">
        <f>IFERROR(DTE_demand_forecast!O142*Settings!$K$49,"-")</f>
        <v>11274510.548571361</v>
      </c>
      <c r="P190" s="100">
        <f>IFERROR(DTE_demand_forecast!P142*Settings!$K$49,"-")</f>
        <v>11499304.840080017</v>
      </c>
      <c r="Q190" s="100">
        <f>IFERROR(DTE_demand_forecast!Q142*Settings!$K$49,"-")</f>
        <v>11728595.017418845</v>
      </c>
      <c r="R190" s="100">
        <f>IFERROR(DTE_demand_forecast!R142*Settings!$K$49,"-")</f>
        <v>11962470.998304447</v>
      </c>
      <c r="S190" s="100">
        <f>IFERROR(DTE_demand_forecast!S142*Settings!$K$49,"-")</f>
        <v>12201024.498807769</v>
      </c>
      <c r="T190" s="100">
        <f>IFERROR(DTE_demand_forecast!T142*Settings!$K$49,"-")</f>
        <v>12444349.069321152</v>
      </c>
      <c r="U190" s="100">
        <f>IFERROR(DTE_demand_forecast!U142*Settings!$K$49,"-")</f>
        <v>12692540.131244805</v>
      </c>
      <c r="V190" s="100">
        <f>IFERROR(DTE_demand_forecast!V142*Settings!$K$49,"-")</f>
        <v>12945695.014406927</v>
      </c>
    </row>
    <row r="191" spans="1:22" x14ac:dyDescent="0.3">
      <c r="A191" s="179"/>
      <c r="B191" s="47" t="s">
        <v>56</v>
      </c>
      <c r="C191" s="100">
        <f>IFERROR(DTE_demand_forecast!C143*Settings!$K$49,"-")</f>
        <v>180463.2288652444</v>
      </c>
      <c r="D191" s="100">
        <f>IFERROR(DTE_demand_forecast!D143*Settings!$K$49,"-")</f>
        <v>193057.37208359092</v>
      </c>
      <c r="E191" s="100">
        <f>IFERROR(DTE_demand_forecast!E143*Settings!$K$49,"-")</f>
        <v>230752.39266115878</v>
      </c>
      <c r="F191" s="100">
        <f>IFERROR(DTE_demand_forecast!F143*Settings!$K$49,"-")</f>
        <v>246062.33993454286</v>
      </c>
      <c r="G191" s="100">
        <f>IFERROR(DTE_demand_forecast!G143*Settings!$K$49,"-")</f>
        <v>261930.35947950522</v>
      </c>
      <c r="H191" s="100">
        <f>IFERROR(DTE_demand_forecast!H143*Settings!$K$49,"-")</f>
        <v>278372.65020799957</v>
      </c>
      <c r="I191" s="100">
        <f>IFERROR(DTE_demand_forecast!I143*Settings!$K$49,"-")</f>
        <v>295405.83575954911</v>
      </c>
      <c r="J191" s="100">
        <f>IFERROR(DTE_demand_forecast!J143*Settings!$K$49,"-")</f>
        <v>313046.97501078469</v>
      </c>
      <c r="K191" s="100">
        <f>IFERROR(DTE_demand_forecast!K143*Settings!$K$49,"-")</f>
        <v>331313.57283547323</v>
      </c>
      <c r="L191" s="100">
        <f>IFERROR(DTE_demand_forecast!L143*Settings!$K$49,"-")</f>
        <v>350223.59112085227</v>
      </c>
      <c r="M191" s="100">
        <f>IFERROR(DTE_demand_forecast!M143*Settings!$K$49,"-")</f>
        <v>355329.29605790466</v>
      </c>
      <c r="N191" s="100">
        <f>IFERROR(DTE_demand_forecast!N143*Settings!$K$49,"-")</f>
        <v>360537.11509369797</v>
      </c>
      <c r="O191" s="100">
        <f>IFERROR(DTE_demand_forecast!O143*Settings!$K$49,"-")</f>
        <v>365849.09051020729</v>
      </c>
      <c r="P191" s="100">
        <f>IFERROR(DTE_demand_forecast!P143*Settings!$K$49,"-")</f>
        <v>371267.30543504673</v>
      </c>
      <c r="Q191" s="100">
        <f>IFERROR(DTE_demand_forecast!Q143*Settings!$K$49,"-")</f>
        <v>376793.88465838291</v>
      </c>
      <c r="R191" s="100">
        <f>IFERROR(DTE_demand_forecast!R143*Settings!$K$49,"-")</f>
        <v>382430.99546618585</v>
      </c>
      <c r="S191" s="100">
        <f>IFERROR(DTE_demand_forecast!S143*Settings!$K$49,"-")</f>
        <v>388180.84849014488</v>
      </c>
      <c r="T191" s="100">
        <f>IFERROR(DTE_demand_forecast!T143*Settings!$K$49,"-")</f>
        <v>394045.69857458316</v>
      </c>
      <c r="U191" s="100">
        <f>IFERROR(DTE_demand_forecast!U143*Settings!$K$49,"-")</f>
        <v>400027.84566071001</v>
      </c>
      <c r="V191" s="100">
        <f>IFERROR(DTE_demand_forecast!V143*Settings!$K$49,"-")</f>
        <v>406129.63568855956</v>
      </c>
    </row>
    <row r="192" spans="1:22" x14ac:dyDescent="0.3">
      <c r="A192" s="179"/>
      <c r="B192" s="47" t="s">
        <v>100</v>
      </c>
      <c r="C192" s="100">
        <f>IFERROR(DTE_demand_forecast!C144*Settings!$K$49,"-")</f>
        <v>0</v>
      </c>
      <c r="D192" s="100">
        <f>IFERROR(DTE_demand_forecast!D144*Settings!$K$49,"-")</f>
        <v>0</v>
      </c>
      <c r="E192" s="100">
        <f>IFERROR(DTE_demand_forecast!E144*Settings!$K$49,"-")</f>
        <v>0</v>
      </c>
      <c r="F192" s="100">
        <f>IFERROR(DTE_demand_forecast!F144*Settings!$K$49,"-")</f>
        <v>0</v>
      </c>
      <c r="G192" s="100">
        <f>IFERROR(DTE_demand_forecast!G144*Settings!$K$49,"-")</f>
        <v>0</v>
      </c>
      <c r="H192" s="100">
        <f>IFERROR(DTE_demand_forecast!H144*Settings!$K$49,"-")</f>
        <v>0</v>
      </c>
      <c r="I192" s="100">
        <f>IFERROR(DTE_demand_forecast!I144*Settings!$K$49,"-")</f>
        <v>0</v>
      </c>
      <c r="J192" s="100">
        <f>IFERROR(DTE_demand_forecast!J144*Settings!$K$49,"-")</f>
        <v>0</v>
      </c>
      <c r="K192" s="100">
        <f>IFERROR(DTE_demand_forecast!K144*Settings!$K$49,"-")</f>
        <v>0</v>
      </c>
      <c r="L192" s="100">
        <f>IFERROR(DTE_demand_forecast!L144*Settings!$K$49,"-")</f>
        <v>0</v>
      </c>
      <c r="M192" s="100">
        <f>IFERROR(DTE_demand_forecast!M144*Settings!$K$49,"-")</f>
        <v>0</v>
      </c>
      <c r="N192" s="100">
        <f>IFERROR(DTE_demand_forecast!N144*Settings!$K$49,"-")</f>
        <v>0</v>
      </c>
      <c r="O192" s="100">
        <f>IFERROR(DTE_demand_forecast!O144*Settings!$K$49,"-")</f>
        <v>0</v>
      </c>
      <c r="P192" s="100">
        <f>IFERROR(DTE_demand_forecast!P144*Settings!$K$49,"-")</f>
        <v>0</v>
      </c>
      <c r="Q192" s="100">
        <f>IFERROR(DTE_demand_forecast!Q144*Settings!$K$49,"-")</f>
        <v>0</v>
      </c>
      <c r="R192" s="100">
        <f>IFERROR(DTE_demand_forecast!R144*Settings!$K$49,"-")</f>
        <v>0</v>
      </c>
      <c r="S192" s="100">
        <f>IFERROR(DTE_demand_forecast!S144*Settings!$K$49,"-")</f>
        <v>0</v>
      </c>
      <c r="T192" s="100">
        <f>IFERROR(DTE_demand_forecast!T144*Settings!$K$49,"-")</f>
        <v>0</v>
      </c>
      <c r="U192" s="100">
        <f>IFERROR(DTE_demand_forecast!U144*Settings!$K$49,"-")</f>
        <v>0</v>
      </c>
      <c r="V192" s="100">
        <f>IFERROR(DTE_demand_forecast!V144*Settings!$K$49,"-")</f>
        <v>0</v>
      </c>
    </row>
    <row r="193" spans="1:22" x14ac:dyDescent="0.3">
      <c r="A193" s="179"/>
      <c r="B193" s="47" t="s">
        <v>60</v>
      </c>
      <c r="C193" s="100">
        <f>IFERROR(DTE_demand_forecast!C145*Settings!$K$49,"-")</f>
        <v>0</v>
      </c>
      <c r="D193" s="100">
        <f>IFERROR(DTE_demand_forecast!D145*Settings!$K$49,"-")</f>
        <v>0</v>
      </c>
      <c r="E193" s="100">
        <f>IFERROR(DTE_demand_forecast!E145*Settings!$K$49,"-")</f>
        <v>0</v>
      </c>
      <c r="F193" s="100">
        <f>IFERROR(DTE_demand_forecast!F145*Settings!$K$49,"-")</f>
        <v>0</v>
      </c>
      <c r="G193" s="100">
        <f>IFERROR(DTE_demand_forecast!G145*Settings!$K$49,"-")</f>
        <v>0</v>
      </c>
      <c r="H193" s="100">
        <f>IFERROR(DTE_demand_forecast!H145*Settings!$K$49,"-")</f>
        <v>0</v>
      </c>
      <c r="I193" s="100">
        <f>IFERROR(DTE_demand_forecast!I145*Settings!$K$49,"-")</f>
        <v>0</v>
      </c>
      <c r="J193" s="100">
        <f>IFERROR(DTE_demand_forecast!J145*Settings!$K$49,"-")</f>
        <v>0</v>
      </c>
      <c r="K193" s="100">
        <f>IFERROR(DTE_demand_forecast!K145*Settings!$K$49,"-")</f>
        <v>0</v>
      </c>
      <c r="L193" s="100">
        <f>IFERROR(DTE_demand_forecast!L145*Settings!$K$49,"-")</f>
        <v>0</v>
      </c>
      <c r="M193" s="100">
        <f>IFERROR(DTE_demand_forecast!M145*Settings!$K$49,"-")</f>
        <v>0</v>
      </c>
      <c r="N193" s="100">
        <f>IFERROR(DTE_demand_forecast!N145*Settings!$K$49,"-")</f>
        <v>0</v>
      </c>
      <c r="O193" s="100">
        <f>IFERROR(DTE_demand_forecast!O145*Settings!$K$49,"-")</f>
        <v>0</v>
      </c>
      <c r="P193" s="100">
        <f>IFERROR(DTE_demand_forecast!P145*Settings!$K$49,"-")</f>
        <v>0</v>
      </c>
      <c r="Q193" s="100">
        <f>IFERROR(DTE_demand_forecast!Q145*Settings!$K$49,"-")</f>
        <v>0</v>
      </c>
      <c r="R193" s="100">
        <f>IFERROR(DTE_demand_forecast!R145*Settings!$K$49,"-")</f>
        <v>0</v>
      </c>
      <c r="S193" s="100">
        <f>IFERROR(DTE_demand_forecast!S145*Settings!$K$49,"-")</f>
        <v>0</v>
      </c>
      <c r="T193" s="100">
        <f>IFERROR(DTE_demand_forecast!T145*Settings!$K$49,"-")</f>
        <v>0</v>
      </c>
      <c r="U193" s="100">
        <f>IFERROR(DTE_demand_forecast!U145*Settings!$K$49,"-")</f>
        <v>0</v>
      </c>
      <c r="V193" s="100">
        <f>IFERROR(DTE_demand_forecast!V145*Settings!$K$49,"-")</f>
        <v>0</v>
      </c>
    </row>
    <row r="194" spans="1:22" x14ac:dyDescent="0.3">
      <c r="A194" s="179"/>
      <c r="B194" s="47" t="s">
        <v>101</v>
      </c>
      <c r="C194" s="100">
        <f>IFERROR(DTE_demand_forecast!C146*Settings!$K$49,"-")</f>
        <v>0</v>
      </c>
      <c r="D194" s="100">
        <f>IFERROR(DTE_demand_forecast!D146*Settings!$K$49,"-")</f>
        <v>0</v>
      </c>
      <c r="E194" s="100">
        <f>IFERROR(DTE_demand_forecast!E146*Settings!$K$49,"-")</f>
        <v>0</v>
      </c>
      <c r="F194" s="100">
        <f>IFERROR(DTE_demand_forecast!F146*Settings!$K$49,"-")</f>
        <v>0</v>
      </c>
      <c r="G194" s="100">
        <f>IFERROR(DTE_demand_forecast!G146*Settings!$K$49,"-")</f>
        <v>0</v>
      </c>
      <c r="H194" s="100">
        <f>IFERROR(DTE_demand_forecast!H146*Settings!$K$49,"-")</f>
        <v>0</v>
      </c>
      <c r="I194" s="100">
        <f>IFERROR(DTE_demand_forecast!I146*Settings!$K$49,"-")</f>
        <v>0</v>
      </c>
      <c r="J194" s="100">
        <f>IFERROR(DTE_demand_forecast!J146*Settings!$K$49,"-")</f>
        <v>0</v>
      </c>
      <c r="K194" s="100">
        <f>IFERROR(DTE_demand_forecast!K146*Settings!$K$49,"-")</f>
        <v>0</v>
      </c>
      <c r="L194" s="100">
        <f>IFERROR(DTE_demand_forecast!L146*Settings!$K$49,"-")</f>
        <v>0</v>
      </c>
      <c r="M194" s="100">
        <f>IFERROR(DTE_demand_forecast!M146*Settings!$K$49,"-")</f>
        <v>0</v>
      </c>
      <c r="N194" s="100">
        <f>IFERROR(DTE_demand_forecast!N146*Settings!$K$49,"-")</f>
        <v>0</v>
      </c>
      <c r="O194" s="100">
        <f>IFERROR(DTE_demand_forecast!O146*Settings!$K$49,"-")</f>
        <v>0</v>
      </c>
      <c r="P194" s="100">
        <f>IFERROR(DTE_demand_forecast!P146*Settings!$K$49,"-")</f>
        <v>0</v>
      </c>
      <c r="Q194" s="100">
        <f>IFERROR(DTE_demand_forecast!Q146*Settings!$K$49,"-")</f>
        <v>0</v>
      </c>
      <c r="R194" s="100">
        <f>IFERROR(DTE_demand_forecast!R146*Settings!$K$49,"-")</f>
        <v>0</v>
      </c>
      <c r="S194" s="100">
        <f>IFERROR(DTE_demand_forecast!S146*Settings!$K$49,"-")</f>
        <v>0</v>
      </c>
      <c r="T194" s="100">
        <f>IFERROR(DTE_demand_forecast!T146*Settings!$K$49,"-")</f>
        <v>0</v>
      </c>
      <c r="U194" s="100">
        <f>IFERROR(DTE_demand_forecast!U146*Settings!$K$49,"-")</f>
        <v>0</v>
      </c>
      <c r="V194" s="100">
        <f>IFERROR(DTE_demand_forecast!V146*Settings!$K$49,"-")</f>
        <v>0</v>
      </c>
    </row>
    <row r="195" spans="1:22" x14ac:dyDescent="0.3">
      <c r="A195" s="179"/>
      <c r="B195" s="47" t="s">
        <v>58</v>
      </c>
      <c r="C195" s="100">
        <f>IFERROR(DTE_demand_forecast!C147*Settings!$K$49,"-")</f>
        <v>19529.732173408251</v>
      </c>
      <c r="D195" s="100">
        <f>IFERROR(DTE_demand_forecast!D147*Settings!$K$49,"-")</f>
        <v>23290.99173557456</v>
      </c>
      <c r="E195" s="100">
        <f>IFERROR(DTE_demand_forecast!E147*Settings!$K$49,"-")</f>
        <v>26178.287669993559</v>
      </c>
      <c r="F195" s="100">
        <f>IFERROR(DTE_demand_forecast!F147*Settings!$K$49,"-")</f>
        <v>29962.385978240975</v>
      </c>
      <c r="G195" s="100">
        <f>IFERROR(DTE_demand_forecast!G147*Settings!$K$49,"-")</f>
        <v>41958.412082489071</v>
      </c>
      <c r="H195" s="100">
        <f>IFERROR(DTE_demand_forecast!H147*Settings!$K$49,"-")</f>
        <v>46009.111158377687</v>
      </c>
      <c r="I195" s="100">
        <f>IFERROR(DTE_demand_forecast!I147*Settings!$K$49,"-")</f>
        <v>50211.451789414947</v>
      </c>
      <c r="J195" s="100">
        <f>IFERROR(DTE_demand_forecast!J147*Settings!$K$49,"-")</f>
        <v>54569.87935817644</v>
      </c>
      <c r="K195" s="100">
        <f>IFERROR(DTE_demand_forecast!K147*Settings!$K$49,"-")</f>
        <v>59088.956405918747</v>
      </c>
      <c r="L195" s="100">
        <f>IFERROR(DTE_demand_forecast!L147*Settings!$K$49,"-")</f>
        <v>63773.365540773579</v>
      </c>
      <c r="M195" s="100">
        <f>IFERROR(DTE_demand_forecast!M147*Settings!$K$49,"-")</f>
        <v>64728.985004283961</v>
      </c>
      <c r="N195" s="100">
        <f>IFERROR(DTE_demand_forecast!N147*Settings!$K$49,"-")</f>
        <v>65703.716857064544</v>
      </c>
      <c r="O195" s="100">
        <f>IFERROR(DTE_demand_forecast!O147*Settings!$K$49,"-")</f>
        <v>66697.943346900749</v>
      </c>
      <c r="P195" s="100">
        <f>IFERROR(DTE_demand_forecast!P147*Settings!$K$49,"-")</f>
        <v>67712.054366533688</v>
      </c>
      <c r="Q195" s="100">
        <f>IFERROR(DTE_demand_forecast!Q147*Settings!$K$49,"-")</f>
        <v>68746.447606559275</v>
      </c>
      <c r="R195" s="100">
        <f>IFERROR(DTE_demand_forecast!R147*Settings!$K$49,"-")</f>
        <v>69801.528711385356</v>
      </c>
      <c r="S195" s="100">
        <f>IFERROR(DTE_demand_forecast!S147*Settings!$K$49,"-")</f>
        <v>70877.71143830799</v>
      </c>
      <c r="T195" s="100">
        <f>IFERROR(DTE_demand_forecast!T147*Settings!$K$49,"-")</f>
        <v>71975.417819769063</v>
      </c>
      <c r="U195" s="100">
        <f>IFERROR(DTE_demand_forecast!U147*Settings!$K$49,"-")</f>
        <v>73095.078328859352</v>
      </c>
      <c r="V195" s="100">
        <f>IFERROR(DTE_demand_forecast!V147*Settings!$K$49,"-")</f>
        <v>74237.132048131447</v>
      </c>
    </row>
    <row r="196" spans="1:22" x14ac:dyDescent="0.3">
      <c r="A196" s="179"/>
      <c r="B196" s="47" t="s">
        <v>61</v>
      </c>
      <c r="C196" s="100">
        <f>IFERROR(DTE_demand_forecast!C148*Settings!$K$49,"-")</f>
        <v>1205685.9656418858</v>
      </c>
      <c r="D196" s="100">
        <f>IFERROR(DTE_demand_forecast!D148*Settings!$K$49,"-")</f>
        <v>2424474.1811439688</v>
      </c>
      <c r="E196" s="100">
        <f>IFERROR(DTE_demand_forecast!E148*Settings!$K$49,"-")</f>
        <v>2658494.3053723332</v>
      </c>
      <c r="F196" s="100">
        <f>IFERROR(DTE_demand_forecast!F148*Settings!$K$49,"-")</f>
        <v>2902128.928766578</v>
      </c>
      <c r="G196" s="100">
        <f>IFERROR(DTE_demand_forecast!G148*Settings!$K$49,"-")</f>
        <v>3154762.1937197521</v>
      </c>
      <c r="H196" s="100">
        <f>IFERROR(DTE_demand_forecast!H148*Settings!$K$49,"-")</f>
        <v>4496453.5181592498</v>
      </c>
      <c r="I196" s="100">
        <f>IFERROR(DTE_demand_forecast!I148*Settings!$K$49,"-")</f>
        <v>4789957.7927165478</v>
      </c>
      <c r="J196" s="100">
        <f>IFERROR(DTE_demand_forecast!J148*Settings!$K$49,"-")</f>
        <v>5093800.4267955646</v>
      </c>
      <c r="K196" s="100">
        <f>IFERROR(DTE_demand_forecast!K148*Settings!$K$49,"-")</f>
        <v>5408277.5530673489</v>
      </c>
      <c r="L196" s="100">
        <f>IFERROR(DTE_demand_forecast!L148*Settings!$K$49,"-")</f>
        <v>5733693.0141659779</v>
      </c>
      <c r="M196" s="100">
        <f>IFERROR(DTE_demand_forecast!M148*Settings!$K$49,"-")</f>
        <v>5828528.3771147216</v>
      </c>
      <c r="N196" s="100">
        <f>IFERROR(DTE_demand_forecast!N148*Settings!$K$49,"-")</f>
        <v>5925260.4473224385</v>
      </c>
      <c r="O196" s="100">
        <f>IFERROR(DTE_demand_forecast!O148*Settings!$K$49,"-")</f>
        <v>6023927.1589343129</v>
      </c>
      <c r="P196" s="100">
        <f>IFERROR(DTE_demand_forecast!P148*Settings!$K$49,"-")</f>
        <v>6124567.2047784217</v>
      </c>
      <c r="Q196" s="100">
        <f>IFERROR(DTE_demand_forecast!Q148*Settings!$K$49,"-")</f>
        <v>6227220.0515394146</v>
      </c>
      <c r="R196" s="100">
        <f>IFERROR(DTE_demand_forecast!R148*Settings!$K$49,"-")</f>
        <v>6331925.9552356238</v>
      </c>
      <c r="S196" s="100">
        <f>IFERROR(DTE_demand_forecast!S148*Settings!$K$49,"-")</f>
        <v>6438725.977005762</v>
      </c>
      <c r="T196" s="100">
        <f>IFERROR(DTE_demand_forecast!T148*Settings!$K$49,"-")</f>
        <v>6547661.9992113011</v>
      </c>
      <c r="U196" s="100">
        <f>IFERROR(DTE_demand_forecast!U148*Settings!$K$49,"-")</f>
        <v>6658776.7418609504</v>
      </c>
      <c r="V196" s="100">
        <f>IFERROR(DTE_demand_forecast!V148*Settings!$K$49,"-")</f>
        <v>6772113.7793635922</v>
      </c>
    </row>
    <row r="197" spans="1:22" x14ac:dyDescent="0.3">
      <c r="A197" s="179"/>
      <c r="B197" s="47" t="s">
        <v>104</v>
      </c>
      <c r="C197" s="176">
        <f>SUM(C189:C196)</f>
        <v>20812348.720606942</v>
      </c>
      <c r="D197" s="176">
        <f>SUM(D189:D196)</f>
        <v>20819257.685863536</v>
      </c>
      <c r="E197" s="176">
        <f>SUM(E189:E196)</f>
        <v>20845833.436758295</v>
      </c>
      <c r="F197" s="176">
        <f>SUM(F189:F196)</f>
        <v>20556261.558173344</v>
      </c>
      <c r="G197" s="176">
        <f>SUM(G189:G196)</f>
        <v>23173558.628190164</v>
      </c>
      <c r="H197" s="176">
        <f>SUM(H189:H196)</f>
        <v>25471059.247382522</v>
      </c>
      <c r="I197" s="176">
        <f>SUM(I189:I196)</f>
        <v>26835107.046876326</v>
      </c>
      <c r="J197" s="176">
        <f>SUM(J189:J196)</f>
        <v>29425092.545713842</v>
      </c>
      <c r="K197" s="176">
        <f>SUM(K189:K196)</f>
        <v>31463033.132107079</v>
      </c>
      <c r="L197" s="176">
        <f>SUM(L189:L196)</f>
        <v>33574258.619987011</v>
      </c>
      <c r="M197" s="176">
        <f>SUM(M189:M196)</f>
        <v>38611580.545450822</v>
      </c>
      <c r="N197" s="176">
        <f>SUM(N189:N196)</f>
        <v>39208858.319807351</v>
      </c>
      <c r="O197" s="176">
        <f>SUM(O189:O196)</f>
        <v>39818081.649651036</v>
      </c>
      <c r="P197" s="176">
        <f>SUM(P189:P196)</f>
        <v>40439489.446091592</v>
      </c>
      <c r="Q197" s="176">
        <f>SUM(Q189:Q196)</f>
        <v>41073325.39846094</v>
      </c>
      <c r="R197" s="176">
        <f>SUM(R189:R196)</f>
        <v>41719838.069877684</v>
      </c>
      <c r="S197" s="176">
        <f>SUM(S189:S196)</f>
        <v>42379280.994722769</v>
      </c>
      <c r="T197" s="176">
        <f>SUM(T189:T196)</f>
        <v>43051912.778064758</v>
      </c>
      <c r="U197" s="176">
        <f>SUM(U189:U196)</f>
        <v>43737997.197073579</v>
      </c>
      <c r="V197" s="176">
        <f>SUM(V189:V196)</f>
        <v>44437803.304462574</v>
      </c>
    </row>
    <row r="198" spans="1:22" x14ac:dyDescent="0.3">
      <c r="A198" s="179"/>
    </row>
    <row r="199" spans="1:22" x14ac:dyDescent="0.3">
      <c r="A199" s="179"/>
    </row>
    <row r="200" spans="1:22" x14ac:dyDescent="0.3">
      <c r="A200" s="179"/>
    </row>
    <row r="201" spans="1:22" x14ac:dyDescent="0.3">
      <c r="A201" s="179"/>
    </row>
    <row r="202" spans="1:22" x14ac:dyDescent="0.3">
      <c r="A202" s="179"/>
    </row>
    <row r="203" spans="1:22" x14ac:dyDescent="0.3">
      <c r="A203" s="179"/>
    </row>
    <row r="204" spans="1:22" x14ac:dyDescent="0.3">
      <c r="A204" s="179"/>
    </row>
    <row r="205" spans="1:22" x14ac:dyDescent="0.3">
      <c r="A205" s="179"/>
      <c r="B205" s="49" t="s">
        <v>227</v>
      </c>
      <c r="L205" s="34"/>
      <c r="M205" s="34"/>
    </row>
    <row r="206" spans="1:22" x14ac:dyDescent="0.3">
      <c r="A206" s="179"/>
      <c r="B206" s="97" t="s">
        <v>102</v>
      </c>
      <c r="C206" s="97">
        <v>2021</v>
      </c>
      <c r="D206" s="98">
        <v>2022</v>
      </c>
      <c r="E206" s="97">
        <v>2023</v>
      </c>
      <c r="F206" s="98">
        <v>2024</v>
      </c>
      <c r="G206" s="97">
        <v>2025</v>
      </c>
      <c r="H206" s="98">
        <v>2026</v>
      </c>
      <c r="I206" s="97">
        <v>2027</v>
      </c>
      <c r="J206" s="98">
        <v>2028</v>
      </c>
      <c r="K206" s="97">
        <v>2029</v>
      </c>
      <c r="L206" s="98">
        <v>2030</v>
      </c>
      <c r="M206" s="97">
        <v>2031</v>
      </c>
      <c r="N206" s="98">
        <v>2032</v>
      </c>
      <c r="O206" s="97">
        <v>2033</v>
      </c>
      <c r="P206" s="98">
        <v>2034</v>
      </c>
      <c r="Q206" s="97">
        <v>2035</v>
      </c>
      <c r="R206" s="98">
        <v>2036</v>
      </c>
      <c r="S206" s="97">
        <v>2037</v>
      </c>
      <c r="T206" s="98">
        <v>2038</v>
      </c>
      <c r="U206" s="97">
        <v>2039</v>
      </c>
      <c r="V206" s="98">
        <v>2040</v>
      </c>
    </row>
    <row r="207" spans="1:22" x14ac:dyDescent="0.3">
      <c r="A207" s="179"/>
      <c r="B207" s="47" t="s">
        <v>59</v>
      </c>
      <c r="C207" s="100">
        <f>IFERROR(DTE_demand_forecast!C220*Settings!$K$49,"-")</f>
        <v>8850635.6734493114</v>
      </c>
      <c r="D207" s="100">
        <f>IFERROR(DTE_demand_forecast!D220*Settings!$K$49,"-")</f>
        <v>10034779.018947594</v>
      </c>
      <c r="E207" s="100">
        <f>IFERROR(DTE_demand_forecast!E220*Settings!$K$49,"-")</f>
        <v>11255134.599526143</v>
      </c>
      <c r="F207" s="100">
        <f>IFERROR(DTE_demand_forecast!F220*Settings!$K$49,"-")</f>
        <v>12551137.403511222</v>
      </c>
      <c r="G207" s="100">
        <f>IFERROR(DTE_demand_forecast!G220*Settings!$K$49,"-")</f>
        <v>13883650.276655432</v>
      </c>
      <c r="H207" s="100">
        <f>IFERROR(DTE_demand_forecast!H220*Settings!$K$49,"-")</f>
        <v>15267525.464182662</v>
      </c>
      <c r="I207" s="100">
        <f>IFERROR(DTE_demand_forecast!I220*Settings!$K$49,"-")</f>
        <v>16704284.453518962</v>
      </c>
      <c r="J207" s="100">
        <f>IFERROR(DTE_demand_forecast!J220*Settings!$K$49,"-")</f>
        <v>18195489.046661686</v>
      </c>
      <c r="K207" s="100">
        <f>IFERROR(DTE_demand_forecast!K220*Settings!$K$49,"-")</f>
        <v>19742742.36416737</v>
      </c>
      <c r="L207" s="100">
        <f>IFERROR(DTE_demand_forecast!L220*Settings!$K$49,"-")</f>
        <v>21347689.873173263</v>
      </c>
      <c r="M207" s="100">
        <f>IFERROR(DTE_demand_forecast!M220*Settings!$K$49,"-")</f>
        <v>26163233.455230806</v>
      </c>
      <c r="N207" s="100">
        <f>IFERROR(DTE_demand_forecast!N220*Settings!$K$49,"-")</f>
        <v>26534297.319312964</v>
      </c>
      <c r="O207" s="100">
        <f>IFERROR(DTE_demand_forecast!O220*Settings!$K$49,"-")</f>
        <v>26912782.460676774</v>
      </c>
      <c r="P207" s="100">
        <f>IFERROR(DTE_demand_forecast!P220*Settings!$K$49,"-")</f>
        <v>27298837.304867856</v>
      </c>
      <c r="Q207" s="100">
        <f>IFERROR(DTE_demand_forecast!Q220*Settings!$K$49,"-")</f>
        <v>27692613.245942764</v>
      </c>
      <c r="R207" s="100">
        <f>IFERROR(DTE_demand_forecast!R220*Settings!$K$49,"-")</f>
        <v>28094264.705839157</v>
      </c>
      <c r="S207" s="100">
        <f>IFERROR(DTE_demand_forecast!S220*Settings!$K$49,"-")</f>
        <v>28503949.194933489</v>
      </c>
      <c r="T207" s="100">
        <f>IFERROR(DTE_demand_forecast!T220*Settings!$K$49,"-")</f>
        <v>28921827.373809706</v>
      </c>
      <c r="U207" s="100">
        <f>IFERROR(DTE_demand_forecast!U220*Settings!$K$49,"-")</f>
        <v>29348063.116263442</v>
      </c>
      <c r="V207" s="100">
        <f>IFERROR(DTE_demand_forecast!V220*Settings!$K$49,"-")</f>
        <v>29782823.573566262</v>
      </c>
    </row>
    <row r="208" spans="1:22" x14ac:dyDescent="0.3">
      <c r="A208" s="179"/>
      <c r="B208" s="47" t="s">
        <v>57</v>
      </c>
      <c r="C208" s="100">
        <f>IFERROR(DTE_demand_forecast!C221*Settings!$K$49,"-")</f>
        <v>11171234.468633255</v>
      </c>
      <c r="D208" s="100">
        <f>IFERROR(DTE_demand_forecast!D221*Settings!$K$49,"-")</f>
        <v>9374666.4990811963</v>
      </c>
      <c r="E208" s="100">
        <f>IFERROR(DTE_demand_forecast!E221*Settings!$K$49,"-")</f>
        <v>8465610.7771360688</v>
      </c>
      <c r="F208" s="100">
        <f>IFERROR(DTE_demand_forecast!F221*Settings!$K$49,"-")</f>
        <v>7445325.9237880064</v>
      </c>
      <c r="G208" s="100">
        <f>IFERROR(DTE_demand_forecast!G221*Settings!$K$49,"-")</f>
        <v>9169660.5516046714</v>
      </c>
      <c r="H208" s="100">
        <f>IFERROR(DTE_demand_forecast!H221*Settings!$K$49,"-")</f>
        <v>9468903.9780647028</v>
      </c>
      <c r="I208" s="100">
        <f>IFERROR(DTE_demand_forecast!I221*Settings!$K$49,"-")</f>
        <v>9857832.0276165046</v>
      </c>
      <c r="J208" s="100">
        <f>IFERROR(DTE_demand_forecast!J221*Settings!$K$49,"-")</f>
        <v>11436570.45196208</v>
      </c>
      <c r="K208" s="100">
        <f>IFERROR(DTE_demand_forecast!K221*Settings!$K$49,"-")</f>
        <v>12426081.59423141</v>
      </c>
      <c r="L208" s="100">
        <f>IFERROR(DTE_demand_forecast!L221*Settings!$K$49,"-")</f>
        <v>13450612.472399978</v>
      </c>
      <c r="M208" s="100">
        <f>IFERROR(DTE_demand_forecast!M221*Settings!$K$49,"-")</f>
        <v>13718928.802385207</v>
      </c>
      <c r="N208" s="100">
        <f>IFERROR(DTE_demand_forecast!N221*Settings!$K$49,"-")</f>
        <v>13992611.458970137</v>
      </c>
      <c r="O208" s="100">
        <f>IFERROR(DTE_demand_forecast!O221*Settings!$K$49,"-")</f>
        <v>14271767.76868677</v>
      </c>
      <c r="P208" s="100">
        <f>IFERROR(DTE_demand_forecast!P221*Settings!$K$49,"-")</f>
        <v>14556507.204597732</v>
      </c>
      <c r="Q208" s="100">
        <f>IFERROR(DTE_demand_forecast!Q221*Settings!$K$49,"-")</f>
        <v>14846941.429226918</v>
      </c>
      <c r="R208" s="100">
        <f>IFERROR(DTE_demand_forecast!R221*Settings!$K$49,"-")</f>
        <v>15143184.338348681</v>
      </c>
      <c r="S208" s="100">
        <f>IFERROR(DTE_demand_forecast!S221*Settings!$K$49,"-")</f>
        <v>15445352.105652886</v>
      </c>
      <c r="T208" s="100">
        <f>IFERROR(DTE_demand_forecast!T221*Settings!$K$49,"-")</f>
        <v>15753563.228303172</v>
      </c>
      <c r="U208" s="100">
        <f>IFERROR(DTE_demand_forecast!U221*Settings!$K$49,"-")</f>
        <v>16067938.573406463</v>
      </c>
      <c r="V208" s="100">
        <f>IFERROR(DTE_demand_forecast!V221*Settings!$K$49,"-")</f>
        <v>16388601.42541182</v>
      </c>
    </row>
    <row r="209" spans="1:22" x14ac:dyDescent="0.3">
      <c r="A209" s="179"/>
      <c r="B209" s="47" t="s">
        <v>56</v>
      </c>
      <c r="C209" s="100">
        <f>IFERROR(DTE_demand_forecast!C222*Settings!$K$49,"-")</f>
        <v>189957.06329206791</v>
      </c>
      <c r="D209" s="100">
        <f>IFERROR(DTE_demand_forecast!D222*Settings!$K$49,"-")</f>
        <v>212424.79431431089</v>
      </c>
      <c r="E209" s="100">
        <f>IFERROR(DTE_demand_forecast!E222*Settings!$K$49,"-")</f>
        <v>260384.54867416032</v>
      </c>
      <c r="F209" s="100">
        <f>IFERROR(DTE_demand_forecast!F222*Settings!$K$49,"-")</f>
        <v>286362.07211222494</v>
      </c>
      <c r="G209" s="100">
        <f>IFERROR(DTE_demand_forecast!G222*Settings!$K$49,"-")</f>
        <v>313312.51800604991</v>
      </c>
      <c r="H209" s="100">
        <f>IFERROR(DTE_demand_forecast!H222*Settings!$K$49,"-")</f>
        <v>341264.41224449023</v>
      </c>
      <c r="I209" s="100">
        <f>IFERROR(DTE_demand_forecast!I222*Settings!$K$49,"-")</f>
        <v>370247.03258297296</v>
      </c>
      <c r="J209" s="100">
        <f>IFERROR(DTE_demand_forecast!J222*Settings!$K$49,"-")</f>
        <v>400290.42730780452</v>
      </c>
      <c r="K209" s="100">
        <f>IFERROR(DTE_demand_forecast!K222*Settings!$K$49,"-")</f>
        <v>431425.43434630363</v>
      </c>
      <c r="L209" s="100">
        <f>IFERROR(DTE_demand_forecast!L222*Settings!$K$49,"-")</f>
        <v>463683.70083312667</v>
      </c>
      <c r="M209" s="100">
        <f>IFERROR(DTE_demand_forecast!M222*Settings!$K$49,"-")</f>
        <v>471058.60796442453</v>
      </c>
      <c r="N209" s="100">
        <f>IFERROR(DTE_demand_forecast!N222*Settings!$K$49,"-")</f>
        <v>478581.01323834824</v>
      </c>
      <c r="O209" s="100">
        <f>IFERROR(DTE_demand_forecast!O222*Settings!$K$49,"-")</f>
        <v>486253.86661775055</v>
      </c>
      <c r="P209" s="100">
        <f>IFERROR(DTE_demand_forecast!P222*Settings!$K$49,"-")</f>
        <v>494080.17706474086</v>
      </c>
      <c r="Q209" s="100">
        <f>IFERROR(DTE_demand_forecast!Q222*Settings!$K$49,"-")</f>
        <v>502063.01372067095</v>
      </c>
      <c r="R209" s="100">
        <f>IFERROR(DTE_demand_forecast!R222*Settings!$K$49,"-")</f>
        <v>510205.50710971956</v>
      </c>
      <c r="S209" s="100">
        <f>IFERROR(DTE_demand_forecast!S222*Settings!$K$49,"-")</f>
        <v>518510.85036654928</v>
      </c>
      <c r="T209" s="100">
        <f>IFERROR(DTE_demand_forecast!T222*Settings!$K$49,"-")</f>
        <v>526982.30048851564</v>
      </c>
      <c r="U209" s="100">
        <f>IFERROR(DTE_demand_forecast!U222*Settings!$K$49,"-")</f>
        <v>535623.17961292132</v>
      </c>
      <c r="V209" s="100">
        <f>IFERROR(DTE_demand_forecast!V222*Settings!$K$49,"-")</f>
        <v>544436.87631981494</v>
      </c>
    </row>
    <row r="210" spans="1:22" x14ac:dyDescent="0.3">
      <c r="A210" s="179"/>
      <c r="B210" s="47" t="s">
        <v>100</v>
      </c>
      <c r="C210" s="100">
        <f>IFERROR(DTE_demand_forecast!C223*Settings!$K$49,"-")</f>
        <v>0</v>
      </c>
      <c r="D210" s="100">
        <f>IFERROR(DTE_demand_forecast!D223*Settings!$K$49,"-")</f>
        <v>0</v>
      </c>
      <c r="E210" s="100">
        <f>IFERROR(DTE_demand_forecast!E223*Settings!$K$49,"-")</f>
        <v>0</v>
      </c>
      <c r="F210" s="100">
        <f>IFERROR(DTE_demand_forecast!F223*Settings!$K$49,"-")</f>
        <v>0</v>
      </c>
      <c r="G210" s="100">
        <f>IFERROR(DTE_demand_forecast!G223*Settings!$K$49,"-")</f>
        <v>0</v>
      </c>
      <c r="H210" s="100">
        <f>IFERROR(DTE_demand_forecast!H223*Settings!$K$49,"-")</f>
        <v>0</v>
      </c>
      <c r="I210" s="100">
        <f>IFERROR(DTE_demand_forecast!I223*Settings!$K$49,"-")</f>
        <v>0</v>
      </c>
      <c r="J210" s="100">
        <f>IFERROR(DTE_demand_forecast!J223*Settings!$K$49,"-")</f>
        <v>0</v>
      </c>
      <c r="K210" s="100">
        <f>IFERROR(DTE_demand_forecast!K223*Settings!$K$49,"-")</f>
        <v>0</v>
      </c>
      <c r="L210" s="100">
        <f>IFERROR(DTE_demand_forecast!L223*Settings!$K$49,"-")</f>
        <v>0</v>
      </c>
      <c r="M210" s="100">
        <f>IFERROR(DTE_demand_forecast!M223*Settings!$K$49,"-")</f>
        <v>0</v>
      </c>
      <c r="N210" s="100">
        <f>IFERROR(DTE_demand_forecast!N223*Settings!$K$49,"-")</f>
        <v>0</v>
      </c>
      <c r="O210" s="100">
        <f>IFERROR(DTE_demand_forecast!O223*Settings!$K$49,"-")</f>
        <v>0</v>
      </c>
      <c r="P210" s="100">
        <f>IFERROR(DTE_demand_forecast!P223*Settings!$K$49,"-")</f>
        <v>0</v>
      </c>
      <c r="Q210" s="100">
        <f>IFERROR(DTE_demand_forecast!Q223*Settings!$K$49,"-")</f>
        <v>0</v>
      </c>
      <c r="R210" s="100">
        <f>IFERROR(DTE_demand_forecast!R223*Settings!$K$49,"-")</f>
        <v>0</v>
      </c>
      <c r="S210" s="100">
        <f>IFERROR(DTE_demand_forecast!S223*Settings!$K$49,"-")</f>
        <v>0</v>
      </c>
      <c r="T210" s="100">
        <f>IFERROR(DTE_demand_forecast!T223*Settings!$K$49,"-")</f>
        <v>0</v>
      </c>
      <c r="U210" s="100">
        <f>IFERROR(DTE_demand_forecast!U223*Settings!$K$49,"-")</f>
        <v>0</v>
      </c>
      <c r="V210" s="100">
        <f>IFERROR(DTE_demand_forecast!V223*Settings!$K$49,"-")</f>
        <v>0</v>
      </c>
    </row>
    <row r="211" spans="1:22" x14ac:dyDescent="0.3">
      <c r="A211" s="179"/>
      <c r="B211" s="47" t="s">
        <v>60</v>
      </c>
      <c r="C211" s="100">
        <f>IFERROR(DTE_demand_forecast!C224*Settings!$K$49,"-")</f>
        <v>0</v>
      </c>
      <c r="D211" s="100">
        <f>IFERROR(DTE_demand_forecast!D224*Settings!$K$49,"-")</f>
        <v>0</v>
      </c>
      <c r="E211" s="100">
        <f>IFERROR(DTE_demand_forecast!E224*Settings!$K$49,"-")</f>
        <v>0</v>
      </c>
      <c r="F211" s="100">
        <f>IFERROR(DTE_demand_forecast!F224*Settings!$K$49,"-")</f>
        <v>0</v>
      </c>
      <c r="G211" s="100">
        <f>IFERROR(DTE_demand_forecast!G224*Settings!$K$49,"-")</f>
        <v>0</v>
      </c>
      <c r="H211" s="100">
        <f>IFERROR(DTE_demand_forecast!H224*Settings!$K$49,"-")</f>
        <v>0</v>
      </c>
      <c r="I211" s="100">
        <f>IFERROR(DTE_demand_forecast!I224*Settings!$K$49,"-")</f>
        <v>0</v>
      </c>
      <c r="J211" s="100">
        <f>IFERROR(DTE_demand_forecast!J224*Settings!$K$49,"-")</f>
        <v>0</v>
      </c>
      <c r="K211" s="100">
        <f>IFERROR(DTE_demand_forecast!K224*Settings!$K$49,"-")</f>
        <v>0</v>
      </c>
      <c r="L211" s="100">
        <f>IFERROR(DTE_demand_forecast!L224*Settings!$K$49,"-")</f>
        <v>0</v>
      </c>
      <c r="M211" s="100">
        <f>IFERROR(DTE_demand_forecast!M224*Settings!$K$49,"-")</f>
        <v>0</v>
      </c>
      <c r="N211" s="100">
        <f>IFERROR(DTE_demand_forecast!N224*Settings!$K$49,"-")</f>
        <v>0</v>
      </c>
      <c r="O211" s="100">
        <f>IFERROR(DTE_demand_forecast!O224*Settings!$K$49,"-")</f>
        <v>0</v>
      </c>
      <c r="P211" s="100">
        <f>IFERROR(DTE_demand_forecast!P224*Settings!$K$49,"-")</f>
        <v>0</v>
      </c>
      <c r="Q211" s="100">
        <f>IFERROR(DTE_demand_forecast!Q224*Settings!$K$49,"-")</f>
        <v>0</v>
      </c>
      <c r="R211" s="100">
        <f>IFERROR(DTE_demand_forecast!R224*Settings!$K$49,"-")</f>
        <v>0</v>
      </c>
      <c r="S211" s="100">
        <f>IFERROR(DTE_demand_forecast!S224*Settings!$K$49,"-")</f>
        <v>0</v>
      </c>
      <c r="T211" s="100">
        <f>IFERROR(DTE_demand_forecast!T224*Settings!$K$49,"-")</f>
        <v>0</v>
      </c>
      <c r="U211" s="100">
        <f>IFERROR(DTE_demand_forecast!U224*Settings!$K$49,"-")</f>
        <v>0</v>
      </c>
      <c r="V211" s="100">
        <f>IFERROR(DTE_demand_forecast!V224*Settings!$K$49,"-")</f>
        <v>0</v>
      </c>
    </row>
    <row r="212" spans="1:22" x14ac:dyDescent="0.3">
      <c r="A212" s="179"/>
      <c r="B212" s="47" t="s">
        <v>101</v>
      </c>
      <c r="C212" s="100">
        <f>IFERROR(DTE_demand_forecast!C225*Settings!$K$49,"-")</f>
        <v>0</v>
      </c>
      <c r="D212" s="100">
        <f>IFERROR(DTE_demand_forecast!D225*Settings!$K$49,"-")</f>
        <v>0</v>
      </c>
      <c r="E212" s="100">
        <f>IFERROR(DTE_demand_forecast!E225*Settings!$K$49,"-")</f>
        <v>0</v>
      </c>
      <c r="F212" s="100">
        <f>IFERROR(DTE_demand_forecast!F225*Settings!$K$49,"-")</f>
        <v>0</v>
      </c>
      <c r="G212" s="100">
        <f>IFERROR(DTE_demand_forecast!G225*Settings!$K$49,"-")</f>
        <v>0</v>
      </c>
      <c r="H212" s="100">
        <f>IFERROR(DTE_demand_forecast!H225*Settings!$K$49,"-")</f>
        <v>0</v>
      </c>
      <c r="I212" s="100">
        <f>IFERROR(DTE_demand_forecast!I225*Settings!$K$49,"-")</f>
        <v>0</v>
      </c>
      <c r="J212" s="100">
        <f>IFERROR(DTE_demand_forecast!J225*Settings!$K$49,"-")</f>
        <v>0</v>
      </c>
      <c r="K212" s="100">
        <f>IFERROR(DTE_demand_forecast!K225*Settings!$K$49,"-")</f>
        <v>0</v>
      </c>
      <c r="L212" s="100">
        <f>IFERROR(DTE_demand_forecast!L225*Settings!$K$49,"-")</f>
        <v>0</v>
      </c>
      <c r="M212" s="100">
        <f>IFERROR(DTE_demand_forecast!M225*Settings!$K$49,"-")</f>
        <v>0</v>
      </c>
      <c r="N212" s="100">
        <f>IFERROR(DTE_demand_forecast!N225*Settings!$K$49,"-")</f>
        <v>0</v>
      </c>
      <c r="O212" s="100">
        <f>IFERROR(DTE_demand_forecast!O225*Settings!$K$49,"-")</f>
        <v>0</v>
      </c>
      <c r="P212" s="100">
        <f>IFERROR(DTE_demand_forecast!P225*Settings!$K$49,"-")</f>
        <v>0</v>
      </c>
      <c r="Q212" s="100">
        <f>IFERROR(DTE_demand_forecast!Q225*Settings!$K$49,"-")</f>
        <v>0</v>
      </c>
      <c r="R212" s="100">
        <f>IFERROR(DTE_demand_forecast!R225*Settings!$K$49,"-")</f>
        <v>0</v>
      </c>
      <c r="S212" s="100">
        <f>IFERROR(DTE_demand_forecast!S225*Settings!$K$49,"-")</f>
        <v>0</v>
      </c>
      <c r="T212" s="100">
        <f>IFERROR(DTE_demand_forecast!T225*Settings!$K$49,"-")</f>
        <v>0</v>
      </c>
      <c r="U212" s="100">
        <f>IFERROR(DTE_demand_forecast!U225*Settings!$K$49,"-")</f>
        <v>0</v>
      </c>
      <c r="V212" s="100">
        <f>IFERROR(DTE_demand_forecast!V225*Settings!$K$49,"-")</f>
        <v>0</v>
      </c>
    </row>
    <row r="213" spans="1:22" x14ac:dyDescent="0.3">
      <c r="A213" s="179"/>
      <c r="B213" s="47" t="s">
        <v>58</v>
      </c>
      <c r="C213" s="100">
        <f>IFERROR(DTE_demand_forecast!C226*Settings!$K$49,"-")</f>
        <v>20329.351791670972</v>
      </c>
      <c r="D213" s="100">
        <f>IFERROR(DTE_demand_forecast!D226*Settings!$K$49,"-")</f>
        <v>24922.215756830512</v>
      </c>
      <c r="E213" s="100">
        <f>IFERROR(DTE_demand_forecast!E226*Settings!$K$49,"-")</f>
        <v>28674.060422515151</v>
      </c>
      <c r="F213" s="100">
        <f>IFERROR(DTE_demand_forecast!F226*Settings!$K$49,"-")</f>
        <v>33356.636921670346</v>
      </c>
      <c r="G213" s="100">
        <f>IFERROR(DTE_demand_forecast!G226*Settings!$K$49,"-")</f>
        <v>46286.082035361513</v>
      </c>
      <c r="H213" s="100">
        <f>IFERROR(DTE_demand_forecast!H226*Settings!$K$49,"-")</f>
        <v>51306.179180693565</v>
      </c>
      <c r="I213" s="100">
        <f>IFERROR(DTE_demand_forecast!I226*Settings!$K$49,"-")</f>
        <v>56514.962735970847</v>
      </c>
      <c r="J213" s="100">
        <f>IFERROR(DTE_demand_forecast!J226*Settings!$K$49,"-")</f>
        <v>61917.972118733036</v>
      </c>
      <c r="K213" s="100">
        <f>IFERROR(DTE_demand_forecast!K226*Settings!$K$49,"-")</f>
        <v>67520.89284865743</v>
      </c>
      <c r="L213" s="100">
        <f>IFERROR(DTE_demand_forecast!L226*Settings!$K$49,"-")</f>
        <v>73329.560175877414</v>
      </c>
      <c r="M213" s="100">
        <f>IFERROR(DTE_demand_forecast!M226*Settings!$K$49,"-")</f>
        <v>74476.303532089878</v>
      </c>
      <c r="N213" s="100">
        <f>IFERROR(DTE_demand_forecast!N226*Settings!$K$49,"-")</f>
        <v>75645.981755426576</v>
      </c>
      <c r="O213" s="100">
        <f>IFERROR(DTE_demand_forecast!O226*Settings!$K$49,"-")</f>
        <v>76839.053543230024</v>
      </c>
      <c r="P213" s="100">
        <f>IFERROR(DTE_demand_forecast!P226*Settings!$K$49,"-")</f>
        <v>78055.986766789531</v>
      </c>
      <c r="Q213" s="100">
        <f>IFERROR(DTE_demand_forecast!Q226*Settings!$K$49,"-")</f>
        <v>79297.258654820253</v>
      </c>
      <c r="R213" s="100">
        <f>IFERROR(DTE_demand_forecast!R226*Settings!$K$49,"-")</f>
        <v>80563.355980611552</v>
      </c>
      <c r="S213" s="100">
        <f>IFERROR(DTE_demand_forecast!S226*Settings!$K$49,"-")</f>
        <v>81854.775252918698</v>
      </c>
      <c r="T213" s="100">
        <f>IFERROR(DTE_demand_forecast!T226*Settings!$K$49,"-")</f>
        <v>83172.022910671993</v>
      </c>
      <c r="U213" s="100">
        <f>IFERROR(DTE_demand_forecast!U226*Settings!$K$49,"-")</f>
        <v>84515.61552158033</v>
      </c>
      <c r="V213" s="100">
        <f>IFERROR(DTE_demand_forecast!V226*Settings!$K$49,"-")</f>
        <v>85886.079984706856</v>
      </c>
    </row>
    <row r="214" spans="1:22" x14ac:dyDescent="0.3">
      <c r="A214" s="179"/>
      <c r="B214" s="47" t="s">
        <v>61</v>
      </c>
      <c r="C214" s="100">
        <f>IFERROR(DTE_demand_forecast!C227*Settings!$K$49,"-")</f>
        <v>1304878.4523147678</v>
      </c>
      <c r="D214" s="100">
        <f>IFERROR(DTE_demand_forecast!D227*Settings!$K$49,"-")</f>
        <v>2626826.8539566486</v>
      </c>
      <c r="E214" s="100">
        <f>IFERROR(DTE_demand_forecast!E227*Settings!$K$49,"-")</f>
        <v>2968093.894775732</v>
      </c>
      <c r="F214" s="100">
        <f>IFERROR(DTE_demand_forecast!F227*Settings!$K$49,"-")</f>
        <v>3323184.370355201</v>
      </c>
      <c r="G214" s="100">
        <f>IFERROR(DTE_demand_forecast!G227*Settings!$K$49,"-")</f>
        <v>3691607.8817452462</v>
      </c>
      <c r="H214" s="100">
        <f>IFERROR(DTE_demand_forecast!H227*Settings!$K$49,"-")</f>
        <v>5153552.6403024541</v>
      </c>
      <c r="I214" s="100">
        <f>IFERROR(DTE_demand_forecast!I227*Settings!$K$49,"-")</f>
        <v>5571905.7480669627</v>
      </c>
      <c r="J214" s="100">
        <f>IFERROR(DTE_demand_forecast!J227*Settings!$K$49,"-")</f>
        <v>6005328.3290326204</v>
      </c>
      <c r="K214" s="100">
        <f>IFERROR(DTE_demand_forecast!K227*Settings!$K$49,"-")</f>
        <v>6454255.8208843684</v>
      </c>
      <c r="L214" s="100">
        <f>IFERROR(DTE_demand_forecast!L227*Settings!$K$49,"-")</f>
        <v>6919135.0510252677</v>
      </c>
      <c r="M214" s="100">
        <f>IFERROR(DTE_demand_forecast!M227*Settings!$K$49,"-")</f>
        <v>7037679.2547111977</v>
      </c>
      <c r="N214" s="100">
        <f>IFERROR(DTE_demand_forecast!N227*Settings!$K$49,"-")</f>
        <v>7158594.3424708433</v>
      </c>
      <c r="O214" s="100">
        <f>IFERROR(DTE_demand_forecast!O227*Settings!$K$49,"-")</f>
        <v>7281927.7319856845</v>
      </c>
      <c r="P214" s="100">
        <f>IFERROR(DTE_demand_forecast!P227*Settings!$K$49,"-")</f>
        <v>7407727.7892908221</v>
      </c>
      <c r="Q214" s="100">
        <f>IFERROR(DTE_demand_forecast!Q227*Settings!$K$49,"-")</f>
        <v>7536043.8477420621</v>
      </c>
      <c r="R214" s="100">
        <f>IFERROR(DTE_demand_forecast!R227*Settings!$K$49,"-")</f>
        <v>7666926.2273623254</v>
      </c>
      <c r="S214" s="100">
        <f>IFERROR(DTE_demand_forecast!S227*Settings!$K$49,"-")</f>
        <v>7800426.2545749964</v>
      </c>
      <c r="T214" s="100">
        <f>IFERROR(DTE_demand_forecast!T227*Settings!$K$49,"-")</f>
        <v>7936596.2823319202</v>
      </c>
      <c r="U214" s="100">
        <f>IFERROR(DTE_demand_forecast!U227*Settings!$K$49,"-")</f>
        <v>8075489.7106439816</v>
      </c>
      <c r="V214" s="100">
        <f>IFERROR(DTE_demand_forecast!V227*Settings!$K$49,"-")</f>
        <v>8217161.0075222841</v>
      </c>
    </row>
    <row r="215" spans="1:22" x14ac:dyDescent="0.3">
      <c r="A215" s="179"/>
      <c r="B215" s="47" t="s">
        <v>104</v>
      </c>
      <c r="C215" s="176">
        <f>SUM(C207:C214)</f>
        <v>21537035.009481072</v>
      </c>
      <c r="D215" s="176">
        <f>SUM(D207:D214)</f>
        <v>22273619.382056575</v>
      </c>
      <c r="E215" s="176">
        <f>SUM(E207:E214)</f>
        <v>22977897.880534615</v>
      </c>
      <c r="F215" s="176">
        <f>SUM(F207:F214)</f>
        <v>23639366.406688325</v>
      </c>
      <c r="G215" s="176">
        <f>SUM(G207:G214)</f>
        <v>27104517.310046759</v>
      </c>
      <c r="H215" s="176">
        <f>SUM(H207:H214)</f>
        <v>30282552.673975002</v>
      </c>
      <c r="I215" s="176">
        <f>SUM(I207:I214)</f>
        <v>32560784.224521369</v>
      </c>
      <c r="J215" s="176">
        <f>SUM(J207:J214)</f>
        <v>36099596.227082923</v>
      </c>
      <c r="K215" s="176">
        <f>SUM(K207:K214)</f>
        <v>39122026.10647811</v>
      </c>
      <c r="L215" s="176">
        <f>SUM(L207:L214)</f>
        <v>42254450.657607511</v>
      </c>
      <c r="M215" s="176">
        <f>SUM(M207:M214)</f>
        <v>47465376.423823722</v>
      </c>
      <c r="N215" s="176">
        <f>SUM(N207:N214)</f>
        <v>48239730.11574772</v>
      </c>
      <c r="O215" s="176">
        <f>SUM(O207:O214)</f>
        <v>49029570.881510213</v>
      </c>
      <c r="P215" s="176">
        <f>SUM(P207:P214)</f>
        <v>49835208.462587945</v>
      </c>
      <c r="Q215" s="176">
        <f>SUM(Q207:Q214)</f>
        <v>50656958.795287237</v>
      </c>
      <c r="R215" s="176">
        <f>SUM(R207:R214)</f>
        <v>51495144.134640492</v>
      </c>
      <c r="S215" s="176">
        <f>SUM(S207:S214)</f>
        <v>52350093.180780835</v>
      </c>
      <c r="T215" s="176">
        <f>SUM(T207:T214)</f>
        <v>53222141.207843982</v>
      </c>
      <c r="U215" s="176">
        <f>SUM(U207:U214)</f>
        <v>54111630.195448391</v>
      </c>
      <c r="V215" s="176">
        <f>SUM(V207:V214)</f>
        <v>55018908.962804891</v>
      </c>
    </row>
    <row r="216" spans="1:22" x14ac:dyDescent="0.3">
      <c r="A216" s="179"/>
    </row>
    <row r="217" spans="1:22" x14ac:dyDescent="0.3">
      <c r="A217" s="179"/>
    </row>
    <row r="218" spans="1:22" x14ac:dyDescent="0.3">
      <c r="A218" s="179"/>
    </row>
    <row r="219" spans="1:22" x14ac:dyDescent="0.3">
      <c r="A219" s="179"/>
    </row>
    <row r="220" spans="1:22" x14ac:dyDescent="0.3">
      <c r="A220" s="179"/>
    </row>
    <row r="221" spans="1:22" x14ac:dyDescent="0.3">
      <c r="A221" s="179"/>
    </row>
    <row r="222" spans="1:22" x14ac:dyDescent="0.3">
      <c r="A222" s="179"/>
    </row>
    <row r="223" spans="1:22" x14ac:dyDescent="0.3">
      <c r="A223" s="179"/>
    </row>
    <row r="224" spans="1:22" x14ac:dyDescent="0.3">
      <c r="A224" s="179"/>
    </row>
  </sheetData>
  <mergeCells count="4">
    <mergeCell ref="A1:A56"/>
    <mergeCell ref="A57:A112"/>
    <mergeCell ref="A113:A168"/>
    <mergeCell ref="A169:A224"/>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0BDA-829A-487E-980D-B18B45D307D0}">
  <sheetPr>
    <tabColor theme="5"/>
  </sheetPr>
  <dimension ref="A1:V224"/>
  <sheetViews>
    <sheetView zoomScaleNormal="100" workbookViewId="0">
      <selection activeCell="AL55" sqref="AL55"/>
    </sheetView>
  </sheetViews>
  <sheetFormatPr defaultRowHeight="14.4" x14ac:dyDescent="0.3"/>
  <cols>
    <col min="1" max="1" width="8.88671875" style="49"/>
    <col min="2" max="2" width="57.21875" style="49" customWidth="1"/>
    <col min="3" max="3" width="16.5546875" style="33" bestFit="1" customWidth="1"/>
    <col min="4" max="12" width="16.77734375" style="33" bestFit="1" customWidth="1"/>
    <col min="13" max="13" width="16.5546875" style="33" bestFit="1" customWidth="1"/>
    <col min="14" max="22" width="16.77734375" style="33" bestFit="1" customWidth="1"/>
    <col min="23" max="16384" width="8.88671875" style="49"/>
  </cols>
  <sheetData>
    <row r="1" spans="1:22" x14ac:dyDescent="0.3">
      <c r="A1" s="180">
        <v>0.2</v>
      </c>
      <c r="B1" s="49" t="s">
        <v>225</v>
      </c>
      <c r="L1" s="34"/>
      <c r="M1" s="34"/>
    </row>
    <row r="2" spans="1:22" x14ac:dyDescent="0.3">
      <c r="A2" s="179"/>
      <c r="B2" s="97" t="s">
        <v>102</v>
      </c>
      <c r="C2" s="97">
        <v>2021</v>
      </c>
      <c r="D2" s="98">
        <v>2022</v>
      </c>
      <c r="E2" s="97">
        <v>2023</v>
      </c>
      <c r="F2" s="98">
        <v>2024</v>
      </c>
      <c r="G2" s="97">
        <v>2025</v>
      </c>
      <c r="H2" s="98">
        <v>2026</v>
      </c>
      <c r="I2" s="97">
        <v>2027</v>
      </c>
      <c r="J2" s="98">
        <v>2028</v>
      </c>
      <c r="K2" s="97">
        <v>2029</v>
      </c>
      <c r="L2" s="98">
        <v>2030</v>
      </c>
      <c r="M2" s="97">
        <v>2031</v>
      </c>
      <c r="N2" s="98">
        <v>2032</v>
      </c>
      <c r="O2" s="97">
        <v>2033</v>
      </c>
      <c r="P2" s="98">
        <v>2034</v>
      </c>
      <c r="Q2" s="97">
        <v>2035</v>
      </c>
      <c r="R2" s="98">
        <v>2036</v>
      </c>
      <c r="S2" s="97">
        <v>2037</v>
      </c>
      <c r="T2" s="98">
        <v>2038</v>
      </c>
      <c r="U2" s="97">
        <v>2039</v>
      </c>
      <c r="V2" s="98">
        <v>2040</v>
      </c>
    </row>
    <row r="3" spans="1:22" x14ac:dyDescent="0.3">
      <c r="A3" s="179"/>
      <c r="B3" s="47" t="str">
        <f>DTE_demand_forecast!B62</f>
        <v>Human Space Flight</v>
      </c>
      <c r="C3" s="100">
        <f>IFERROR(SR_demand_forecast!D56*Settings!$K$61,"-")</f>
        <v>5157318.6296776216</v>
      </c>
      <c r="D3" s="100">
        <f>IFERROR(SR_demand_forecast!E56*Settings!$K$61,"-")</f>
        <v>5288138.4193084687</v>
      </c>
      <c r="E3" s="100">
        <f>IFERROR(SR_demand_forecast!F56*Settings!$K$61,"-")</f>
        <v>5424140.685220845</v>
      </c>
      <c r="F3" s="100">
        <f>IFERROR(SR_demand_forecast!G56*Settings!$K$61,"-")</f>
        <v>5565480.3985501602</v>
      </c>
      <c r="G3" s="100">
        <f>IFERROR(SR_demand_forecast!H56*Settings!$K$61,"-")</f>
        <v>5712316.6562867267</v>
      </c>
      <c r="H3" s="100">
        <f>IFERROR(SR_demand_forecast!I56*Settings!$K$61,"-")</f>
        <v>5864812.7843215028</v>
      </c>
      <c r="I3" s="100">
        <f>IFERROR(SR_demand_forecast!J56*Settings!$K$61,"-")</f>
        <v>6023136.4429633217</v>
      </c>
      <c r="J3" s="100">
        <f>IFERROR(SR_demand_forecast!K56*Settings!$K$61,"-")</f>
        <v>6187459.7349852519</v>
      </c>
      <c r="K3" s="100">
        <f>IFERROR(SR_demand_forecast!L56*Settings!$K$61,"-")</f>
        <v>6357959.3162590405</v>
      </c>
      <c r="L3" s="100">
        <f>IFERROR(SR_demand_forecast!M56*Settings!$K$61,"-")</f>
        <v>6534816.5090379538</v>
      </c>
      <c r="M3" s="100">
        <f>IFERROR(SR_demand_forecast!N56*Settings!$K$61,"-")</f>
        <v>8373703.3619924262</v>
      </c>
      <c r="N3" s="100">
        <f>IFERROR(SR_demand_forecast!O56*Settings!$K$61,"-")</f>
        <v>8465704.4736760166</v>
      </c>
      <c r="O3" s="100">
        <f>IFERROR(SR_demand_forecast!P56*Settings!$K$61,"-")</f>
        <v>8559545.6075932775</v>
      </c>
      <c r="P3" s="100">
        <f>IFERROR(SR_demand_forecast!Q56*Settings!$K$61,"-")</f>
        <v>8655263.5641888864</v>
      </c>
      <c r="Q3" s="100">
        <f>IFERROR(SR_demand_forecast!R56*Settings!$K$61,"-")</f>
        <v>8752895.8799164072</v>
      </c>
      <c r="R3" s="100">
        <f>IFERROR(SR_demand_forecast!S56*Settings!$K$61,"-")</f>
        <v>8852480.8419584744</v>
      </c>
      <c r="S3" s="100">
        <f>IFERROR(SR_demand_forecast!T56*Settings!$K$61,"-")</f>
        <v>8954057.5032413881</v>
      </c>
      <c r="T3" s="100">
        <f>IFERROR(SR_demand_forecast!U56*Settings!$K$61,"-")</f>
        <v>9057665.6977499593</v>
      </c>
      <c r="U3" s="100">
        <f>IFERROR(SR_demand_forecast!V56*Settings!$K$61,"-")</f>
        <v>9163346.0561487004</v>
      </c>
      <c r="V3" s="100">
        <f>IFERROR(SR_demand_forecast!W56*Settings!$K$61,"-")</f>
        <v>9271140.0217154156</v>
      </c>
    </row>
    <row r="4" spans="1:22" x14ac:dyDescent="0.3">
      <c r="A4" s="179"/>
      <c r="B4" s="47" t="str">
        <f>DTE_demand_forecast!B63</f>
        <v>Near Earth Robotic - LEO Science</v>
      </c>
      <c r="C4" s="100">
        <f>IFERROR(SR_demand_forecast!D57*Settings!$K$61,"-")</f>
        <v>12493153.706076512</v>
      </c>
      <c r="D4" s="100">
        <f>IFERROR(SR_demand_forecast!E57*Settings!$K$61,"-")</f>
        <v>12247757.918137038</v>
      </c>
      <c r="E4" s="100">
        <f>IFERROR(SR_demand_forecast!F57*Settings!$K$61,"-")</f>
        <v>13511195.660613988</v>
      </c>
      <c r="F4" s="100">
        <f>IFERROR(SR_demand_forecast!G57*Settings!$K$61,"-")</f>
        <v>14138575.70061142</v>
      </c>
      <c r="G4" s="100">
        <f>IFERROR(SR_demand_forecast!H57*Settings!$K$61,"-")</f>
        <v>15269134.857713597</v>
      </c>
      <c r="H4" s="100">
        <f>IFERROR(SR_demand_forecast!I57*Settings!$K$61,"-")</f>
        <v>16154915.761691894</v>
      </c>
      <c r="I4" s="100">
        <f>IFERROR(SR_demand_forecast!J57*Settings!$K$61,"-")</f>
        <v>17160290.841306839</v>
      </c>
      <c r="J4" s="100">
        <f>IFERROR(SR_demand_forecast!K57*Settings!$K$61,"-")</f>
        <v>18180221.362193629</v>
      </c>
      <c r="K4" s="100">
        <f>IFERROR(SR_demand_forecast!L57*Settings!$K$61,"-")</f>
        <v>19042647.963365618</v>
      </c>
      <c r="L4" s="100">
        <f>IFERROR(SR_demand_forecast!M57*Settings!$K$61,"-")</f>
        <v>19932591.677882396</v>
      </c>
      <c r="M4" s="100">
        <f>IFERROR(SR_demand_forecast!N57*Settings!$K$61,"-")</f>
        <v>20316636.61930079</v>
      </c>
      <c r="N4" s="100">
        <f>IFERROR(SR_demand_forecast!O57*Settings!$K$61,"-")</f>
        <v>20708362.459547549</v>
      </c>
      <c r="O4" s="100">
        <f>IFERROR(SR_demand_forecast!P57*Settings!$K$61,"-")</f>
        <v>21107922.81659925</v>
      </c>
      <c r="P4" s="100">
        <f>IFERROR(SR_demand_forecast!Q57*Settings!$K$61,"-")</f>
        <v>21515474.380791977</v>
      </c>
      <c r="Q4" s="100">
        <f>IFERROR(SR_demand_forecast!R57*Settings!$K$61,"-")</f>
        <v>21931176.976268567</v>
      </c>
      <c r="R4" s="100">
        <f>IFERROR(SR_demand_forecast!S57*Settings!$K$61,"-")</f>
        <v>22355193.623654675</v>
      </c>
      <c r="S4" s="100">
        <f>IFERROR(SR_demand_forecast!T57*Settings!$K$61,"-")</f>
        <v>22787690.603988521</v>
      </c>
      <c r="T4" s="100">
        <f>IFERROR(SR_demand_forecast!U57*Settings!$K$61,"-")</f>
        <v>23228837.523929033</v>
      </c>
      <c r="U4" s="100">
        <f>IFERROR(SR_demand_forecast!V57*Settings!$K$61,"-")</f>
        <v>23678807.382268362</v>
      </c>
      <c r="V4" s="100">
        <f>IFERROR(SR_demand_forecast!W57*Settings!$K$61,"-")</f>
        <v>24137776.637774471</v>
      </c>
    </row>
    <row r="5" spans="1:22" x14ac:dyDescent="0.3">
      <c r="A5" s="179"/>
      <c r="B5" s="47" t="str">
        <f>DTE_demand_forecast!B64</f>
        <v>Near Earth Robotic - GEO and Near Earth</v>
      </c>
      <c r="C5" s="100">
        <f>IFERROR(SR_demand_forecast!D58*Settings!$K$61,"-")</f>
        <v>82841.77526456237</v>
      </c>
      <c r="D5" s="100">
        <f>IFERROR(SR_demand_forecast!E58*Settings!$K$61,"-")</f>
        <v>88226.490656758921</v>
      </c>
      <c r="E5" s="100">
        <f>IFERROR(SR_demand_forecast!F58*Settings!$K$61,"-")</f>
        <v>123896.08804129784</v>
      </c>
      <c r="F5" s="100">
        <f>IFERROR(SR_demand_forecast!G58*Settings!$K$61,"-")</f>
        <v>131868.53196743352</v>
      </c>
      <c r="G5" s="100">
        <f>IFERROR(SR_demand_forecast!H58*Settings!$K$61,"-")</f>
        <v>140110.31521539815</v>
      </c>
      <c r="H5" s="100">
        <f>IFERROR(SR_demand_forecast!I58*Settings!$K$61,"-")</f>
        <v>148629.02238049434</v>
      </c>
      <c r="I5" s="100">
        <f>IFERROR(SR_demand_forecast!J58*Settings!$K$61,"-")</f>
        <v>157432.43370610825</v>
      </c>
      <c r="J5" s="100">
        <f>IFERROR(SR_demand_forecast!K58*Settings!$K$61,"-")</f>
        <v>166528.52987579445</v>
      </c>
      <c r="K5" s="100">
        <f>IFERROR(SR_demand_forecast!L58*Settings!$K$61,"-")</f>
        <v>175925.49691878574</v>
      </c>
      <c r="L5" s="100">
        <f>IFERROR(SR_demand_forecast!M58*Settings!$K$61,"-")</f>
        <v>185631.73123154635</v>
      </c>
      <c r="M5" s="100">
        <f>IFERROR(SR_demand_forecast!N58*Settings!$K$61,"-")</f>
        <v>189344.36585617726</v>
      </c>
      <c r="N5" s="100">
        <f>IFERROR(SR_demand_forecast!O58*Settings!$K$61,"-")</f>
        <v>193131.25317330076</v>
      </c>
      <c r="O5" s="100">
        <f>IFERROR(SR_demand_forecast!P58*Settings!$K$61,"-")</f>
        <v>196993.87823676685</v>
      </c>
      <c r="P5" s="100">
        <f>IFERROR(SR_demand_forecast!Q58*Settings!$K$61,"-")</f>
        <v>200933.75580150218</v>
      </c>
      <c r="Q5" s="100">
        <f>IFERROR(SR_demand_forecast!R58*Settings!$K$61,"-")</f>
        <v>204952.43091753224</v>
      </c>
      <c r="R5" s="100">
        <f>IFERROR(SR_demand_forecast!S58*Settings!$K$61,"-")</f>
        <v>209051.47953588283</v>
      </c>
      <c r="S5" s="100">
        <f>IFERROR(SR_demand_forecast!T58*Settings!$K$61,"-")</f>
        <v>213232.50912660049</v>
      </c>
      <c r="T5" s="100">
        <f>IFERROR(SR_demand_forecast!U58*Settings!$K$61,"-")</f>
        <v>217497.15930913255</v>
      </c>
      <c r="U5" s="100">
        <f>IFERROR(SR_demand_forecast!V58*Settings!$K$61,"-")</f>
        <v>221847.10249531516</v>
      </c>
      <c r="V5" s="100">
        <f>IFERROR(SR_demand_forecast!W58*Settings!$K$61,"-")</f>
        <v>226284.04454522146</v>
      </c>
    </row>
    <row r="6" spans="1:22" x14ac:dyDescent="0.3">
      <c r="A6" s="179"/>
      <c r="B6" s="47" t="str">
        <f>DTE_demand_forecast!B65</f>
        <v>Deep Space Robotic</v>
      </c>
      <c r="C6" s="100">
        <f>IFERROR(SR_demand_forecast!D59*Settings!$K$61,"-")</f>
        <v>0</v>
      </c>
      <c r="D6" s="100">
        <f>IFERROR(SR_demand_forecast!E59*Settings!$K$61,"-")</f>
        <v>0</v>
      </c>
      <c r="E6" s="100">
        <f>IFERROR(SR_demand_forecast!F59*Settings!$K$61,"-")</f>
        <v>0</v>
      </c>
      <c r="F6" s="100">
        <f>IFERROR(SR_demand_forecast!G59*Settings!$K$61,"-")</f>
        <v>0</v>
      </c>
      <c r="G6" s="100">
        <f>IFERROR(SR_demand_forecast!H59*Settings!$K$61,"-")</f>
        <v>0</v>
      </c>
      <c r="H6" s="100">
        <f>IFERROR(SR_demand_forecast!I59*Settings!$K$61,"-")</f>
        <v>0</v>
      </c>
      <c r="I6" s="100">
        <f>IFERROR(SR_demand_forecast!J59*Settings!$K$61,"-")</f>
        <v>0</v>
      </c>
      <c r="J6" s="100">
        <f>IFERROR(SR_demand_forecast!K59*Settings!$K$61,"-")</f>
        <v>0</v>
      </c>
      <c r="K6" s="100">
        <f>IFERROR(SR_demand_forecast!L59*Settings!$K$61,"-")</f>
        <v>0</v>
      </c>
      <c r="L6" s="100">
        <f>IFERROR(SR_demand_forecast!M59*Settings!$K$61,"-")</f>
        <v>0</v>
      </c>
      <c r="M6" s="100">
        <f>IFERROR(SR_demand_forecast!N59*Settings!$K$61,"-")</f>
        <v>0</v>
      </c>
      <c r="N6" s="100">
        <f>IFERROR(SR_demand_forecast!O59*Settings!$K$61,"-")</f>
        <v>0</v>
      </c>
      <c r="O6" s="100">
        <f>IFERROR(SR_demand_forecast!P59*Settings!$K$61,"-")</f>
        <v>0</v>
      </c>
      <c r="P6" s="100">
        <f>IFERROR(SR_demand_forecast!Q59*Settings!$K$61,"-")</f>
        <v>0</v>
      </c>
      <c r="Q6" s="100">
        <f>IFERROR(SR_demand_forecast!R59*Settings!$K$61,"-")</f>
        <v>0</v>
      </c>
      <c r="R6" s="100">
        <f>IFERROR(SR_demand_forecast!S59*Settings!$K$61,"-")</f>
        <v>0</v>
      </c>
      <c r="S6" s="100">
        <f>IFERROR(SR_demand_forecast!T59*Settings!$K$61,"-")</f>
        <v>0</v>
      </c>
      <c r="T6" s="100">
        <f>IFERROR(SR_demand_forecast!U59*Settings!$K$61,"-")</f>
        <v>0</v>
      </c>
      <c r="U6" s="100">
        <f>IFERROR(SR_demand_forecast!V59*Settings!$K$61,"-")</f>
        <v>0</v>
      </c>
      <c r="V6" s="100">
        <f>IFERROR(SR_demand_forecast!W59*Settings!$K$61,"-")</f>
        <v>0</v>
      </c>
    </row>
    <row r="7" spans="1:22" x14ac:dyDescent="0.3">
      <c r="A7" s="179"/>
      <c r="B7" s="47" t="str">
        <f>DTE_demand_forecast!B66</f>
        <v>Near Earth Robotic - Low Latency &amp; Complex Needs</v>
      </c>
      <c r="C7" s="100">
        <f>IFERROR(SR_demand_forecast!D60*Settings!$K$61,"-")</f>
        <v>5042.3048067469181</v>
      </c>
      <c r="D7" s="100">
        <f>IFERROR(SR_demand_forecast!E60*Settings!$K$61,"-")</f>
        <v>5042.3048067469181</v>
      </c>
      <c r="E7" s="100">
        <f>IFERROR(SR_demand_forecast!F60*Settings!$K$61,"-")</f>
        <v>5042.3048067469181</v>
      </c>
      <c r="F7" s="100">
        <f>IFERROR(SR_demand_forecast!G60*Settings!$K$61,"-")</f>
        <v>5042.3048067469181</v>
      </c>
      <c r="G7" s="100">
        <f>IFERROR(SR_demand_forecast!H60*Settings!$K$61,"-")</f>
        <v>5457.9528833454488</v>
      </c>
      <c r="H7" s="100">
        <f>IFERROR(SR_demand_forecast!I60*Settings!$K$61,"-")</f>
        <v>5567.1119410123583</v>
      </c>
      <c r="I7" s="100">
        <f>IFERROR(SR_demand_forecast!J60*Settings!$K$61,"-")</f>
        <v>5678.4541798326054</v>
      </c>
      <c r="J7" s="100">
        <f>IFERROR(SR_demand_forecast!K60*Settings!$K$61,"-")</f>
        <v>5792.0232634292561</v>
      </c>
      <c r="K7" s="100">
        <f>IFERROR(SR_demand_forecast!L60*Settings!$K$61,"-")</f>
        <v>5907.8637286978428</v>
      </c>
      <c r="L7" s="100">
        <f>IFERROR(SR_demand_forecast!M60*Settings!$K$61,"-")</f>
        <v>6026.0210032717987</v>
      </c>
      <c r="M7" s="100">
        <f>IFERROR(SR_demand_forecast!N60*Settings!$K$61,"-")</f>
        <v>6146.5414233372348</v>
      </c>
      <c r="N7" s="100">
        <f>IFERROR(SR_demand_forecast!O60*Settings!$K$61,"-")</f>
        <v>6269.4722518039789</v>
      </c>
      <c r="O7" s="100">
        <f>IFERROR(SR_demand_forecast!P60*Settings!$K$61,"-")</f>
        <v>6394.8616968400593</v>
      </c>
      <c r="P7" s="100">
        <f>IFERROR(SR_demand_forecast!Q60*Settings!$K$61,"-")</f>
        <v>6522.7589307768603</v>
      </c>
      <c r="Q7" s="100">
        <f>IFERROR(SR_demand_forecast!R60*Settings!$K$61,"-")</f>
        <v>6653.2141093923983</v>
      </c>
      <c r="R7" s="100">
        <f>IFERROR(SR_demand_forecast!S60*Settings!$K$61,"-")</f>
        <v>6786.2783915802438</v>
      </c>
      <c r="S7" s="100">
        <f>IFERROR(SR_demand_forecast!T60*Settings!$K$61,"-")</f>
        <v>6922.0039594118498</v>
      </c>
      <c r="T7" s="100">
        <f>IFERROR(SR_demand_forecast!U60*Settings!$K$61,"-")</f>
        <v>7060.4440386000879</v>
      </c>
      <c r="U7" s="100">
        <f>IFERROR(SR_demand_forecast!V60*Settings!$K$61,"-")</f>
        <v>7201.6529193720889</v>
      </c>
      <c r="V7" s="100">
        <f>IFERROR(SR_demand_forecast!W60*Settings!$K$61,"-")</f>
        <v>7345.68597775953</v>
      </c>
    </row>
    <row r="8" spans="1:22" x14ac:dyDescent="0.3">
      <c r="A8" s="179"/>
      <c r="B8" s="47" t="str">
        <f>DTE_demand_forecast!B67</f>
        <v>Mission Operations</v>
      </c>
      <c r="C8" s="100">
        <f>IFERROR(SR_demand_forecast!D61*Settings!$K$61,"-")</f>
        <v>0</v>
      </c>
      <c r="D8" s="100">
        <f>IFERROR(SR_demand_forecast!E61*Settings!$K$61,"-")</f>
        <v>0</v>
      </c>
      <c r="E8" s="100">
        <f>IFERROR(SR_demand_forecast!F61*Settings!$K$61,"-")</f>
        <v>0</v>
      </c>
      <c r="F8" s="100">
        <f>IFERROR(SR_demand_forecast!G61*Settings!$K$61,"-")</f>
        <v>0</v>
      </c>
      <c r="G8" s="100">
        <f>IFERROR(SR_demand_forecast!H61*Settings!$K$61,"-")</f>
        <v>0</v>
      </c>
      <c r="H8" s="100">
        <f>IFERROR(SR_demand_forecast!I61*Settings!$K$61,"-")</f>
        <v>0</v>
      </c>
      <c r="I8" s="100">
        <f>IFERROR(SR_demand_forecast!J61*Settings!$K$61,"-")</f>
        <v>0</v>
      </c>
      <c r="J8" s="100">
        <f>IFERROR(SR_demand_forecast!K61*Settings!$K$61,"-")</f>
        <v>0</v>
      </c>
      <c r="K8" s="100">
        <f>IFERROR(SR_demand_forecast!L61*Settings!$K$61,"-")</f>
        <v>0</v>
      </c>
      <c r="L8" s="100">
        <f>IFERROR(SR_demand_forecast!M61*Settings!$K$61,"-")</f>
        <v>0</v>
      </c>
      <c r="M8" s="100">
        <f>IFERROR(SR_demand_forecast!N61*Settings!$K$61,"-")</f>
        <v>0</v>
      </c>
      <c r="N8" s="100">
        <f>IFERROR(SR_demand_forecast!O61*Settings!$K$61,"-")</f>
        <v>0</v>
      </c>
      <c r="O8" s="100">
        <f>IFERROR(SR_demand_forecast!P61*Settings!$K$61,"-")</f>
        <v>0</v>
      </c>
      <c r="P8" s="100">
        <f>IFERROR(SR_demand_forecast!Q61*Settings!$K$61,"-")</f>
        <v>0</v>
      </c>
      <c r="Q8" s="100">
        <f>IFERROR(SR_demand_forecast!R61*Settings!$K$61,"-")</f>
        <v>0</v>
      </c>
      <c r="R8" s="100">
        <f>IFERROR(SR_demand_forecast!S61*Settings!$K$61,"-")</f>
        <v>0</v>
      </c>
      <c r="S8" s="100">
        <f>IFERROR(SR_demand_forecast!T61*Settings!$K$61,"-")</f>
        <v>0</v>
      </c>
      <c r="T8" s="100">
        <f>IFERROR(SR_demand_forecast!U61*Settings!$K$61,"-")</f>
        <v>0</v>
      </c>
      <c r="U8" s="100">
        <f>IFERROR(SR_demand_forecast!V61*Settings!$K$61,"-")</f>
        <v>0</v>
      </c>
      <c r="V8" s="100">
        <f>IFERROR(SR_demand_forecast!W61*Settings!$K$61,"-")</f>
        <v>0</v>
      </c>
    </row>
    <row r="9" spans="1:22" x14ac:dyDescent="0.3">
      <c r="A9" s="179"/>
      <c r="B9" s="47" t="str">
        <f>DTE_demand_forecast!B68</f>
        <v>Launch Events</v>
      </c>
      <c r="C9" s="100">
        <f>IFERROR(SR_demand_forecast!D62*Settings!$K$61,"-")</f>
        <v>80379.046960624924</v>
      </c>
      <c r="D9" s="100">
        <f>IFERROR(SR_demand_forecast!E62*Settings!$K$61,"-")</f>
        <v>85603.685013065537</v>
      </c>
      <c r="E9" s="100">
        <f>IFERROR(SR_demand_forecast!F62*Settings!$K$61,"-")</f>
        <v>91035.299111429762</v>
      </c>
      <c r="F9" s="100">
        <f>IFERROR(SR_demand_forecast!G62*Settings!$K$61,"-")</f>
        <v>96680.078442333572</v>
      </c>
      <c r="G9" s="100">
        <f>IFERROR(SR_demand_forecast!H62*Settings!$K$61,"-")</f>
        <v>104614.94523809722</v>
      </c>
      <c r="H9" s="100">
        <f>IFERROR(SR_demand_forecast!I62*Settings!$K$61,"-")</f>
        <v>111249.06622639745</v>
      </c>
      <c r="I9" s="100">
        <f>IFERROR(SR_demand_forecast!J62*Settings!$K$61,"-")</f>
        <v>118126.80083787459</v>
      </c>
      <c r="J9" s="100">
        <f>IFERROR(SR_demand_forecast!K62*Settings!$K$61,"-")</f>
        <v>125255.23996906039</v>
      </c>
      <c r="K9" s="100">
        <f>IFERROR(SR_demand_forecast!L62*Settings!$K$61,"-")</f>
        <v>132641.66070689866</v>
      </c>
      <c r="L9" s="100">
        <f>IFERROR(SR_demand_forecast!M62*Settings!$K$61,"-")</f>
        <v>140293.53094000299</v>
      </c>
      <c r="M9" s="100">
        <f>IFERROR(SR_demand_forecast!N62*Settings!$K$61,"-")</f>
        <v>142094.66347179524</v>
      </c>
      <c r="N9" s="100">
        <f>IFERROR(SR_demand_forecast!O62*Settings!$K$61,"-")</f>
        <v>143931.81865422332</v>
      </c>
      <c r="O9" s="100">
        <f>IFERROR(SR_demand_forecast!P62*Settings!$K$61,"-")</f>
        <v>145805.71694029999</v>
      </c>
      <c r="P9" s="100">
        <f>IFERROR(SR_demand_forecast!Q62*Settings!$K$61,"-")</f>
        <v>147717.0931920982</v>
      </c>
      <c r="Q9" s="100">
        <f>IFERROR(SR_demand_forecast!R62*Settings!$K$61,"-")</f>
        <v>149666.69696893235</v>
      </c>
      <c r="R9" s="100">
        <f>IFERROR(SR_demand_forecast!S62*Settings!$K$61,"-")</f>
        <v>151655.29282130316</v>
      </c>
      <c r="S9" s="100">
        <f>IFERROR(SR_demand_forecast!T62*Settings!$K$61,"-")</f>
        <v>153683.66059072141</v>
      </c>
      <c r="T9" s="100">
        <f>IFERROR(SR_demand_forecast!U62*Settings!$K$61,"-")</f>
        <v>155752.59571552806</v>
      </c>
      <c r="U9" s="100">
        <f>IFERROR(SR_demand_forecast!V62*Settings!$K$61,"-")</f>
        <v>157862.90954283078</v>
      </c>
      <c r="V9" s="100">
        <f>IFERROR(SR_demand_forecast!W62*Settings!$K$61,"-")</f>
        <v>160015.42964667958</v>
      </c>
    </row>
    <row r="10" spans="1:22" x14ac:dyDescent="0.3">
      <c r="A10" s="179"/>
      <c r="B10" s="47" t="str">
        <f>DTE_demand_forecast!B69</f>
        <v>Terrestrial &amp; Aerial</v>
      </c>
      <c r="C10" s="100">
        <f>IFERROR(SR_demand_forecast!D63*Settings!$K$61,"-")</f>
        <v>1145243.0145355479</v>
      </c>
      <c r="D10" s="100">
        <f>IFERROR(SR_demand_forecast!E63*Settings!$K$61,"-")</f>
        <v>1191052.73511697</v>
      </c>
      <c r="E10" s="100">
        <f>IFERROR(SR_demand_forecast!F63*Settings!$K$61,"-")</f>
        <v>1238532.2939002309</v>
      </c>
      <c r="F10" s="100">
        <f>IFERROR(SR_demand_forecast!G63*Settings!$K$61,"-")</f>
        <v>1287730.1605251716</v>
      </c>
      <c r="G10" s="100">
        <f>IFERROR(SR_demand_forecast!H63*Settings!$K$61,"-")</f>
        <v>1338696.0754819461</v>
      </c>
      <c r="H10" s="100">
        <f>IFERROR(SR_demand_forecast!I63*Settings!$K$61,"-")</f>
        <v>1429931.9889159037</v>
      </c>
      <c r="I10" s="100">
        <f>IFERROR(SR_demand_forecast!J63*Settings!$K$61,"-")</f>
        <v>1492746.1461454295</v>
      </c>
      <c r="J10" s="100">
        <f>IFERROR(SR_demand_forecast!K63*Settings!$K$61,"-")</f>
        <v>1557648.6701607676</v>
      </c>
      <c r="K10" s="100">
        <f>IFERROR(SR_demand_forecast!L63*Settings!$K$61,"-")</f>
        <v>1624697.96997046</v>
      </c>
      <c r="L10" s="100">
        <f>IFERROR(SR_demand_forecast!M63*Settings!$K$61,"-")</f>
        <v>1693953.9555966735</v>
      </c>
      <c r="M10" s="100">
        <f>IFERROR(SR_demand_forecast!N63*Settings!$K$61,"-")</f>
        <v>1720444.3700987</v>
      </c>
      <c r="N10" s="100">
        <f>IFERROR(SR_demand_forecast!O63*Settings!$K$61,"-")</f>
        <v>1747464.5928907671</v>
      </c>
      <c r="O10" s="100">
        <f>IFERROR(SR_demand_forecast!P63*Settings!$K$61,"-")</f>
        <v>1775025.2201386762</v>
      </c>
      <c r="P10" s="100">
        <f>IFERROR(SR_demand_forecast!Q63*Settings!$K$61,"-")</f>
        <v>1803137.0599315427</v>
      </c>
      <c r="Q10" s="100">
        <f>IFERROR(SR_demand_forecast!R63*Settings!$K$61,"-")</f>
        <v>1831811.1365202672</v>
      </c>
      <c r="R10" s="100">
        <f>IFERROR(SR_demand_forecast!S63*Settings!$K$61,"-")</f>
        <v>1861058.6946407652</v>
      </c>
      <c r="S10" s="100">
        <f>IFERROR(SR_demand_forecast!T63*Settings!$K$61,"-")</f>
        <v>1890891.2039236741</v>
      </c>
      <c r="T10" s="100">
        <f>IFERROR(SR_demand_forecast!U63*Settings!$K$61,"-")</f>
        <v>1921320.3633922408</v>
      </c>
      <c r="U10" s="100">
        <f>IFERROR(SR_demand_forecast!V63*Settings!$K$61,"-")</f>
        <v>1952358.1060501786</v>
      </c>
      <c r="V10" s="100">
        <f>IFERROR(SR_demand_forecast!W63*Settings!$K$61,"-")</f>
        <v>1984016.6035612754</v>
      </c>
    </row>
    <row r="11" spans="1:22" x14ac:dyDescent="0.3">
      <c r="A11" s="179"/>
      <c r="B11" s="48" t="s">
        <v>104</v>
      </c>
      <c r="C11" s="176">
        <f>SUM(C3:C10)</f>
        <v>18963978.477321614</v>
      </c>
      <c r="D11" s="176">
        <f>SUM(D3:D10)</f>
        <v>18905821.553039048</v>
      </c>
      <c r="E11" s="176">
        <f>SUM(E3:E10)</f>
        <v>20393842.331694536</v>
      </c>
      <c r="F11" s="176">
        <f>SUM(F3:F10)</f>
        <v>21225377.17490327</v>
      </c>
      <c r="G11" s="176">
        <f>SUM(G3:G10)</f>
        <v>22570330.80281911</v>
      </c>
      <c r="H11" s="176">
        <f>SUM(H3:H10)</f>
        <v>23715105.735477205</v>
      </c>
      <c r="I11" s="176">
        <f>SUM(I3:I10)</f>
        <v>24957411.119139403</v>
      </c>
      <c r="J11" s="176">
        <f>SUM(J3:J10)</f>
        <v>26222905.560447931</v>
      </c>
      <c r="K11" s="176">
        <f>SUM(K3:K10)</f>
        <v>27339780.270949505</v>
      </c>
      <c r="L11" s="176">
        <f>SUM(L3:L10)</f>
        <v>28493313.425691847</v>
      </c>
      <c r="M11" s="176">
        <f>SUM(M3:M10)</f>
        <v>30748369.922143225</v>
      </c>
      <c r="N11" s="176">
        <f>SUM(N3:N10)</f>
        <v>31264864.07019366</v>
      </c>
      <c r="O11" s="176">
        <f>SUM(O3:O10)</f>
        <v>31791688.101205107</v>
      </c>
      <c r="P11" s="176">
        <f>SUM(P3:P10)</f>
        <v>32329048.612836782</v>
      </c>
      <c r="Q11" s="176">
        <f>SUM(Q3:Q10)</f>
        <v>32877156.334701095</v>
      </c>
      <c r="R11" s="176">
        <f>SUM(R3:R10)</f>
        <v>33436226.211002681</v>
      </c>
      <c r="S11" s="176">
        <f>SUM(S3:S10)</f>
        <v>34006477.48483032</v>
      </c>
      <c r="T11" s="176">
        <f>SUM(T3:T10)</f>
        <v>34588133.784134492</v>
      </c>
      <c r="U11" s="176">
        <f>SUM(U3:U10)</f>
        <v>35181423.209424764</v>
      </c>
      <c r="V11" s="176">
        <f>SUM(V3:V10)</f>
        <v>35786578.423220813</v>
      </c>
    </row>
    <row r="12" spans="1:22" x14ac:dyDescent="0.3">
      <c r="A12" s="179"/>
      <c r="B12" s="177"/>
      <c r="C12" s="178"/>
      <c r="D12" s="178"/>
      <c r="E12" s="178"/>
      <c r="F12" s="178"/>
      <c r="G12" s="178"/>
      <c r="H12" s="178"/>
      <c r="I12" s="178"/>
      <c r="J12" s="178"/>
      <c r="K12" s="178"/>
      <c r="L12" s="178"/>
      <c r="M12" s="178"/>
      <c r="N12" s="178"/>
      <c r="O12" s="178"/>
      <c r="P12" s="178"/>
      <c r="Q12" s="178"/>
      <c r="R12" s="178"/>
      <c r="S12" s="178"/>
      <c r="T12" s="178"/>
      <c r="U12" s="178"/>
      <c r="V12" s="178"/>
    </row>
    <row r="13" spans="1:22" x14ac:dyDescent="0.3">
      <c r="A13" s="179"/>
      <c r="B13" s="177"/>
      <c r="C13" s="178"/>
      <c r="D13" s="178"/>
      <c r="E13" s="178"/>
      <c r="F13" s="178"/>
      <c r="G13" s="178"/>
      <c r="H13" s="178"/>
      <c r="I13" s="178"/>
      <c r="J13" s="178"/>
      <c r="K13" s="178"/>
      <c r="L13" s="178"/>
      <c r="M13" s="178"/>
      <c r="N13" s="178"/>
      <c r="O13" s="178"/>
      <c r="P13" s="178"/>
      <c r="Q13" s="178"/>
      <c r="R13" s="178"/>
      <c r="S13" s="178"/>
      <c r="T13" s="178"/>
      <c r="U13" s="178"/>
      <c r="V13" s="178"/>
    </row>
    <row r="14" spans="1:22" x14ac:dyDescent="0.3">
      <c r="A14" s="179"/>
      <c r="B14" s="177"/>
      <c r="C14" s="178"/>
      <c r="D14" s="178"/>
      <c r="E14" s="178"/>
      <c r="F14" s="178"/>
      <c r="G14" s="178"/>
      <c r="H14" s="178"/>
      <c r="I14" s="178"/>
      <c r="J14" s="178"/>
      <c r="K14" s="178"/>
      <c r="L14" s="178"/>
      <c r="M14" s="178"/>
      <c r="N14" s="178"/>
      <c r="O14" s="178"/>
      <c r="P14" s="178"/>
      <c r="Q14" s="178"/>
      <c r="R14" s="178"/>
      <c r="S14" s="178"/>
      <c r="T14" s="178"/>
      <c r="U14" s="178"/>
      <c r="V14" s="178"/>
    </row>
    <row r="15" spans="1:22" x14ac:dyDescent="0.3">
      <c r="A15" s="179"/>
      <c r="B15" s="177"/>
      <c r="C15" s="178"/>
      <c r="D15" s="178"/>
      <c r="E15" s="178"/>
      <c r="F15" s="178"/>
      <c r="G15" s="178"/>
      <c r="H15" s="178"/>
      <c r="I15" s="178"/>
      <c r="J15" s="178"/>
      <c r="K15" s="178"/>
      <c r="L15" s="178"/>
      <c r="M15" s="178"/>
      <c r="N15" s="178"/>
      <c r="O15" s="178"/>
      <c r="P15" s="178"/>
      <c r="Q15" s="178"/>
      <c r="R15" s="178"/>
      <c r="S15" s="178"/>
      <c r="T15" s="178"/>
      <c r="U15" s="178"/>
      <c r="V15" s="178"/>
    </row>
    <row r="16" spans="1:22" x14ac:dyDescent="0.3">
      <c r="A16" s="179"/>
      <c r="B16" s="177"/>
      <c r="C16" s="178"/>
      <c r="D16" s="178"/>
      <c r="E16" s="178"/>
      <c r="F16" s="178"/>
      <c r="G16" s="178"/>
      <c r="H16" s="178"/>
      <c r="I16" s="178"/>
      <c r="J16" s="178"/>
      <c r="K16" s="178"/>
      <c r="L16" s="178"/>
      <c r="M16" s="178"/>
      <c r="N16" s="178"/>
      <c r="O16" s="178"/>
      <c r="P16" s="178"/>
      <c r="Q16" s="178"/>
      <c r="R16" s="178"/>
      <c r="S16" s="178"/>
      <c r="T16" s="178"/>
      <c r="U16" s="178"/>
      <c r="V16" s="178"/>
    </row>
    <row r="17" spans="1:22" x14ac:dyDescent="0.3">
      <c r="A17" s="179"/>
    </row>
    <row r="18" spans="1:22" x14ac:dyDescent="0.3">
      <c r="A18" s="179"/>
    </row>
    <row r="19" spans="1:22" x14ac:dyDescent="0.3">
      <c r="A19" s="179"/>
      <c r="B19" s="49" t="s">
        <v>226</v>
      </c>
      <c r="L19" s="34"/>
      <c r="M19" s="34"/>
    </row>
    <row r="20" spans="1:22" x14ac:dyDescent="0.3">
      <c r="A20" s="179"/>
      <c r="B20" s="97" t="s">
        <v>102</v>
      </c>
      <c r="C20" s="97">
        <v>2021</v>
      </c>
      <c r="D20" s="98">
        <v>2022</v>
      </c>
      <c r="E20" s="97">
        <v>2023</v>
      </c>
      <c r="F20" s="98">
        <v>2024</v>
      </c>
      <c r="G20" s="97">
        <v>2025</v>
      </c>
      <c r="H20" s="98">
        <v>2026</v>
      </c>
      <c r="I20" s="97">
        <v>2027</v>
      </c>
      <c r="J20" s="98">
        <v>2028</v>
      </c>
      <c r="K20" s="97">
        <v>2029</v>
      </c>
      <c r="L20" s="98">
        <v>2030</v>
      </c>
      <c r="M20" s="97">
        <v>2031</v>
      </c>
      <c r="N20" s="98">
        <v>2032</v>
      </c>
      <c r="O20" s="97">
        <v>2033</v>
      </c>
      <c r="P20" s="98">
        <v>2034</v>
      </c>
      <c r="Q20" s="97">
        <v>2035</v>
      </c>
      <c r="R20" s="98">
        <v>2036</v>
      </c>
      <c r="S20" s="97">
        <v>2037</v>
      </c>
      <c r="T20" s="98">
        <v>2038</v>
      </c>
      <c r="U20" s="97">
        <v>2039</v>
      </c>
      <c r="V20" s="98">
        <v>2040</v>
      </c>
    </row>
    <row r="21" spans="1:22" x14ac:dyDescent="0.3">
      <c r="A21" s="179"/>
      <c r="B21" s="47" t="s">
        <v>59</v>
      </c>
      <c r="C21" s="100">
        <f>IFERROR(SR_demand_forecast!D129*Settings!$K$61,"-")</f>
        <v>5534683.4074589107</v>
      </c>
      <c r="D21" s="100">
        <f>IFERROR(SR_demand_forecast!E129*Settings!$K$61,"-")</f>
        <v>6057962.565982298</v>
      </c>
      <c r="E21" s="100">
        <f>IFERROR(SR_demand_forecast!F129*Settings!$K$61,"-")</f>
        <v>6601971.6296318062</v>
      </c>
      <c r="F21" s="100">
        <f>IFERROR(SR_demand_forecast!G129*Settings!$K$61,"-")</f>
        <v>7167330.4829490669</v>
      </c>
      <c r="G21" s="100">
        <f>IFERROR(SR_demand_forecast!H129*Settings!$K$61,"-")</f>
        <v>7754675.5138953319</v>
      </c>
      <c r="H21" s="100">
        <f>IFERROR(SR_demand_forecast!I129*Settings!$K$61,"-")</f>
        <v>8364660.0260344353</v>
      </c>
      <c r="I21" s="100">
        <f>IFERROR(SR_demand_forecast!J129*Settings!$K$61,"-")</f>
        <v>8997954.6606017128</v>
      </c>
      <c r="J21" s="100">
        <f>IFERROR(SR_demand_forecast!K129*Settings!$K$61,"-")</f>
        <v>9655247.8286894318</v>
      </c>
      <c r="K21" s="100">
        <f>IFERROR(SR_demand_forecast!L129*Settings!$K$61,"-")</f>
        <v>10337246.153784586</v>
      </c>
      <c r="L21" s="100">
        <f>IFERROR(SR_demand_forecast!M129*Settings!$K$61,"-")</f>
        <v>11044674.924900239</v>
      </c>
      <c r="M21" s="100">
        <f>IFERROR(SR_demand_forecast!N129*Settings!$K$61,"-")</f>
        <v>12973758.94617196</v>
      </c>
      <c r="N21" s="100">
        <f>IFERROR(SR_demand_forecast!O129*Settings!$K$61,"-")</f>
        <v>13157761.169539139</v>
      </c>
      <c r="O21" s="100">
        <f>IFERROR(SR_demand_forecast!P129*Settings!$K$61,"-")</f>
        <v>13345443.437373662</v>
      </c>
      <c r="P21" s="100">
        <f>IFERROR(SR_demand_forecast!Q129*Settings!$K$61,"-")</f>
        <v>13536879.35056488</v>
      </c>
      <c r="Q21" s="100">
        <f>IFERROR(SR_demand_forecast!R129*Settings!$K$61,"-")</f>
        <v>13732143.98201992</v>
      </c>
      <c r="R21" s="100">
        <f>IFERROR(SR_demand_forecast!S129*Settings!$K$61,"-")</f>
        <v>13931313.906104056</v>
      </c>
      <c r="S21" s="100">
        <f>IFERROR(SR_demand_forecast!T129*Settings!$K$61,"-")</f>
        <v>14134467.228669882</v>
      </c>
      <c r="T21" s="100">
        <f>IFERROR(SR_demand_forecast!U129*Settings!$K$61,"-")</f>
        <v>14341683.617687024</v>
      </c>
      <c r="U21" s="100">
        <f>IFERROR(SR_demand_forecast!V129*Settings!$K$61,"-")</f>
        <v>14553044.334484506</v>
      </c>
      <c r="V21" s="100">
        <f>IFERROR(SR_demand_forecast!W129*Settings!$K$61,"-")</f>
        <v>14768632.265617937</v>
      </c>
    </row>
    <row r="22" spans="1:22" x14ac:dyDescent="0.3">
      <c r="A22" s="179"/>
      <c r="B22" s="47" t="s">
        <v>57</v>
      </c>
      <c r="C22" s="100">
        <f>IFERROR(SR_demand_forecast!D130*Settings!$K$61,"-")</f>
        <v>13077429.391646687</v>
      </c>
      <c r="D22" s="100">
        <f>IFERROR(SR_demand_forecast!E130*Settings!$K$61,"-")</f>
        <v>13439680.316700198</v>
      </c>
      <c r="E22" s="100">
        <f>IFERROR(SR_demand_forecast!F130*Settings!$K$61,"-")</f>
        <v>15334836.930415625</v>
      </c>
      <c r="F22" s="100">
        <f>IFERROR(SR_demand_forecast!G130*Settings!$K$61,"-")</f>
        <v>16618727.827541647</v>
      </c>
      <c r="G22" s="100">
        <f>IFERROR(SR_demand_forecast!H130*Settings!$K$61,"-")</f>
        <v>18431328.819549635</v>
      </c>
      <c r="H22" s="100">
        <f>IFERROR(SR_demand_forecast!I130*Settings!$K$61,"-")</f>
        <v>20025441.170979206</v>
      </c>
      <c r="I22" s="100">
        <f>IFERROR(SR_demand_forecast!J130*Settings!$K$61,"-")</f>
        <v>21766216.07835874</v>
      </c>
      <c r="J22" s="100">
        <f>IFERROR(SR_demand_forecast!K130*Settings!$K$61,"-")</f>
        <v>23549414.209956989</v>
      </c>
      <c r="K22" s="100">
        <f>IFERROR(SR_demand_forecast!L130*Settings!$K$61,"-")</f>
        <v>25203796.756174073</v>
      </c>
      <c r="L22" s="100">
        <f>IFERROR(SR_demand_forecast!M130*Settings!$K$61,"-")</f>
        <v>26915226.976398643</v>
      </c>
      <c r="M22" s="100">
        <f>IFERROR(SR_demand_forecast!N130*Settings!$K$61,"-")</f>
        <v>27438924.623787362</v>
      </c>
      <c r="N22" s="100">
        <f>IFERROR(SR_demand_forecast!O130*Settings!$K$61,"-")</f>
        <v>27973096.224123854</v>
      </c>
      <c r="O22" s="100">
        <f>IFERROR(SR_demand_forecast!P130*Settings!$K$61,"-")</f>
        <v>28517951.256467078</v>
      </c>
      <c r="P22" s="100">
        <f>IFERROR(SR_demand_forecast!Q130*Settings!$K$61,"-")</f>
        <v>29073703.389457162</v>
      </c>
      <c r="Q22" s="100">
        <f>IFERROR(SR_demand_forecast!R130*Settings!$K$61,"-")</f>
        <v>29640570.565107055</v>
      </c>
      <c r="R22" s="100">
        <f>IFERROR(SR_demand_forecast!S130*Settings!$K$61,"-")</f>
        <v>30218775.084269933</v>
      </c>
      <c r="S22" s="100">
        <f>IFERROR(SR_demand_forecast!T130*Settings!$K$61,"-")</f>
        <v>30808543.693816084</v>
      </c>
      <c r="T22" s="100">
        <f>IFERROR(SR_demand_forecast!U130*Settings!$K$61,"-")</f>
        <v>31410107.67555315</v>
      </c>
      <c r="U22" s="100">
        <f>IFERROR(SR_demand_forecast!V130*Settings!$K$61,"-")</f>
        <v>32023702.93692496</v>
      </c>
      <c r="V22" s="100">
        <f>IFERROR(SR_demand_forecast!W130*Settings!$K$61,"-")</f>
        <v>32649570.103524204</v>
      </c>
    </row>
    <row r="23" spans="1:22" x14ac:dyDescent="0.3">
      <c r="A23" s="179"/>
      <c r="B23" s="47" t="s">
        <v>56</v>
      </c>
      <c r="C23" s="100">
        <f>IFERROR(SR_demand_forecast!D131*Settings!$K$61,"-")</f>
        <v>90608.191695615082</v>
      </c>
      <c r="D23" s="100">
        <f>IFERROR(SR_demand_forecast!E131*Settings!$K$61,"-")</f>
        <v>104069.98017610647</v>
      </c>
      <c r="E23" s="100">
        <f>IFERROR(SR_demand_forecast!F131*Settings!$K$61,"-")</f>
        <v>148136.62700589959</v>
      </c>
      <c r="F23" s="100">
        <f>IFERROR(SR_demand_forecast!G131*Settings!$K$61,"-")</f>
        <v>164835.66495929193</v>
      </c>
      <c r="G23" s="100">
        <f>IFERROR(SR_demand_forecast!H131*Settings!$K$61,"-")</f>
        <v>182143.4097800176</v>
      </c>
      <c r="H23" s="100">
        <f>IFERROR(SR_demand_forecast!I131*Settings!$K$61,"-")</f>
        <v>200077.53012758857</v>
      </c>
      <c r="I23" s="100">
        <f>IFERROR(SR_demand_forecast!J131*Settings!$K$61,"-")</f>
        <v>218656.15792515033</v>
      </c>
      <c r="J23" s="100">
        <f>IFERROR(SR_demand_forecast!K131*Settings!$K$61,"-")</f>
        <v>237897.89982256354</v>
      </c>
      <c r="K23" s="100">
        <f>IFERROR(SR_demand_forecast!L131*Settings!$K$61,"-")</f>
        <v>257821.84893270329</v>
      </c>
      <c r="L23" s="100">
        <f>IFERROR(SR_demand_forecast!M131*Settings!$K$61,"-")</f>
        <v>278447.59684731951</v>
      </c>
      <c r="M23" s="100">
        <f>IFERROR(SR_demand_forecast!N131*Settings!$K$61,"-")</f>
        <v>284016.54878426588</v>
      </c>
      <c r="N23" s="100">
        <f>IFERROR(SR_demand_forecast!O131*Settings!$K$61,"-")</f>
        <v>289696.87975995115</v>
      </c>
      <c r="O23" s="100">
        <f>IFERROR(SR_demand_forecast!P131*Settings!$K$61,"-")</f>
        <v>295490.81735515024</v>
      </c>
      <c r="P23" s="100">
        <f>IFERROR(SR_demand_forecast!Q131*Settings!$K$61,"-")</f>
        <v>301400.63370225322</v>
      </c>
      <c r="Q23" s="100">
        <f>IFERROR(SR_demand_forecast!R131*Settings!$K$61,"-")</f>
        <v>307428.64637629833</v>
      </c>
      <c r="R23" s="100">
        <f>IFERROR(SR_demand_forecast!S131*Settings!$K$61,"-")</f>
        <v>313577.21930382418</v>
      </c>
      <c r="S23" s="100">
        <f>IFERROR(SR_demand_forecast!T131*Settings!$K$61,"-")</f>
        <v>319848.76368990075</v>
      </c>
      <c r="T23" s="100">
        <f>IFERROR(SR_demand_forecast!U131*Settings!$K$61,"-")</f>
        <v>326245.73896369874</v>
      </c>
      <c r="U23" s="100">
        <f>IFERROR(SR_demand_forecast!V131*Settings!$K$61,"-")</f>
        <v>332770.6537429727</v>
      </c>
      <c r="V23" s="100">
        <f>IFERROR(SR_demand_forecast!W131*Settings!$K$61,"-")</f>
        <v>339426.06681783212</v>
      </c>
    </row>
    <row r="24" spans="1:22" x14ac:dyDescent="0.3">
      <c r="A24" s="179"/>
      <c r="B24" s="47" t="s">
        <v>100</v>
      </c>
      <c r="C24" s="100">
        <f>IFERROR(SR_demand_forecast!D132*Settings!$K$61,"-")</f>
        <v>0</v>
      </c>
      <c r="D24" s="100">
        <f>IFERROR(SR_demand_forecast!E132*Settings!$K$61,"-")</f>
        <v>0</v>
      </c>
      <c r="E24" s="100">
        <f>IFERROR(SR_demand_forecast!F132*Settings!$K$61,"-")</f>
        <v>0</v>
      </c>
      <c r="F24" s="100">
        <f>IFERROR(SR_demand_forecast!G132*Settings!$K$61,"-")</f>
        <v>0</v>
      </c>
      <c r="G24" s="100">
        <f>IFERROR(SR_demand_forecast!H132*Settings!$K$61,"-")</f>
        <v>0</v>
      </c>
      <c r="H24" s="100">
        <f>IFERROR(SR_demand_forecast!I132*Settings!$K$61,"-")</f>
        <v>0</v>
      </c>
      <c r="I24" s="100">
        <f>IFERROR(SR_demand_forecast!J132*Settings!$K$61,"-")</f>
        <v>0</v>
      </c>
      <c r="J24" s="100">
        <f>IFERROR(SR_demand_forecast!K132*Settings!$K$61,"-")</f>
        <v>0</v>
      </c>
      <c r="K24" s="100">
        <f>IFERROR(SR_demand_forecast!L132*Settings!$K$61,"-")</f>
        <v>0</v>
      </c>
      <c r="L24" s="100">
        <f>IFERROR(SR_demand_forecast!M132*Settings!$K$61,"-")</f>
        <v>0</v>
      </c>
      <c r="M24" s="100">
        <f>IFERROR(SR_demand_forecast!N132*Settings!$K$61,"-")</f>
        <v>0</v>
      </c>
      <c r="N24" s="100">
        <f>IFERROR(SR_demand_forecast!O132*Settings!$K$61,"-")</f>
        <v>0</v>
      </c>
      <c r="O24" s="100">
        <f>IFERROR(SR_demand_forecast!P132*Settings!$K$61,"-")</f>
        <v>0</v>
      </c>
      <c r="P24" s="100">
        <f>IFERROR(SR_demand_forecast!Q132*Settings!$K$61,"-")</f>
        <v>0</v>
      </c>
      <c r="Q24" s="100">
        <f>IFERROR(SR_demand_forecast!R132*Settings!$K$61,"-")</f>
        <v>0</v>
      </c>
      <c r="R24" s="100">
        <f>IFERROR(SR_demand_forecast!S132*Settings!$K$61,"-")</f>
        <v>0</v>
      </c>
      <c r="S24" s="100">
        <f>IFERROR(SR_demand_forecast!T132*Settings!$K$61,"-")</f>
        <v>0</v>
      </c>
      <c r="T24" s="100">
        <f>IFERROR(SR_demand_forecast!U132*Settings!$K$61,"-")</f>
        <v>0</v>
      </c>
      <c r="U24" s="100">
        <f>IFERROR(SR_demand_forecast!V132*Settings!$K$61,"-")</f>
        <v>0</v>
      </c>
      <c r="V24" s="100">
        <f>IFERROR(SR_demand_forecast!W132*Settings!$K$61,"-")</f>
        <v>0</v>
      </c>
    </row>
    <row r="25" spans="1:22" x14ac:dyDescent="0.3">
      <c r="A25" s="179"/>
      <c r="B25" s="47" t="s">
        <v>60</v>
      </c>
      <c r="C25" s="100">
        <f>IFERROR(SR_demand_forecast!D133*Settings!$K$61,"-")</f>
        <v>5546.5352874216096</v>
      </c>
      <c r="D25" s="100">
        <f>IFERROR(SR_demand_forecast!E133*Settings!$K$61,"-")</f>
        <v>6070.9349873232895</v>
      </c>
      <c r="E25" s="100">
        <f>IFERROR(SR_demand_forecast!F133*Settings!$K$61,"-")</f>
        <v>6616.1089830287665</v>
      </c>
      <c r="F25" s="100">
        <f>IFERROR(SR_demand_forecast!G133*Settings!$K$61,"-")</f>
        <v>7182.678486490232</v>
      </c>
      <c r="G25" s="100">
        <f>IFERROR(SR_demand_forecast!H133*Settings!$K$61,"-")</f>
        <v>8186.9293250181736</v>
      </c>
      <c r="H25" s="100">
        <f>IFERROR(SR_demand_forecast!I133*Settings!$K$61,"-")</f>
        <v>8907.3791056197733</v>
      </c>
      <c r="I25" s="100">
        <f>IFERROR(SR_demand_forecast!J133*Settings!$K$61,"-")</f>
        <v>9653.3721057154307</v>
      </c>
      <c r="J25" s="100">
        <f>IFERROR(SR_demand_forecast!K133*Settings!$K$61,"-")</f>
        <v>10425.641874172659</v>
      </c>
      <c r="K25" s="100">
        <f>IFERROR(SR_demand_forecast!L133*Settings!$K$61,"-")</f>
        <v>11224.941084525899</v>
      </c>
      <c r="L25" s="100">
        <f>IFERROR(SR_demand_forecast!M133*Settings!$K$61,"-")</f>
        <v>12052.042006543597</v>
      </c>
      <c r="M25" s="100">
        <f>IFERROR(SR_demand_forecast!N133*Settings!$K$61,"-")</f>
        <v>12293.08284667447</v>
      </c>
      <c r="N25" s="100">
        <f>IFERROR(SR_demand_forecast!O133*Settings!$K$61,"-")</f>
        <v>12538.944503607958</v>
      </c>
      <c r="O25" s="100">
        <f>IFERROR(SR_demand_forecast!P133*Settings!$K$61,"-")</f>
        <v>12789.723393680119</v>
      </c>
      <c r="P25" s="100">
        <f>IFERROR(SR_demand_forecast!Q133*Settings!$K$61,"-")</f>
        <v>13045.517861553721</v>
      </c>
      <c r="Q25" s="100">
        <f>IFERROR(SR_demand_forecast!R133*Settings!$K$61,"-")</f>
        <v>13306.428218784797</v>
      </c>
      <c r="R25" s="100">
        <f>IFERROR(SR_demand_forecast!S133*Settings!$K$61,"-")</f>
        <v>13572.556783160488</v>
      </c>
      <c r="S25" s="100">
        <f>IFERROR(SR_demand_forecast!T133*Settings!$K$61,"-")</f>
        <v>13844.0079188237</v>
      </c>
      <c r="T25" s="100">
        <f>IFERROR(SR_demand_forecast!U133*Settings!$K$61,"-")</f>
        <v>14120.888077200176</v>
      </c>
      <c r="U25" s="100">
        <f>IFERROR(SR_demand_forecast!V133*Settings!$K$61,"-")</f>
        <v>14403.305838744178</v>
      </c>
      <c r="V25" s="100">
        <f>IFERROR(SR_demand_forecast!W133*Settings!$K$61,"-")</f>
        <v>14691.37195551906</v>
      </c>
    </row>
    <row r="26" spans="1:22" x14ac:dyDescent="0.3">
      <c r="A26" s="179"/>
      <c r="B26" s="47" t="s">
        <v>101</v>
      </c>
      <c r="C26" s="100">
        <f>IFERROR(SR_demand_forecast!D134*Settings!$K$61,"-")</f>
        <v>0</v>
      </c>
      <c r="D26" s="100">
        <f>IFERROR(SR_demand_forecast!E134*Settings!$K$61,"-")</f>
        <v>0</v>
      </c>
      <c r="E26" s="100">
        <f>IFERROR(SR_demand_forecast!F134*Settings!$K$61,"-")</f>
        <v>0</v>
      </c>
      <c r="F26" s="100">
        <f>IFERROR(SR_demand_forecast!G134*Settings!$K$61,"-")</f>
        <v>0</v>
      </c>
      <c r="G26" s="100">
        <f>IFERROR(SR_demand_forecast!H134*Settings!$K$61,"-")</f>
        <v>0</v>
      </c>
      <c r="H26" s="100">
        <f>IFERROR(SR_demand_forecast!I134*Settings!$K$61,"-")</f>
        <v>0</v>
      </c>
      <c r="I26" s="100">
        <f>IFERROR(SR_demand_forecast!J134*Settings!$K$61,"-")</f>
        <v>0</v>
      </c>
      <c r="J26" s="100">
        <f>IFERROR(SR_demand_forecast!K134*Settings!$K$61,"-")</f>
        <v>0</v>
      </c>
      <c r="K26" s="100">
        <f>IFERROR(SR_demand_forecast!L134*Settings!$K$61,"-")</f>
        <v>0</v>
      </c>
      <c r="L26" s="100">
        <f>IFERROR(SR_demand_forecast!M134*Settings!$K$61,"-")</f>
        <v>0</v>
      </c>
      <c r="M26" s="100">
        <f>IFERROR(SR_demand_forecast!N134*Settings!$K$61,"-")</f>
        <v>0</v>
      </c>
      <c r="N26" s="100">
        <f>IFERROR(SR_demand_forecast!O134*Settings!$K$61,"-")</f>
        <v>0</v>
      </c>
      <c r="O26" s="100">
        <f>IFERROR(SR_demand_forecast!P134*Settings!$K$61,"-")</f>
        <v>0</v>
      </c>
      <c r="P26" s="100">
        <f>IFERROR(SR_demand_forecast!Q134*Settings!$K$61,"-")</f>
        <v>0</v>
      </c>
      <c r="Q26" s="100">
        <f>IFERROR(SR_demand_forecast!R134*Settings!$K$61,"-")</f>
        <v>0</v>
      </c>
      <c r="R26" s="100">
        <f>IFERROR(SR_demand_forecast!S134*Settings!$K$61,"-")</f>
        <v>0</v>
      </c>
      <c r="S26" s="100">
        <f>IFERROR(SR_demand_forecast!T134*Settings!$K$61,"-")</f>
        <v>0</v>
      </c>
      <c r="T26" s="100">
        <f>IFERROR(SR_demand_forecast!U134*Settings!$K$61,"-")</f>
        <v>0</v>
      </c>
      <c r="U26" s="100">
        <f>IFERROR(SR_demand_forecast!V134*Settings!$K$61,"-")</f>
        <v>0</v>
      </c>
      <c r="V26" s="100">
        <f>IFERROR(SR_demand_forecast!W134*Settings!$K$61,"-")</f>
        <v>0</v>
      </c>
    </row>
    <row r="27" spans="1:22" x14ac:dyDescent="0.3">
      <c r="A27" s="179"/>
      <c r="B27" s="47" t="s">
        <v>58</v>
      </c>
      <c r="C27" s="100">
        <f>IFERROR(SR_demand_forecast!D135*Settings!$K$61,"-")</f>
        <v>85402.737395663979</v>
      </c>
      <c r="D27" s="100">
        <f>IFERROR(SR_demand_forecast!E135*Settings!$K$61,"-")</f>
        <v>95852.013500545218</v>
      </c>
      <c r="E27" s="100">
        <f>IFERROR(SR_demand_forecast!F135*Settings!$K$61,"-")</f>
        <v>106715.24169727367</v>
      </c>
      <c r="F27" s="100">
        <f>IFERROR(SR_demand_forecast!G135*Settings!$K$61,"-")</f>
        <v>118004.80035908129</v>
      </c>
      <c r="G27" s="100">
        <f>IFERROR(SR_demand_forecast!H135*Settings!$K$61,"-")</f>
        <v>131803.96568195056</v>
      </c>
      <c r="H27" s="100">
        <f>IFERROR(SR_demand_forecast!I135*Settings!$K$61,"-")</f>
        <v>144528.42724967393</v>
      </c>
      <c r="I27" s="100">
        <f>IFERROR(SR_demand_forecast!J135*Settings!$K$61,"-")</f>
        <v>157729.2404555736</v>
      </c>
      <c r="J27" s="100">
        <f>IFERROR(SR_demand_forecast!K135*Settings!$K$61,"-")</f>
        <v>171420.36958054954</v>
      </c>
      <c r="K27" s="100">
        <f>IFERROR(SR_demand_forecast!L135*Settings!$K$61,"-")</f>
        <v>185616.14693608246</v>
      </c>
      <c r="L27" s="100">
        <f>IFERROR(SR_demand_forecast!M135*Settings!$K$61,"-")</f>
        <v>200331.28199974459</v>
      </c>
      <c r="M27" s="100">
        <f>IFERROR(SR_demand_forecast!N135*Settings!$K$61,"-")</f>
        <v>203333.16955273171</v>
      </c>
      <c r="N27" s="100">
        <f>IFERROR(SR_demand_forecast!O135*Settings!$K$61,"-")</f>
        <v>206395.09485677851</v>
      </c>
      <c r="O27" s="100">
        <f>IFERROR(SR_demand_forecast!P135*Settings!$K$61,"-")</f>
        <v>209518.2586669063</v>
      </c>
      <c r="P27" s="100">
        <f>IFERROR(SR_demand_forecast!Q135*Settings!$K$61,"-")</f>
        <v>212703.88575323659</v>
      </c>
      <c r="Q27" s="100">
        <f>IFERROR(SR_demand_forecast!R135*Settings!$K$61,"-")</f>
        <v>215953.22538129351</v>
      </c>
      <c r="R27" s="100">
        <f>IFERROR(SR_demand_forecast!S135*Settings!$K$61,"-")</f>
        <v>219267.55180191153</v>
      </c>
      <c r="S27" s="100">
        <f>IFERROR(SR_demand_forecast!T135*Settings!$K$61,"-")</f>
        <v>222648.16475094197</v>
      </c>
      <c r="T27" s="100">
        <f>IFERROR(SR_demand_forecast!U135*Settings!$K$61,"-")</f>
        <v>226096.38995895299</v>
      </c>
      <c r="U27" s="100">
        <f>IFERROR(SR_demand_forecast!V135*Settings!$K$61,"-")</f>
        <v>229613.57967112426</v>
      </c>
      <c r="V27" s="100">
        <f>IFERROR(SR_demand_forecast!W135*Settings!$K$61,"-")</f>
        <v>233201.11317753891</v>
      </c>
    </row>
    <row r="28" spans="1:22" x14ac:dyDescent="0.3">
      <c r="A28" s="179"/>
      <c r="B28" s="47" t="s">
        <v>61</v>
      </c>
      <c r="C28" s="100">
        <f>IFERROR(SR_demand_forecast!D136*Settings!$K$61,"-")</f>
        <v>1182186.3375850818</v>
      </c>
      <c r="D28" s="100">
        <f>IFERROR(SR_demand_forecast!E136*Settings!$K$61,"-")</f>
        <v>1266417.114138019</v>
      </c>
      <c r="E28" s="100">
        <f>IFERROR(SR_demand_forecast!F136*Settings!$K$61,"-")</f>
        <v>1353839.7938024357</v>
      </c>
      <c r="F28" s="100">
        <f>IFERROR(SR_demand_forecast!G136*Settings!$K$61,"-")</f>
        <v>1444548.3603921703</v>
      </c>
      <c r="G28" s="100">
        <f>IFERROR(SR_demand_forecast!H136*Settings!$K$61,"-")</f>
        <v>1538639.2803123693</v>
      </c>
      <c r="H28" s="100">
        <f>IFERROR(SR_demand_forecast!I136*Settings!$K$61,"-")</f>
        <v>1674662.4716283416</v>
      </c>
      <c r="I28" s="100">
        <f>IFERROR(SR_demand_forecast!J136*Settings!$K$61,"-")</f>
        <v>1783975.4205732308</v>
      </c>
      <c r="J28" s="100">
        <f>IFERROR(SR_demand_forecast!K136*Settings!$K$61,"-")</f>
        <v>1897138.7957794617</v>
      </c>
      <c r="K28" s="100">
        <f>IFERROR(SR_demand_forecast!L136*Settings!$K$61,"-")</f>
        <v>2014262.8891179117</v>
      </c>
      <c r="L28" s="100">
        <f>IFERROR(SR_demand_forecast!M136*Settings!$K$61,"-")</f>
        <v>2135460.8639637856</v>
      </c>
      <c r="M28" s="100">
        <f>IFERROR(SR_demand_forecast!N136*Settings!$K$61,"-")</f>
        <v>2170781.4166331547</v>
      </c>
      <c r="N28" s="100">
        <f>IFERROR(SR_demand_forecast!O136*Settings!$K$61,"-")</f>
        <v>2206808.3803559104</v>
      </c>
      <c r="O28" s="100">
        <f>IFERROR(SR_demand_forecast!P136*Settings!$K$61,"-")</f>
        <v>2243555.883353122</v>
      </c>
      <c r="P28" s="100">
        <f>IFERROR(SR_demand_forecast!Q136*Settings!$K$61,"-")</f>
        <v>2281038.3364102775</v>
      </c>
      <c r="Q28" s="100">
        <f>IFERROR(SR_demand_forecast!R136*Settings!$K$61,"-")</f>
        <v>2319270.4385285769</v>
      </c>
      <c r="R28" s="100">
        <f>IFERROR(SR_demand_forecast!S136*Settings!$K$61,"-")</f>
        <v>2358267.1826892411</v>
      </c>
      <c r="S28" s="100">
        <f>IFERROR(SR_demand_forecast!T136*Settings!$K$61,"-")</f>
        <v>2398043.8617331195</v>
      </c>
      <c r="T28" s="100">
        <f>IFERROR(SR_demand_forecast!U136*Settings!$K$61,"-")</f>
        <v>2438616.0743578752</v>
      </c>
      <c r="U28" s="100">
        <f>IFERROR(SR_demand_forecast!V136*Settings!$K$61,"-")</f>
        <v>2479999.7312351256</v>
      </c>
      <c r="V28" s="100">
        <f>IFERROR(SR_demand_forecast!W136*Settings!$K$61,"-")</f>
        <v>2522211.0612499216</v>
      </c>
    </row>
    <row r="29" spans="1:22" x14ac:dyDescent="0.3">
      <c r="A29" s="179"/>
      <c r="B29" s="47" t="s">
        <v>104</v>
      </c>
      <c r="C29" s="176">
        <f>SUM(C21:C28)</f>
        <v>19975856.60106938</v>
      </c>
      <c r="D29" s="176">
        <f>SUM(D21:D28)</f>
        <v>20970052.925484486</v>
      </c>
      <c r="E29" s="176">
        <f>SUM(E21:E28)</f>
        <v>23552116.331536073</v>
      </c>
      <c r="F29" s="176">
        <f>SUM(F21:F28)</f>
        <v>25520629.814687748</v>
      </c>
      <c r="G29" s="176">
        <f>SUM(G21:G28)</f>
        <v>28046777.918544326</v>
      </c>
      <c r="H29" s="176">
        <f>SUM(H21:H28)</f>
        <v>30418277.005124863</v>
      </c>
      <c r="I29" s="176">
        <f>SUM(I21:I28)</f>
        <v>32934184.930020124</v>
      </c>
      <c r="J29" s="176">
        <f>SUM(J21:J28)</f>
        <v>35521544.745703168</v>
      </c>
      <c r="K29" s="176">
        <f>SUM(K21:K28)</f>
        <v>38009968.736029886</v>
      </c>
      <c r="L29" s="176">
        <f>SUM(L21:L28)</f>
        <v>40586193.686116271</v>
      </c>
      <c r="M29" s="176">
        <f>SUM(M21:M28)</f>
        <v>43083107.787776135</v>
      </c>
      <c r="N29" s="176">
        <f>SUM(N21:N28)</f>
        <v>43846296.693139233</v>
      </c>
      <c r="O29" s="176">
        <f>SUM(O21:O28)</f>
        <v>44624749.376609594</v>
      </c>
      <c r="P29" s="176">
        <f>SUM(P21:P28)</f>
        <v>45418771.113749363</v>
      </c>
      <c r="Q29" s="176">
        <f>SUM(Q21:Q28)</f>
        <v>46228673.285631925</v>
      </c>
      <c r="R29" s="176">
        <f>SUM(R21:R28)</f>
        <v>47054773.500952132</v>
      </c>
      <c r="S29" s="176">
        <f>SUM(S21:S28)</f>
        <v>47897395.720578745</v>
      </c>
      <c r="T29" s="176">
        <f>SUM(T21:T28)</f>
        <v>48756870.384597905</v>
      </c>
      <c r="U29" s="176">
        <f>SUM(U21:U28)</f>
        <v>49633534.541897424</v>
      </c>
      <c r="V29" s="176">
        <f>SUM(V21:V28)</f>
        <v>50527731.982342958</v>
      </c>
    </row>
    <row r="30" spans="1:22" x14ac:dyDescent="0.3">
      <c r="A30" s="179"/>
    </row>
    <row r="31" spans="1:22" x14ac:dyDescent="0.3">
      <c r="A31" s="179"/>
    </row>
    <row r="32" spans="1:22" x14ac:dyDescent="0.3">
      <c r="A32" s="179"/>
    </row>
    <row r="33" spans="1:22" x14ac:dyDescent="0.3">
      <c r="A33" s="179"/>
    </row>
    <row r="34" spans="1:22" x14ac:dyDescent="0.3">
      <c r="A34" s="179"/>
    </row>
    <row r="35" spans="1:22" x14ac:dyDescent="0.3">
      <c r="A35" s="179"/>
    </row>
    <row r="36" spans="1:22" x14ac:dyDescent="0.3">
      <c r="A36" s="179"/>
    </row>
    <row r="37" spans="1:22" x14ac:dyDescent="0.3">
      <c r="A37" s="179"/>
      <c r="B37" s="49" t="s">
        <v>227</v>
      </c>
      <c r="L37" s="34"/>
      <c r="M37" s="34"/>
    </row>
    <row r="38" spans="1:22" x14ac:dyDescent="0.3">
      <c r="A38" s="179"/>
      <c r="B38" s="97" t="s">
        <v>102</v>
      </c>
      <c r="C38" s="97">
        <v>2021</v>
      </c>
      <c r="D38" s="98">
        <v>2022</v>
      </c>
      <c r="E38" s="97">
        <v>2023</v>
      </c>
      <c r="F38" s="98">
        <v>2024</v>
      </c>
      <c r="G38" s="97">
        <v>2025</v>
      </c>
      <c r="H38" s="98">
        <v>2026</v>
      </c>
      <c r="I38" s="97">
        <v>2027</v>
      </c>
      <c r="J38" s="98">
        <v>2028</v>
      </c>
      <c r="K38" s="97">
        <v>2029</v>
      </c>
      <c r="L38" s="98">
        <v>2030</v>
      </c>
      <c r="M38" s="97">
        <v>2031</v>
      </c>
      <c r="N38" s="98">
        <v>2032</v>
      </c>
      <c r="O38" s="97">
        <v>2033</v>
      </c>
      <c r="P38" s="98">
        <v>2034</v>
      </c>
      <c r="Q38" s="97">
        <v>2035</v>
      </c>
      <c r="R38" s="98">
        <v>2036</v>
      </c>
      <c r="S38" s="97">
        <v>2037</v>
      </c>
      <c r="T38" s="98">
        <v>2038</v>
      </c>
      <c r="U38" s="97">
        <v>2039</v>
      </c>
      <c r="V38" s="98">
        <v>2040</v>
      </c>
    </row>
    <row r="39" spans="1:22" x14ac:dyDescent="0.3">
      <c r="A39" s="179"/>
      <c r="B39" s="47" t="s">
        <v>59</v>
      </c>
      <c r="C39" s="100">
        <f>IFERROR(SR_demand_forecast!D202*Settings!$K$61,"-")</f>
        <v>5786259.9259797707</v>
      </c>
      <c r="D39" s="100">
        <f>IFERROR(SR_demand_forecast!E202*Settings!$K$61,"-")</f>
        <v>6571178.6637648521</v>
      </c>
      <c r="E39" s="100">
        <f>IFERROR(SR_demand_forecast!F202*Settings!$K$61,"-")</f>
        <v>7387192.259239113</v>
      </c>
      <c r="F39" s="100">
        <f>IFERROR(SR_demand_forecast!G202*Settings!$K$61,"-")</f>
        <v>8235230.5392150022</v>
      </c>
      <c r="G39" s="100">
        <f>IFERROR(SR_demand_forecast!H202*Settings!$K$61,"-")</f>
        <v>9116248.0856344011</v>
      </c>
      <c r="H39" s="100">
        <f>IFERROR(SR_demand_forecast!I202*Settings!$K$61,"-")</f>
        <v>10031224.853843058</v>
      </c>
      <c r="I39" s="100">
        <f>IFERROR(SR_demand_forecast!J202*Settings!$K$61,"-")</f>
        <v>10981166.805693973</v>
      </c>
      <c r="J39" s="100">
        <f>IFERROR(SR_demand_forecast!K202*Settings!$K$61,"-")</f>
        <v>11967106.55782555</v>
      </c>
      <c r="K39" s="100">
        <f>IFERROR(SR_demand_forecast!L202*Settings!$K$61,"-")</f>
        <v>12990104.045468286</v>
      </c>
      <c r="L39" s="100">
        <f>IFERROR(SR_demand_forecast!M202*Settings!$K$61,"-")</f>
        <v>14051247.202141764</v>
      </c>
      <c r="M39" s="100">
        <f>IFERROR(SR_demand_forecast!N202*Settings!$K$61,"-")</f>
        <v>16040462.668958312</v>
      </c>
      <c r="N39" s="100">
        <f>IFERROR(SR_demand_forecast!O202*Settings!$K$61,"-")</f>
        <v>16285798.966781218</v>
      </c>
      <c r="O39" s="100">
        <f>IFERROR(SR_demand_forecast!P202*Settings!$K$61,"-")</f>
        <v>16536041.990560587</v>
      </c>
      <c r="P39" s="100">
        <f>IFERROR(SR_demand_forecast!Q202*Settings!$K$61,"-")</f>
        <v>16791289.874815539</v>
      </c>
      <c r="Q39" s="100">
        <f>IFERROR(SR_demand_forecast!R202*Settings!$K$61,"-")</f>
        <v>17051642.716755595</v>
      </c>
      <c r="R39" s="100">
        <f>IFERROR(SR_demand_forecast!S202*Settings!$K$61,"-")</f>
        <v>17317202.615534443</v>
      </c>
      <c r="S39" s="100">
        <f>IFERROR(SR_demand_forecast!T202*Settings!$K$61,"-")</f>
        <v>17588073.712288879</v>
      </c>
      <c r="T39" s="100">
        <f>IFERROR(SR_demand_forecast!U202*Settings!$K$61,"-")</f>
        <v>17864362.2309784</v>
      </c>
      <c r="U39" s="100">
        <f>IFERROR(SR_demand_forecast!V202*Settings!$K$61,"-")</f>
        <v>18146176.520041704</v>
      </c>
      <c r="V39" s="100">
        <f>IFERROR(SR_demand_forecast!W202*Settings!$K$61,"-")</f>
        <v>18433627.094886284</v>
      </c>
    </row>
    <row r="40" spans="1:22" x14ac:dyDescent="0.3">
      <c r="A40" s="179"/>
      <c r="B40" s="47" t="s">
        <v>57</v>
      </c>
      <c r="C40" s="100">
        <f>IFERROR(SR_demand_forecast!D203*Settings!$K$61,"-")</f>
        <v>13661705.077216865</v>
      </c>
      <c r="D40" s="100">
        <f>IFERROR(SR_demand_forecast!E203*Settings!$K$61,"-")</f>
        <v>14631602.715263359</v>
      </c>
      <c r="E40" s="100">
        <f>IFERROR(SR_demand_forecast!F203*Settings!$K$61,"-")</f>
        <v>17158478.200217262</v>
      </c>
      <c r="F40" s="100">
        <f>IFERROR(SR_demand_forecast!G203*Settings!$K$61,"-")</f>
        <v>19098879.954471871</v>
      </c>
      <c r="G40" s="100">
        <f>IFERROR(SR_demand_forecast!H203*Settings!$K$61,"-")</f>
        <v>21593522.781385675</v>
      </c>
      <c r="H40" s="100">
        <f>IFERROR(SR_demand_forecast!I203*Settings!$K$61,"-")</f>
        <v>23895966.580266517</v>
      </c>
      <c r="I40" s="100">
        <f>IFERROR(SR_demand_forecast!J203*Settings!$K$61,"-")</f>
        <v>26372141.315410636</v>
      </c>
      <c r="J40" s="100">
        <f>IFERROR(SR_demand_forecast!K203*Settings!$K$61,"-")</f>
        <v>28918607.057720341</v>
      </c>
      <c r="K40" s="100">
        <f>IFERROR(SR_demand_forecast!L203*Settings!$K$61,"-")</f>
        <v>31364945.548982527</v>
      </c>
      <c r="L40" s="100">
        <f>IFERROR(SR_demand_forecast!M203*Settings!$K$61,"-")</f>
        <v>33897862.274914891</v>
      </c>
      <c r="M40" s="100">
        <f>IFERROR(SR_demand_forecast!N203*Settings!$K$61,"-")</f>
        <v>34561212.628273934</v>
      </c>
      <c r="N40" s="100">
        <f>IFERROR(SR_demand_forecast!O203*Settings!$K$61,"-")</f>
        <v>35237829.988700151</v>
      </c>
      <c r="O40" s="100">
        <f>IFERROR(SR_demand_forecast!P203*Settings!$K$61,"-")</f>
        <v>35927979.696334906</v>
      </c>
      <c r="P40" s="100">
        <f>IFERROR(SR_demand_forecast!Q203*Settings!$K$61,"-")</f>
        <v>36631932.398122348</v>
      </c>
      <c r="Q40" s="100">
        <f>IFERROR(SR_demand_forecast!R203*Settings!$K$61,"-")</f>
        <v>37349964.153945543</v>
      </c>
      <c r="R40" s="100">
        <f>IFERROR(SR_demand_forecast!S203*Settings!$K$61,"-")</f>
        <v>38082356.544885188</v>
      </c>
      <c r="S40" s="100">
        <f>IFERROR(SR_demand_forecast!T203*Settings!$K$61,"-")</f>
        <v>38829396.783643648</v>
      </c>
      <c r="T40" s="100">
        <f>IFERROR(SR_demand_forecast!U203*Settings!$K$61,"-")</f>
        <v>39591377.827177271</v>
      </c>
      <c r="U40" s="100">
        <f>IFERROR(SR_demand_forecast!V203*Settings!$K$61,"-")</f>
        <v>40368598.491581559</v>
      </c>
      <c r="V40" s="100">
        <f>IFERROR(SR_demand_forecast!W203*Settings!$K$61,"-")</f>
        <v>41161363.569273926</v>
      </c>
    </row>
    <row r="41" spans="1:22" x14ac:dyDescent="0.3">
      <c r="A41" s="179"/>
      <c r="B41" s="47" t="s">
        <v>56</v>
      </c>
      <c r="C41" s="100">
        <f>IFERROR(SR_demand_forecast!D204*Settings!$K$61,"-")</f>
        <v>100963.41360368539</v>
      </c>
      <c r="D41" s="100">
        <f>IFERROR(SR_demand_forecast!E204*Settings!$K$61,"-")</f>
        <v>125194.63286856988</v>
      </c>
      <c r="E41" s="100">
        <f>IFERROR(SR_demand_forecast!F204*Settings!$K$61,"-")</f>
        <v>180457.34562536865</v>
      </c>
      <c r="F41" s="100">
        <f>IFERROR(SR_demand_forecast!G204*Settings!$K$61,"-")</f>
        <v>208791.84228176976</v>
      </c>
      <c r="G41" s="100">
        <f>IFERROR(SR_demand_forecast!H204*Settings!$K$61,"-")</f>
        <v>238187.53586617683</v>
      </c>
      <c r="H41" s="100">
        <f>IFERROR(SR_demand_forecast!I204*Settings!$K$61,"-")</f>
        <v>268675.54045704746</v>
      </c>
      <c r="I41" s="100">
        <f>IFERROR(SR_demand_forecast!J204*Settings!$K$61,"-")</f>
        <v>300287.79021720652</v>
      </c>
      <c r="J41" s="100">
        <f>IFERROR(SR_demand_forecast!K204*Settings!$K$61,"-")</f>
        <v>333057.05975158897</v>
      </c>
      <c r="K41" s="100">
        <f>IFERROR(SR_demand_forecast!L204*Settings!$K$61,"-")</f>
        <v>367016.98495125992</v>
      </c>
      <c r="L41" s="100">
        <f>IFERROR(SR_demand_forecast!M204*Settings!$K$61,"-")</f>
        <v>402202.08433501713</v>
      </c>
      <c r="M41" s="100">
        <f>IFERROR(SR_demand_forecast!N204*Settings!$K$61,"-")</f>
        <v>410246.1260217175</v>
      </c>
      <c r="N41" s="100">
        <f>IFERROR(SR_demand_forecast!O204*Settings!$K$61,"-")</f>
        <v>418451.04854215175</v>
      </c>
      <c r="O41" s="100">
        <f>IFERROR(SR_demand_forecast!P204*Settings!$K$61,"-")</f>
        <v>426820.0695129949</v>
      </c>
      <c r="P41" s="100">
        <f>IFERROR(SR_demand_forecast!Q204*Settings!$K$61,"-")</f>
        <v>435356.47090325475</v>
      </c>
      <c r="Q41" s="100">
        <f>IFERROR(SR_demand_forecast!R204*Settings!$K$61,"-")</f>
        <v>444063.60032131989</v>
      </c>
      <c r="R41" s="100">
        <f>IFERROR(SR_demand_forecast!S204*Settings!$K$61,"-")</f>
        <v>452944.87232774618</v>
      </c>
      <c r="S41" s="100">
        <f>IFERROR(SR_demand_forecast!T204*Settings!$K$61,"-")</f>
        <v>462003.76977430109</v>
      </c>
      <c r="T41" s="100">
        <f>IFERROR(SR_demand_forecast!U204*Settings!$K$61,"-")</f>
        <v>471243.84516978718</v>
      </c>
      <c r="U41" s="100">
        <f>IFERROR(SR_demand_forecast!V204*Settings!$K$61,"-")</f>
        <v>480668.72207318287</v>
      </c>
      <c r="V41" s="100">
        <f>IFERROR(SR_demand_forecast!W204*Settings!$K$61,"-")</f>
        <v>490282.09651464655</v>
      </c>
    </row>
    <row r="42" spans="1:22" x14ac:dyDescent="0.3">
      <c r="A42" s="179"/>
      <c r="B42" s="47" t="s">
        <v>100</v>
      </c>
      <c r="C42" s="100">
        <f>IFERROR(SR_demand_forecast!D205*Settings!$K$61,"-")</f>
        <v>0</v>
      </c>
      <c r="D42" s="100">
        <f>IFERROR(SR_demand_forecast!E205*Settings!$K$61,"-")</f>
        <v>0</v>
      </c>
      <c r="E42" s="100">
        <f>IFERROR(SR_demand_forecast!F205*Settings!$K$61,"-")</f>
        <v>0</v>
      </c>
      <c r="F42" s="100">
        <f>IFERROR(SR_demand_forecast!G205*Settings!$K$61,"-")</f>
        <v>0</v>
      </c>
      <c r="G42" s="100">
        <f>IFERROR(SR_demand_forecast!H205*Settings!$K$61,"-")</f>
        <v>0</v>
      </c>
      <c r="H42" s="100">
        <f>IFERROR(SR_demand_forecast!I205*Settings!$K$61,"-")</f>
        <v>0</v>
      </c>
      <c r="I42" s="100">
        <f>IFERROR(SR_demand_forecast!J205*Settings!$K$61,"-")</f>
        <v>0</v>
      </c>
      <c r="J42" s="100">
        <f>IFERROR(SR_demand_forecast!K205*Settings!$K$61,"-")</f>
        <v>0</v>
      </c>
      <c r="K42" s="100">
        <f>IFERROR(SR_demand_forecast!L205*Settings!$K$61,"-")</f>
        <v>0</v>
      </c>
      <c r="L42" s="100">
        <f>IFERROR(SR_demand_forecast!M205*Settings!$K$61,"-")</f>
        <v>0</v>
      </c>
      <c r="M42" s="100">
        <f>IFERROR(SR_demand_forecast!N205*Settings!$K$61,"-")</f>
        <v>0</v>
      </c>
      <c r="N42" s="100">
        <f>IFERROR(SR_demand_forecast!O205*Settings!$K$61,"-")</f>
        <v>0</v>
      </c>
      <c r="O42" s="100">
        <f>IFERROR(SR_demand_forecast!P205*Settings!$K$61,"-")</f>
        <v>0</v>
      </c>
      <c r="P42" s="100">
        <f>IFERROR(SR_demand_forecast!Q205*Settings!$K$61,"-")</f>
        <v>0</v>
      </c>
      <c r="Q42" s="100">
        <f>IFERROR(SR_demand_forecast!R205*Settings!$K$61,"-")</f>
        <v>0</v>
      </c>
      <c r="R42" s="100">
        <f>IFERROR(SR_demand_forecast!S205*Settings!$K$61,"-")</f>
        <v>0</v>
      </c>
      <c r="S42" s="100">
        <f>IFERROR(SR_demand_forecast!T205*Settings!$K$61,"-")</f>
        <v>0</v>
      </c>
      <c r="T42" s="100">
        <f>IFERROR(SR_demand_forecast!U205*Settings!$K$61,"-")</f>
        <v>0</v>
      </c>
      <c r="U42" s="100">
        <f>IFERROR(SR_demand_forecast!V205*Settings!$K$61,"-")</f>
        <v>0</v>
      </c>
      <c r="V42" s="100">
        <f>IFERROR(SR_demand_forecast!W205*Settings!$K$61,"-")</f>
        <v>0</v>
      </c>
    </row>
    <row r="43" spans="1:22" x14ac:dyDescent="0.3">
      <c r="A43" s="179"/>
      <c r="B43" s="47" t="s">
        <v>60</v>
      </c>
      <c r="C43" s="100">
        <f>IFERROR(SR_demand_forecast!D206*Settings!$K$61,"-")</f>
        <v>6050.7657680963021</v>
      </c>
      <c r="D43" s="100">
        <f>IFERROR(SR_demand_forecast!E206*Settings!$K$61,"-")</f>
        <v>7099.565167899661</v>
      </c>
      <c r="E43" s="100">
        <f>IFERROR(SR_demand_forecast!F206*Settings!$K$61,"-")</f>
        <v>8189.9131593106149</v>
      </c>
      <c r="F43" s="100">
        <f>IFERROR(SR_demand_forecast!G206*Settings!$K$61,"-")</f>
        <v>9323.052166233545</v>
      </c>
      <c r="G43" s="100">
        <f>IFERROR(SR_demand_forecast!H206*Settings!$K$61,"-")</f>
        <v>10915.905766690898</v>
      </c>
      <c r="H43" s="100">
        <f>IFERROR(SR_demand_forecast!I206*Settings!$K$61,"-")</f>
        <v>12247.646270227187</v>
      </c>
      <c r="I43" s="100">
        <f>IFERROR(SR_demand_forecast!J206*Settings!$K$61,"-")</f>
        <v>13628.290031598253</v>
      </c>
      <c r="J43" s="100">
        <f>IFERROR(SR_demand_forecast!K206*Settings!$K$61,"-")</f>
        <v>15059.260484916063</v>
      </c>
      <c r="K43" s="100">
        <f>IFERROR(SR_demand_forecast!L206*Settings!$K$61,"-")</f>
        <v>16542.018440353957</v>
      </c>
      <c r="L43" s="100">
        <f>IFERROR(SR_demand_forecast!M206*Settings!$K$61,"-")</f>
        <v>18078.063009815396</v>
      </c>
      <c r="M43" s="100">
        <f>IFERROR(SR_demand_forecast!N206*Settings!$K$61,"-")</f>
        <v>18439.624270011707</v>
      </c>
      <c r="N43" s="100">
        <f>IFERROR(SR_demand_forecast!O206*Settings!$K$61,"-")</f>
        <v>18808.416755411938</v>
      </c>
      <c r="O43" s="100">
        <f>IFERROR(SR_demand_forecast!P206*Settings!$K$61,"-")</f>
        <v>19184.585090520177</v>
      </c>
      <c r="P43" s="100">
        <f>IFERROR(SR_demand_forecast!Q206*Settings!$K$61,"-")</f>
        <v>19568.27679233058</v>
      </c>
      <c r="Q43" s="100">
        <f>IFERROR(SR_demand_forecast!R206*Settings!$K$61,"-")</f>
        <v>19959.642328177193</v>
      </c>
      <c r="R43" s="100">
        <f>IFERROR(SR_demand_forecast!S206*Settings!$K$61,"-")</f>
        <v>20358.835174740732</v>
      </c>
      <c r="S43" s="100">
        <f>IFERROR(SR_demand_forecast!T206*Settings!$K$61,"-")</f>
        <v>20766.011878235549</v>
      </c>
      <c r="T43" s="100">
        <f>IFERROR(SR_demand_forecast!U206*Settings!$K$61,"-")</f>
        <v>21181.332115800265</v>
      </c>
      <c r="U43" s="100">
        <f>IFERROR(SR_demand_forecast!V206*Settings!$K$61,"-")</f>
        <v>21604.958758116267</v>
      </c>
      <c r="V43" s="100">
        <f>IFERROR(SR_demand_forecast!W206*Settings!$K$61,"-")</f>
        <v>22037.057933278593</v>
      </c>
    </row>
    <row r="44" spans="1:22" x14ac:dyDescent="0.3">
      <c r="A44" s="179"/>
      <c r="B44" s="47" t="s">
        <v>101</v>
      </c>
      <c r="C44" s="100">
        <f>IFERROR(SR_demand_forecast!D207*Settings!$K$61,"-")</f>
        <v>0</v>
      </c>
      <c r="D44" s="100">
        <f>IFERROR(SR_demand_forecast!E207*Settings!$K$61,"-")</f>
        <v>0</v>
      </c>
      <c r="E44" s="100">
        <f>IFERROR(SR_demand_forecast!F207*Settings!$K$61,"-")</f>
        <v>0</v>
      </c>
      <c r="F44" s="100">
        <f>IFERROR(SR_demand_forecast!G207*Settings!$K$61,"-")</f>
        <v>0</v>
      </c>
      <c r="G44" s="100">
        <f>IFERROR(SR_demand_forecast!H207*Settings!$K$61,"-")</f>
        <v>0</v>
      </c>
      <c r="H44" s="100">
        <f>IFERROR(SR_demand_forecast!I207*Settings!$K$61,"-")</f>
        <v>0</v>
      </c>
      <c r="I44" s="100">
        <f>IFERROR(SR_demand_forecast!J207*Settings!$K$61,"-")</f>
        <v>0</v>
      </c>
      <c r="J44" s="100">
        <f>IFERROR(SR_demand_forecast!K207*Settings!$K$61,"-")</f>
        <v>0</v>
      </c>
      <c r="K44" s="100">
        <f>IFERROR(SR_demand_forecast!L207*Settings!$K$61,"-")</f>
        <v>0</v>
      </c>
      <c r="L44" s="100">
        <f>IFERROR(SR_demand_forecast!M207*Settings!$K$61,"-")</f>
        <v>0</v>
      </c>
      <c r="M44" s="100">
        <f>IFERROR(SR_demand_forecast!N207*Settings!$K$61,"-")</f>
        <v>0</v>
      </c>
      <c r="N44" s="100">
        <f>IFERROR(SR_demand_forecast!O207*Settings!$K$61,"-")</f>
        <v>0</v>
      </c>
      <c r="O44" s="100">
        <f>IFERROR(SR_demand_forecast!P207*Settings!$K$61,"-")</f>
        <v>0</v>
      </c>
      <c r="P44" s="100">
        <f>IFERROR(SR_demand_forecast!Q207*Settings!$K$61,"-")</f>
        <v>0</v>
      </c>
      <c r="Q44" s="100">
        <f>IFERROR(SR_demand_forecast!R207*Settings!$K$61,"-")</f>
        <v>0</v>
      </c>
      <c r="R44" s="100">
        <f>IFERROR(SR_demand_forecast!S207*Settings!$K$61,"-")</f>
        <v>0</v>
      </c>
      <c r="S44" s="100">
        <f>IFERROR(SR_demand_forecast!T207*Settings!$K$61,"-")</f>
        <v>0</v>
      </c>
      <c r="T44" s="100">
        <f>IFERROR(SR_demand_forecast!U207*Settings!$K$61,"-")</f>
        <v>0</v>
      </c>
      <c r="U44" s="100">
        <f>IFERROR(SR_demand_forecast!V207*Settings!$K$61,"-")</f>
        <v>0</v>
      </c>
      <c r="V44" s="100">
        <f>IFERROR(SR_demand_forecast!W207*Settings!$K$61,"-")</f>
        <v>0</v>
      </c>
    </row>
    <row r="45" spans="1:22" x14ac:dyDescent="0.3">
      <c r="A45" s="179"/>
      <c r="B45" s="47" t="s">
        <v>58</v>
      </c>
      <c r="C45" s="100">
        <f>IFERROR(SR_demand_forecast!D208*Settings!$K$61,"-")</f>
        <v>87914.582613183506</v>
      </c>
      <c r="D45" s="100">
        <f>IFERROR(SR_demand_forecast!E208*Settings!$K$61,"-")</f>
        <v>100976.17774428507</v>
      </c>
      <c r="E45" s="100">
        <f>IFERROR(SR_demand_forecast!F208*Settings!$K$61,"-")</f>
        <v>114555.21299019564</v>
      </c>
      <c r="F45" s="100">
        <f>IFERROR(SR_demand_forecast!G208*Settings!$K$61,"-")</f>
        <v>128667.16131745513</v>
      </c>
      <c r="G45" s="100">
        <f>IFERROR(SR_demand_forecast!H208*Settings!$K$61,"-")</f>
        <v>145398.47590387726</v>
      </c>
      <c r="H45" s="100">
        <f>IFERROR(SR_demand_forecast!I208*Settings!$K$61,"-")</f>
        <v>161168.10776131216</v>
      </c>
      <c r="I45" s="100">
        <f>IFERROR(SR_demand_forecast!J208*Settings!$K$61,"-")</f>
        <v>177530.46026442311</v>
      </c>
      <c r="J45" s="100">
        <f>IFERROR(SR_demand_forecast!K208*Settings!$K$61,"-")</f>
        <v>194502.93438629407</v>
      </c>
      <c r="K45" s="100">
        <f>IFERROR(SR_demand_forecast!L208*Settings!$K$61,"-")</f>
        <v>212103.39005067432</v>
      </c>
      <c r="L45" s="100">
        <f>IFERROR(SR_demand_forecast!M208*Settings!$K$61,"-")</f>
        <v>230350.15752961542</v>
      </c>
      <c r="M45" s="100">
        <f>IFERROR(SR_demand_forecast!N208*Settings!$K$61,"-")</f>
        <v>233952.42259319994</v>
      </c>
      <c r="N45" s="100">
        <f>IFERROR(SR_demand_forecast!O208*Settings!$K$61,"-")</f>
        <v>237626.73295805606</v>
      </c>
      <c r="O45" s="100">
        <f>IFERROR(SR_demand_forecast!P208*Settings!$K$61,"-")</f>
        <v>241374.5295302094</v>
      </c>
      <c r="P45" s="100">
        <f>IFERROR(SR_demand_forecast!Q208*Settings!$K$61,"-")</f>
        <v>245197.28203380579</v>
      </c>
      <c r="Q45" s="100">
        <f>IFERROR(SR_demand_forecast!R208*Settings!$K$61,"-")</f>
        <v>249096.48958747409</v>
      </c>
      <c r="R45" s="100">
        <f>IFERROR(SR_demand_forecast!S208*Settings!$K$61,"-")</f>
        <v>253073.68129221571</v>
      </c>
      <c r="S45" s="100">
        <f>IFERROR(SR_demand_forecast!T208*Settings!$K$61,"-")</f>
        <v>257130.41683105225</v>
      </c>
      <c r="T45" s="100">
        <f>IFERROR(SR_demand_forecast!U208*Settings!$K$61,"-")</f>
        <v>261268.28708066553</v>
      </c>
      <c r="U45" s="100">
        <f>IFERROR(SR_demand_forecast!V208*Settings!$K$61,"-")</f>
        <v>265488.91473527101</v>
      </c>
      <c r="V45" s="100">
        <f>IFERROR(SR_demand_forecast!W208*Settings!$K$61,"-")</f>
        <v>269793.95494296862</v>
      </c>
    </row>
    <row r="46" spans="1:22" x14ac:dyDescent="0.3">
      <c r="A46" s="179"/>
      <c r="B46" s="47" t="s">
        <v>61</v>
      </c>
      <c r="C46" s="100">
        <f>IFERROR(SR_demand_forecast!D209*Settings!$K$61,"-")</f>
        <v>1219129.6606346157</v>
      </c>
      <c r="D46" s="100">
        <f>IFERROR(SR_demand_forecast!E209*Settings!$K$61,"-")</f>
        <v>1341781.493159068</v>
      </c>
      <c r="E46" s="100">
        <f>IFERROR(SR_demand_forecast!F209*Settings!$K$61,"-")</f>
        <v>1469147.2937046406</v>
      </c>
      <c r="F46" s="100">
        <f>IFERROR(SR_demand_forecast!G209*Settings!$K$61,"-")</f>
        <v>1601366.560259169</v>
      </c>
      <c r="G46" s="100">
        <f>IFERROR(SR_demand_forecast!H209*Settings!$K$61,"-")</f>
        <v>1738582.485142793</v>
      </c>
      <c r="H46" s="100">
        <f>IFERROR(SR_demand_forecast!I209*Settings!$K$61,"-")</f>
        <v>1919392.9543407802</v>
      </c>
      <c r="I46" s="100">
        <f>IFERROR(SR_demand_forecast!J209*Settings!$K$61,"-")</f>
        <v>2075204.695001032</v>
      </c>
      <c r="J46" s="100">
        <f>IFERROR(SR_demand_forecast!K209*Settings!$K$61,"-")</f>
        <v>2236628.9213981563</v>
      </c>
      <c r="K46" s="100">
        <f>IFERROR(SR_demand_forecast!L209*Settings!$K$61,"-")</f>
        <v>2403827.8082653633</v>
      </c>
      <c r="L46" s="100">
        <f>IFERROR(SR_demand_forecast!M209*Settings!$K$61,"-")</f>
        <v>2576967.7723308974</v>
      </c>
      <c r="M46" s="100">
        <f>IFERROR(SR_demand_forecast!N209*Settings!$K$61,"-")</f>
        <v>2621118.4631676087</v>
      </c>
      <c r="N46" s="100">
        <f>IFERROR(SR_demand_forecast!O209*Settings!$K$61,"-")</f>
        <v>2666152.1678210534</v>
      </c>
      <c r="O46" s="100">
        <f>IFERROR(SR_demand_forecast!P209*Settings!$K$61,"-")</f>
        <v>2712086.5465675686</v>
      </c>
      <c r="P46" s="100">
        <f>IFERROR(SR_demand_forecast!Q209*Settings!$K$61,"-")</f>
        <v>2758939.6128890128</v>
      </c>
      <c r="Q46" s="100">
        <f>IFERROR(SR_demand_forecast!R209*Settings!$K$61,"-")</f>
        <v>2806729.7405368867</v>
      </c>
      <c r="R46" s="100">
        <f>IFERROR(SR_demand_forecast!S209*Settings!$K$61,"-")</f>
        <v>2855475.6707377168</v>
      </c>
      <c r="S46" s="100">
        <f>IFERROR(SR_demand_forecast!T209*Settings!$K$61,"-")</f>
        <v>2905196.5195425646</v>
      </c>
      <c r="T46" s="100">
        <f>IFERROR(SR_demand_forecast!U209*Settings!$K$61,"-")</f>
        <v>2955911.7853235095</v>
      </c>
      <c r="U46" s="100">
        <f>IFERROR(SR_demand_forecast!V209*Settings!$K$61,"-")</f>
        <v>3007641.3564200727</v>
      </c>
      <c r="V46" s="100">
        <f>IFERROR(SR_demand_forecast!W209*Settings!$K$61,"-")</f>
        <v>3060405.5189385675</v>
      </c>
    </row>
    <row r="47" spans="1:22" x14ac:dyDescent="0.3">
      <c r="A47" s="179"/>
      <c r="B47" s="47" t="s">
        <v>104</v>
      </c>
      <c r="C47" s="176">
        <f>SUM(C39:C46)</f>
        <v>20862023.425816216</v>
      </c>
      <c r="D47" s="176">
        <f>SUM(D39:D46)</f>
        <v>22777833.247968033</v>
      </c>
      <c r="E47" s="176">
        <f>SUM(E39:E46)</f>
        <v>26318020.224935889</v>
      </c>
      <c r="F47" s="176">
        <f>SUM(F39:F46)</f>
        <v>29282259.109711505</v>
      </c>
      <c r="G47" s="176">
        <f>SUM(G39:G46)</f>
        <v>32842855.269699618</v>
      </c>
      <c r="H47" s="176">
        <f>SUM(H39:H46)</f>
        <v>36288675.682938941</v>
      </c>
      <c r="I47" s="176">
        <f>SUM(I39:I46)</f>
        <v>39919959.356618866</v>
      </c>
      <c r="J47" s="176">
        <f>SUM(J39:J46)</f>
        <v>43664961.791566849</v>
      </c>
      <c r="K47" s="176">
        <f>SUM(K39:K46)</f>
        <v>47354539.796158463</v>
      </c>
      <c r="L47" s="176">
        <f>SUM(L39:L46)</f>
        <v>51176707.55426199</v>
      </c>
      <c r="M47" s="176">
        <f>SUM(M39:M46)</f>
        <v>53885431.933284789</v>
      </c>
      <c r="N47" s="176">
        <f>SUM(N39:N46)</f>
        <v>54864667.321558043</v>
      </c>
      <c r="O47" s="176">
        <f>SUM(O39:O46)</f>
        <v>55863487.41759678</v>
      </c>
      <c r="P47" s="176">
        <f>SUM(P39:P46)</f>
        <v>56882283.915556297</v>
      </c>
      <c r="Q47" s="176">
        <f>SUM(Q39:Q46)</f>
        <v>57921456.343474992</v>
      </c>
      <c r="R47" s="176">
        <f>SUM(R39:R46)</f>
        <v>58981412.219952039</v>
      </c>
      <c r="S47" s="176">
        <f>SUM(S39:S46)</f>
        <v>60062567.213958688</v>
      </c>
      <c r="T47" s="176">
        <f>SUM(T39:T46)</f>
        <v>61165345.307845436</v>
      </c>
      <c r="U47" s="176">
        <f>SUM(U39:U46)</f>
        <v>62290178.963609904</v>
      </c>
      <c r="V47" s="176">
        <f>SUM(V39:V46)</f>
        <v>63437509.292489678</v>
      </c>
    </row>
    <row r="48" spans="1:22" x14ac:dyDescent="0.3">
      <c r="A48" s="179"/>
    </row>
    <row r="49" spans="1:22" x14ac:dyDescent="0.3">
      <c r="A49" s="179"/>
    </row>
    <row r="50" spans="1:22" x14ac:dyDescent="0.3">
      <c r="A50" s="179"/>
    </row>
    <row r="51" spans="1:22" x14ac:dyDescent="0.3">
      <c r="A51" s="179"/>
    </row>
    <row r="52" spans="1:22" x14ac:dyDescent="0.3">
      <c r="A52" s="179"/>
    </row>
    <row r="53" spans="1:22" x14ac:dyDescent="0.3">
      <c r="A53" s="179"/>
    </row>
    <row r="54" spans="1:22" x14ac:dyDescent="0.3">
      <c r="A54" s="179"/>
    </row>
    <row r="55" spans="1:22" x14ac:dyDescent="0.3">
      <c r="A55" s="179"/>
    </row>
    <row r="56" spans="1:22" x14ac:dyDescent="0.3">
      <c r="A56" s="179"/>
    </row>
    <row r="57" spans="1:22" x14ac:dyDescent="0.3">
      <c r="A57" s="180">
        <v>0.4</v>
      </c>
      <c r="B57" s="49" t="s">
        <v>225</v>
      </c>
      <c r="L57" s="34"/>
      <c r="M57" s="34"/>
    </row>
    <row r="58" spans="1:22" x14ac:dyDescent="0.3">
      <c r="A58" s="179"/>
      <c r="B58" s="97" t="s">
        <v>102</v>
      </c>
      <c r="C58" s="97">
        <v>2021</v>
      </c>
      <c r="D58" s="98">
        <v>2022</v>
      </c>
      <c r="E58" s="97">
        <v>2023</v>
      </c>
      <c r="F58" s="98">
        <v>2024</v>
      </c>
      <c r="G58" s="97">
        <v>2025</v>
      </c>
      <c r="H58" s="98">
        <v>2026</v>
      </c>
      <c r="I58" s="97">
        <v>2027</v>
      </c>
      <c r="J58" s="98">
        <v>2028</v>
      </c>
      <c r="K58" s="97">
        <v>2029</v>
      </c>
      <c r="L58" s="98">
        <v>2030</v>
      </c>
      <c r="M58" s="97">
        <v>2031</v>
      </c>
      <c r="N58" s="98">
        <v>2032</v>
      </c>
      <c r="O58" s="97">
        <v>2033</v>
      </c>
      <c r="P58" s="98">
        <v>2034</v>
      </c>
      <c r="Q58" s="97">
        <v>2035</v>
      </c>
      <c r="R58" s="98">
        <v>2036</v>
      </c>
      <c r="S58" s="97">
        <v>2037</v>
      </c>
      <c r="T58" s="98">
        <v>2038</v>
      </c>
      <c r="U58" s="97">
        <v>2039</v>
      </c>
      <c r="V58" s="98">
        <v>2040</v>
      </c>
    </row>
    <row r="59" spans="1:22" x14ac:dyDescent="0.3">
      <c r="A59" s="179"/>
      <c r="B59" s="47" t="s">
        <v>59</v>
      </c>
      <c r="C59" s="100">
        <f>IFERROR(SR_demand_forecast!D56*Settings!$K$63,"-")</f>
        <v>6016871.7346238913</v>
      </c>
      <c r="D59" s="100">
        <f>IFERROR(SR_demand_forecast!E56*Settings!$K$63,"-")</f>
        <v>6169494.8225265462</v>
      </c>
      <c r="E59" s="100">
        <f>IFERROR(SR_demand_forecast!F56*Settings!$K$63,"-")</f>
        <v>6328164.1327576526</v>
      </c>
      <c r="F59" s="100">
        <f>IFERROR(SR_demand_forecast!G56*Settings!$K$63,"-")</f>
        <v>6493060.4649751866</v>
      </c>
      <c r="G59" s="100">
        <f>IFERROR(SR_demand_forecast!H56*Settings!$K$63,"-")</f>
        <v>6664369.4323345143</v>
      </c>
      <c r="H59" s="100">
        <f>IFERROR(SR_demand_forecast!I56*Settings!$K$63,"-")</f>
        <v>6842281.5817084191</v>
      </c>
      <c r="I59" s="100">
        <f>IFERROR(SR_demand_forecast!J56*Settings!$K$63,"-")</f>
        <v>7026992.5167905418</v>
      </c>
      <c r="J59" s="100">
        <f>IFERROR(SR_demand_forecast!K56*Settings!$K$63,"-")</f>
        <v>7218703.0241494607</v>
      </c>
      <c r="K59" s="100">
        <f>IFERROR(SR_demand_forecast!L56*Settings!$K$63,"-")</f>
        <v>7417619.2023022128</v>
      </c>
      <c r="L59" s="100">
        <f>IFERROR(SR_demand_forecast!M56*Settings!$K$63,"-")</f>
        <v>7623952.5938776126</v>
      </c>
      <c r="M59" s="100">
        <f>IFERROR(SR_demand_forecast!N56*Settings!$K$63,"-")</f>
        <v>9769320.5889911633</v>
      </c>
      <c r="N59" s="100">
        <f>IFERROR(SR_demand_forecast!O56*Settings!$K$63,"-")</f>
        <v>9876655.2192886844</v>
      </c>
      <c r="O59" s="100">
        <f>IFERROR(SR_demand_forecast!P56*Settings!$K$63,"-")</f>
        <v>9986136.5421921574</v>
      </c>
      <c r="P59" s="100">
        <f>IFERROR(SR_demand_forecast!Q56*Settings!$K$63,"-")</f>
        <v>10097807.491553701</v>
      </c>
      <c r="Q59" s="100">
        <f>IFERROR(SR_demand_forecast!R56*Settings!$K$63,"-")</f>
        <v>10211711.859902475</v>
      </c>
      <c r="R59" s="100">
        <f>IFERROR(SR_demand_forecast!S56*Settings!$K$63,"-")</f>
        <v>10327894.315618221</v>
      </c>
      <c r="S59" s="100">
        <f>IFERROR(SR_demand_forecast!T56*Settings!$K$63,"-")</f>
        <v>10446400.420448286</v>
      </c>
      <c r="T59" s="100">
        <f>IFERROR(SR_demand_forecast!U56*Settings!$K$63,"-")</f>
        <v>10567276.64737495</v>
      </c>
      <c r="U59" s="100">
        <f>IFERROR(SR_demand_forecast!V56*Settings!$K$63,"-")</f>
        <v>10690570.39884015</v>
      </c>
      <c r="V59" s="100">
        <f>IFERROR(SR_demand_forecast!W56*Settings!$K$63,"-")</f>
        <v>10816330.025334651</v>
      </c>
    </row>
    <row r="60" spans="1:22" x14ac:dyDescent="0.3">
      <c r="A60" s="179"/>
      <c r="B60" s="47" t="s">
        <v>57</v>
      </c>
      <c r="C60" s="100">
        <f>IFERROR(SR_demand_forecast!D57*Settings!$K$63,"-")</f>
        <v>14575345.990422597</v>
      </c>
      <c r="D60" s="100">
        <f>IFERROR(SR_demand_forecast!E57*Settings!$K$63,"-")</f>
        <v>14289050.904493211</v>
      </c>
      <c r="E60" s="100">
        <f>IFERROR(SR_demand_forecast!F57*Settings!$K$63,"-")</f>
        <v>15763061.604049653</v>
      </c>
      <c r="F60" s="100">
        <f>IFERROR(SR_demand_forecast!G57*Settings!$K$63,"-")</f>
        <v>16495004.984046655</v>
      </c>
      <c r="G60" s="100">
        <f>IFERROR(SR_demand_forecast!H57*Settings!$K$63,"-")</f>
        <v>17813990.66733253</v>
      </c>
      <c r="H60" s="100">
        <f>IFERROR(SR_demand_forecast!I57*Settings!$K$63,"-")</f>
        <v>18847401.721973877</v>
      </c>
      <c r="I60" s="100">
        <f>IFERROR(SR_demand_forecast!J57*Settings!$K$63,"-")</f>
        <v>20020339.314857978</v>
      </c>
      <c r="J60" s="100">
        <f>IFERROR(SR_demand_forecast!K57*Settings!$K$63,"-")</f>
        <v>21210258.255892567</v>
      </c>
      <c r="K60" s="100">
        <f>IFERROR(SR_demand_forecast!L57*Settings!$K$63,"-")</f>
        <v>22216422.623926554</v>
      </c>
      <c r="L60" s="100">
        <f>IFERROR(SR_demand_forecast!M57*Settings!$K$63,"-")</f>
        <v>23254690.290862795</v>
      </c>
      <c r="M60" s="100">
        <f>IFERROR(SR_demand_forecast!N57*Settings!$K$63,"-")</f>
        <v>23702742.722517587</v>
      </c>
      <c r="N60" s="100">
        <f>IFERROR(SR_demand_forecast!O57*Settings!$K$63,"-")</f>
        <v>24159756.202805474</v>
      </c>
      <c r="O60" s="100">
        <f>IFERROR(SR_demand_forecast!P57*Settings!$K$63,"-")</f>
        <v>24625909.952699121</v>
      </c>
      <c r="P60" s="100">
        <f>IFERROR(SR_demand_forecast!Q57*Settings!$K$63,"-")</f>
        <v>25101386.77759064</v>
      </c>
      <c r="Q60" s="100">
        <f>IFERROR(SR_demand_forecast!R57*Settings!$K$63,"-")</f>
        <v>25586373.138979994</v>
      </c>
      <c r="R60" s="100">
        <f>IFERROR(SR_demand_forecast!S57*Settings!$K$63,"-")</f>
        <v>26081059.227597121</v>
      </c>
      <c r="S60" s="100">
        <f>IFERROR(SR_demand_forecast!T57*Settings!$K$63,"-")</f>
        <v>26585639.037986606</v>
      </c>
      <c r="T60" s="100">
        <f>IFERROR(SR_demand_forecast!U57*Settings!$K$63,"-")</f>
        <v>27100310.44458387</v>
      </c>
      <c r="U60" s="100">
        <f>IFERROR(SR_demand_forecast!V57*Settings!$K$63,"-")</f>
        <v>27625275.279313087</v>
      </c>
      <c r="V60" s="100">
        <f>IFERROR(SR_demand_forecast!W57*Settings!$K$63,"-")</f>
        <v>28160739.410736885</v>
      </c>
    </row>
    <row r="61" spans="1:22" x14ac:dyDescent="0.3">
      <c r="A61" s="179"/>
      <c r="B61" s="47" t="s">
        <v>56</v>
      </c>
      <c r="C61" s="100">
        <f>IFERROR(SR_demand_forecast!D58*Settings!$K$63,"-")</f>
        <v>96648.737808656093</v>
      </c>
      <c r="D61" s="100">
        <f>IFERROR(SR_demand_forecast!E58*Settings!$K$63,"-")</f>
        <v>102930.90576621874</v>
      </c>
      <c r="E61" s="100">
        <f>IFERROR(SR_demand_forecast!F58*Settings!$K$63,"-")</f>
        <v>144545.43604818083</v>
      </c>
      <c r="F61" s="100">
        <f>IFERROR(SR_demand_forecast!G58*Settings!$K$63,"-")</f>
        <v>153846.62062867245</v>
      </c>
      <c r="G61" s="100">
        <f>IFERROR(SR_demand_forecast!H58*Settings!$K$63,"-")</f>
        <v>163462.03441796449</v>
      </c>
      <c r="H61" s="100">
        <f>IFERROR(SR_demand_forecast!I58*Settings!$K$63,"-")</f>
        <v>173400.52611057673</v>
      </c>
      <c r="I61" s="100">
        <f>IFERROR(SR_demand_forecast!J58*Settings!$K$63,"-")</f>
        <v>183671.17265712627</v>
      </c>
      <c r="J61" s="100">
        <f>IFERROR(SR_demand_forecast!K58*Settings!$K$63,"-")</f>
        <v>194283.28485509352</v>
      </c>
      <c r="K61" s="100">
        <f>IFERROR(SR_demand_forecast!L58*Settings!$K$63,"-")</f>
        <v>205246.41307191667</v>
      </c>
      <c r="L61" s="100">
        <f>IFERROR(SR_demand_forecast!M58*Settings!$K$63,"-")</f>
        <v>216570.35310347073</v>
      </c>
      <c r="M61" s="100">
        <f>IFERROR(SR_demand_forecast!N58*Settings!$K$63,"-")</f>
        <v>220901.76016554015</v>
      </c>
      <c r="N61" s="100">
        <f>IFERROR(SR_demand_forecast!O58*Settings!$K$63,"-")</f>
        <v>225319.7953688509</v>
      </c>
      <c r="O61" s="100">
        <f>IFERROR(SR_demand_forecast!P58*Settings!$K$63,"-")</f>
        <v>229826.19127622797</v>
      </c>
      <c r="P61" s="100">
        <f>IFERROR(SR_demand_forecast!Q58*Settings!$K$63,"-")</f>
        <v>234422.71510175252</v>
      </c>
      <c r="Q61" s="100">
        <f>IFERROR(SR_demand_forecast!R58*Settings!$K$63,"-")</f>
        <v>239111.16940378762</v>
      </c>
      <c r="R61" s="100">
        <f>IFERROR(SR_demand_forecast!S58*Settings!$K$63,"-")</f>
        <v>243893.3927918633</v>
      </c>
      <c r="S61" s="100">
        <f>IFERROR(SR_demand_forecast!T58*Settings!$K$63,"-")</f>
        <v>248771.26064770055</v>
      </c>
      <c r="T61" s="100">
        <f>IFERROR(SR_demand_forecast!U58*Settings!$K$63,"-")</f>
        <v>253746.68586065463</v>
      </c>
      <c r="U61" s="100">
        <f>IFERROR(SR_demand_forecast!V58*Settings!$K$63,"-")</f>
        <v>258821.61957786771</v>
      </c>
      <c r="V61" s="100">
        <f>IFERROR(SR_demand_forecast!W58*Settings!$K$63,"-")</f>
        <v>263998.05196942505</v>
      </c>
    </row>
    <row r="62" spans="1:22" x14ac:dyDescent="0.3">
      <c r="A62" s="179"/>
      <c r="B62" s="47" t="s">
        <v>100</v>
      </c>
      <c r="C62" s="100">
        <f>IFERROR(SR_demand_forecast!D59*Settings!$K$63,"-")</f>
        <v>0</v>
      </c>
      <c r="D62" s="100">
        <f>IFERROR(SR_demand_forecast!E59*Settings!$K$63,"-")</f>
        <v>0</v>
      </c>
      <c r="E62" s="100">
        <f>IFERROR(SR_demand_forecast!F59*Settings!$K$63,"-")</f>
        <v>0</v>
      </c>
      <c r="F62" s="100">
        <f>IFERROR(SR_demand_forecast!G59*Settings!$K$63,"-")</f>
        <v>0</v>
      </c>
      <c r="G62" s="100">
        <f>IFERROR(SR_demand_forecast!H59*Settings!$K$63,"-")</f>
        <v>0</v>
      </c>
      <c r="H62" s="100">
        <f>IFERROR(SR_demand_forecast!I59*Settings!$K$63,"-")</f>
        <v>0</v>
      </c>
      <c r="I62" s="100">
        <f>IFERROR(SR_demand_forecast!J59*Settings!$K$63,"-")</f>
        <v>0</v>
      </c>
      <c r="J62" s="100">
        <f>IFERROR(SR_demand_forecast!K59*Settings!$K$63,"-")</f>
        <v>0</v>
      </c>
      <c r="K62" s="100">
        <f>IFERROR(SR_demand_forecast!L59*Settings!$K$63,"-")</f>
        <v>0</v>
      </c>
      <c r="L62" s="100">
        <f>IFERROR(SR_demand_forecast!M59*Settings!$K$63,"-")</f>
        <v>0</v>
      </c>
      <c r="M62" s="100">
        <f>IFERROR(SR_demand_forecast!N59*Settings!$K$63,"-")</f>
        <v>0</v>
      </c>
      <c r="N62" s="100">
        <f>IFERROR(SR_demand_forecast!O59*Settings!$K$63,"-")</f>
        <v>0</v>
      </c>
      <c r="O62" s="100">
        <f>IFERROR(SR_demand_forecast!P59*Settings!$K$63,"-")</f>
        <v>0</v>
      </c>
      <c r="P62" s="100">
        <f>IFERROR(SR_demand_forecast!Q59*Settings!$K$63,"-")</f>
        <v>0</v>
      </c>
      <c r="Q62" s="100">
        <f>IFERROR(SR_demand_forecast!R59*Settings!$K$63,"-")</f>
        <v>0</v>
      </c>
      <c r="R62" s="100">
        <f>IFERROR(SR_demand_forecast!S59*Settings!$K$63,"-")</f>
        <v>0</v>
      </c>
      <c r="S62" s="100">
        <f>IFERROR(SR_demand_forecast!T59*Settings!$K$63,"-")</f>
        <v>0</v>
      </c>
      <c r="T62" s="100">
        <f>IFERROR(SR_demand_forecast!U59*Settings!$K$63,"-")</f>
        <v>0</v>
      </c>
      <c r="U62" s="100">
        <f>IFERROR(SR_demand_forecast!V59*Settings!$K$63,"-")</f>
        <v>0</v>
      </c>
      <c r="V62" s="100">
        <f>IFERROR(SR_demand_forecast!W59*Settings!$K$63,"-")</f>
        <v>0</v>
      </c>
    </row>
    <row r="63" spans="1:22" x14ac:dyDescent="0.3">
      <c r="A63" s="179"/>
      <c r="B63" s="47" t="s">
        <v>60</v>
      </c>
      <c r="C63" s="100">
        <f>IFERROR(SR_demand_forecast!D60*Settings!$K$63,"-")</f>
        <v>5882.6889412047376</v>
      </c>
      <c r="D63" s="100">
        <f>IFERROR(SR_demand_forecast!E60*Settings!$K$63,"-")</f>
        <v>5882.6889412047376</v>
      </c>
      <c r="E63" s="100">
        <f>IFERROR(SR_demand_forecast!F60*Settings!$K$63,"-")</f>
        <v>5882.6889412047376</v>
      </c>
      <c r="F63" s="100">
        <f>IFERROR(SR_demand_forecast!G60*Settings!$K$63,"-")</f>
        <v>5882.6889412047376</v>
      </c>
      <c r="G63" s="100">
        <f>IFERROR(SR_demand_forecast!H60*Settings!$K$63,"-")</f>
        <v>6367.611697236357</v>
      </c>
      <c r="H63" s="100">
        <f>IFERROR(SR_demand_forecast!I60*Settings!$K$63,"-")</f>
        <v>6494.9639311810843</v>
      </c>
      <c r="I63" s="100">
        <f>IFERROR(SR_demand_forecast!J60*Settings!$K$63,"-")</f>
        <v>6624.8632098047065</v>
      </c>
      <c r="J63" s="100">
        <f>IFERROR(SR_demand_forecast!K60*Settings!$K$63,"-")</f>
        <v>6757.3604740007986</v>
      </c>
      <c r="K63" s="100">
        <f>IFERROR(SR_demand_forecast!L60*Settings!$K$63,"-")</f>
        <v>6892.507683480816</v>
      </c>
      <c r="L63" s="100">
        <f>IFERROR(SR_demand_forecast!M60*Settings!$K$63,"-")</f>
        <v>7030.3578371504318</v>
      </c>
      <c r="M63" s="100">
        <f>IFERROR(SR_demand_forecast!N60*Settings!$K$63,"-")</f>
        <v>7170.9649938934408</v>
      </c>
      <c r="N63" s="100">
        <f>IFERROR(SR_demand_forecast!O60*Settings!$K$63,"-")</f>
        <v>7314.384293771308</v>
      </c>
      <c r="O63" s="100">
        <f>IFERROR(SR_demand_forecast!P60*Settings!$K$63,"-")</f>
        <v>7460.671979646736</v>
      </c>
      <c r="P63" s="100">
        <f>IFERROR(SR_demand_forecast!Q60*Settings!$K$63,"-")</f>
        <v>7609.8854192396693</v>
      </c>
      <c r="Q63" s="100">
        <f>IFERROR(SR_demand_forecast!R60*Settings!$K$63,"-")</f>
        <v>7762.0831276244644</v>
      </c>
      <c r="R63" s="100">
        <f>IFERROR(SR_demand_forecast!S60*Settings!$K$63,"-")</f>
        <v>7917.324790176951</v>
      </c>
      <c r="S63" s="100">
        <f>IFERROR(SR_demand_forecast!T60*Settings!$K$63,"-")</f>
        <v>8075.6712859804911</v>
      </c>
      <c r="T63" s="100">
        <f>IFERROR(SR_demand_forecast!U60*Settings!$K$63,"-")</f>
        <v>8237.1847117001016</v>
      </c>
      <c r="U63" s="100">
        <f>IFERROR(SR_demand_forecast!V60*Settings!$K$63,"-")</f>
        <v>8401.9284059341026</v>
      </c>
      <c r="V63" s="100">
        <f>IFERROR(SR_demand_forecast!W60*Settings!$K$63,"-")</f>
        <v>8569.9669740527843</v>
      </c>
    </row>
    <row r="64" spans="1:22" x14ac:dyDescent="0.3">
      <c r="A64" s="179"/>
      <c r="B64" s="47" t="s">
        <v>101</v>
      </c>
      <c r="C64" s="100">
        <f>IFERROR(SR_demand_forecast!D61*Settings!$K$63,"-")</f>
        <v>0</v>
      </c>
      <c r="D64" s="100">
        <f>IFERROR(SR_demand_forecast!E61*Settings!$K$63,"-")</f>
        <v>0</v>
      </c>
      <c r="E64" s="100">
        <f>IFERROR(SR_demand_forecast!F61*Settings!$K$63,"-")</f>
        <v>0</v>
      </c>
      <c r="F64" s="100">
        <f>IFERROR(SR_demand_forecast!G61*Settings!$K$63,"-")</f>
        <v>0</v>
      </c>
      <c r="G64" s="100">
        <f>IFERROR(SR_demand_forecast!H61*Settings!$K$63,"-")</f>
        <v>0</v>
      </c>
      <c r="H64" s="100">
        <f>IFERROR(SR_demand_forecast!I61*Settings!$K$63,"-")</f>
        <v>0</v>
      </c>
      <c r="I64" s="100">
        <f>IFERROR(SR_demand_forecast!J61*Settings!$K$63,"-")</f>
        <v>0</v>
      </c>
      <c r="J64" s="100">
        <f>IFERROR(SR_demand_forecast!K61*Settings!$K$63,"-")</f>
        <v>0</v>
      </c>
      <c r="K64" s="100">
        <f>IFERROR(SR_demand_forecast!L61*Settings!$K$63,"-")</f>
        <v>0</v>
      </c>
      <c r="L64" s="100">
        <f>IFERROR(SR_demand_forecast!M61*Settings!$K$63,"-")</f>
        <v>0</v>
      </c>
      <c r="M64" s="100">
        <f>IFERROR(SR_demand_forecast!N61*Settings!$K$63,"-")</f>
        <v>0</v>
      </c>
      <c r="N64" s="100">
        <f>IFERROR(SR_demand_forecast!O61*Settings!$K$63,"-")</f>
        <v>0</v>
      </c>
      <c r="O64" s="100">
        <f>IFERROR(SR_demand_forecast!P61*Settings!$K$63,"-")</f>
        <v>0</v>
      </c>
      <c r="P64" s="100">
        <f>IFERROR(SR_demand_forecast!Q61*Settings!$K$63,"-")</f>
        <v>0</v>
      </c>
      <c r="Q64" s="100">
        <f>IFERROR(SR_demand_forecast!R61*Settings!$K$63,"-")</f>
        <v>0</v>
      </c>
      <c r="R64" s="100">
        <f>IFERROR(SR_demand_forecast!S61*Settings!$K$63,"-")</f>
        <v>0</v>
      </c>
      <c r="S64" s="100">
        <f>IFERROR(SR_demand_forecast!T61*Settings!$K$63,"-")</f>
        <v>0</v>
      </c>
      <c r="T64" s="100">
        <f>IFERROR(SR_demand_forecast!U61*Settings!$K$63,"-")</f>
        <v>0</v>
      </c>
      <c r="U64" s="100">
        <f>IFERROR(SR_demand_forecast!V61*Settings!$K$63,"-")</f>
        <v>0</v>
      </c>
      <c r="V64" s="100">
        <f>IFERROR(SR_demand_forecast!W61*Settings!$K$63,"-")</f>
        <v>0</v>
      </c>
    </row>
    <row r="65" spans="1:22" x14ac:dyDescent="0.3">
      <c r="A65" s="179"/>
      <c r="B65" s="47" t="s">
        <v>58</v>
      </c>
      <c r="C65" s="100">
        <f>IFERROR(SR_demand_forecast!D62*Settings!$K$63,"-")</f>
        <v>93775.55478739574</v>
      </c>
      <c r="D65" s="100">
        <f>IFERROR(SR_demand_forecast!E62*Settings!$K$63,"-")</f>
        <v>99870.965848576467</v>
      </c>
      <c r="E65" s="100">
        <f>IFERROR(SR_demand_forecast!F62*Settings!$K$63,"-")</f>
        <v>106207.84896333472</v>
      </c>
      <c r="F65" s="100">
        <f>IFERROR(SR_demand_forecast!G62*Settings!$K$63,"-")</f>
        <v>112793.42484938916</v>
      </c>
      <c r="G65" s="100">
        <f>IFERROR(SR_demand_forecast!H62*Settings!$K$63,"-")</f>
        <v>122050.76944444676</v>
      </c>
      <c r="H65" s="100">
        <f>IFERROR(SR_demand_forecast!I62*Settings!$K$63,"-")</f>
        <v>129790.57726413035</v>
      </c>
      <c r="I65" s="100">
        <f>IFERROR(SR_demand_forecast!J62*Settings!$K$63,"-")</f>
        <v>137814.60097752034</v>
      </c>
      <c r="J65" s="100">
        <f>IFERROR(SR_demand_forecast!K62*Settings!$K$63,"-")</f>
        <v>146131.11329723711</v>
      </c>
      <c r="K65" s="100">
        <f>IFERROR(SR_demand_forecast!L62*Settings!$K$63,"-")</f>
        <v>154748.60415804843</v>
      </c>
      <c r="L65" s="100">
        <f>IFERROR(SR_demand_forecast!M62*Settings!$K$63,"-")</f>
        <v>163675.78609667017</v>
      </c>
      <c r="M65" s="100">
        <f>IFERROR(SR_demand_forecast!N62*Settings!$K$63,"-")</f>
        <v>165777.10738376112</v>
      </c>
      <c r="N65" s="100">
        <f>IFERROR(SR_demand_forecast!O62*Settings!$K$63,"-")</f>
        <v>167920.45509659385</v>
      </c>
      <c r="O65" s="100">
        <f>IFERROR(SR_demand_forecast!P62*Settings!$K$63,"-")</f>
        <v>170106.66976368331</v>
      </c>
      <c r="P65" s="100">
        <f>IFERROR(SR_demand_forecast!Q62*Settings!$K$63,"-")</f>
        <v>172336.60872411454</v>
      </c>
      <c r="Q65" s="100">
        <f>IFERROR(SR_demand_forecast!R62*Settings!$K$63,"-")</f>
        <v>174611.14646375438</v>
      </c>
      <c r="R65" s="100">
        <f>IFERROR(SR_demand_forecast!S62*Settings!$K$63,"-")</f>
        <v>176931.17495818701</v>
      </c>
      <c r="S65" s="100">
        <f>IFERROR(SR_demand_forecast!T62*Settings!$K$63,"-")</f>
        <v>179297.60402250831</v>
      </c>
      <c r="T65" s="100">
        <f>IFERROR(SR_demand_forecast!U62*Settings!$K$63,"-")</f>
        <v>181711.36166811606</v>
      </c>
      <c r="U65" s="100">
        <f>IFERROR(SR_demand_forecast!V62*Settings!$K$63,"-")</f>
        <v>184173.39446663592</v>
      </c>
      <c r="V65" s="100">
        <f>IFERROR(SR_demand_forecast!W62*Settings!$K$63,"-")</f>
        <v>186684.66792112618</v>
      </c>
    </row>
    <row r="66" spans="1:22" x14ac:dyDescent="0.3">
      <c r="A66" s="179"/>
      <c r="B66" s="47" t="s">
        <v>61</v>
      </c>
      <c r="C66" s="100">
        <f>IFERROR(SR_demand_forecast!D63*Settings!$K$63,"-")</f>
        <v>1336116.8502914726</v>
      </c>
      <c r="D66" s="100">
        <f>IFERROR(SR_demand_forecast!E63*Settings!$K$63,"-")</f>
        <v>1389561.5243031317</v>
      </c>
      <c r="E66" s="100">
        <f>IFERROR(SR_demand_forecast!F63*Settings!$K$63,"-")</f>
        <v>1444954.3428836027</v>
      </c>
      <c r="F66" s="100">
        <f>IFERROR(SR_demand_forecast!G63*Settings!$K$63,"-")</f>
        <v>1502351.8539460334</v>
      </c>
      <c r="G66" s="100">
        <f>IFERROR(SR_demand_forecast!H63*Settings!$K$63,"-")</f>
        <v>1561812.0880622705</v>
      </c>
      <c r="H66" s="100">
        <f>IFERROR(SR_demand_forecast!I63*Settings!$K$63,"-")</f>
        <v>1668253.9870685542</v>
      </c>
      <c r="I66" s="100">
        <f>IFERROR(SR_demand_forecast!J63*Settings!$K$63,"-")</f>
        <v>1741537.1705030012</v>
      </c>
      <c r="J66" s="100">
        <f>IFERROR(SR_demand_forecast!K63*Settings!$K$63,"-")</f>
        <v>1817256.7818542286</v>
      </c>
      <c r="K66" s="100">
        <f>IFERROR(SR_demand_forecast!L63*Settings!$K$63,"-")</f>
        <v>1895480.9649655365</v>
      </c>
      <c r="L66" s="100">
        <f>IFERROR(SR_demand_forecast!M63*Settings!$K$63,"-")</f>
        <v>1976279.6148627857</v>
      </c>
      <c r="M66" s="100">
        <f>IFERROR(SR_demand_forecast!N63*Settings!$K$63,"-")</f>
        <v>2007185.0984484833</v>
      </c>
      <c r="N66" s="100">
        <f>IFERROR(SR_demand_forecast!O63*Settings!$K$63,"-")</f>
        <v>2038708.6917058949</v>
      </c>
      <c r="O66" s="100">
        <f>IFERROR(SR_demand_forecast!P63*Settings!$K$63,"-")</f>
        <v>2070862.7568284555</v>
      </c>
      <c r="P66" s="100">
        <f>IFERROR(SR_demand_forecast!Q63*Settings!$K$63,"-")</f>
        <v>2103659.9032534664</v>
      </c>
      <c r="Q66" s="100">
        <f>IFERROR(SR_demand_forecast!R63*Settings!$K$63,"-")</f>
        <v>2137112.9926069784</v>
      </c>
      <c r="R66" s="100">
        <f>IFERROR(SR_demand_forecast!S63*Settings!$K$63,"-")</f>
        <v>2171235.1437475593</v>
      </c>
      <c r="S66" s="100">
        <f>IFERROR(SR_demand_forecast!T63*Settings!$K$63,"-")</f>
        <v>2206039.7379109529</v>
      </c>
      <c r="T66" s="100">
        <f>IFERROR(SR_demand_forecast!U63*Settings!$K$63,"-")</f>
        <v>2241540.4239576142</v>
      </c>
      <c r="U66" s="100">
        <f>IFERROR(SR_demand_forecast!V63*Settings!$K$63,"-")</f>
        <v>2277751.1237252085</v>
      </c>
      <c r="V66" s="100">
        <f>IFERROR(SR_demand_forecast!W63*Settings!$K$63,"-")</f>
        <v>2314686.0374881546</v>
      </c>
    </row>
    <row r="67" spans="1:22" x14ac:dyDescent="0.3">
      <c r="A67" s="179"/>
      <c r="B67" s="48" t="s">
        <v>104</v>
      </c>
      <c r="C67" s="176">
        <f>SUM(C59:C66)</f>
        <v>22124641.556875218</v>
      </c>
      <c r="D67" s="176">
        <f>SUM(D59:D66)</f>
        <v>22056791.811878886</v>
      </c>
      <c r="E67" s="176">
        <f>SUM(E59:E66)</f>
        <v>23792816.053643625</v>
      </c>
      <c r="F67" s="176">
        <f>SUM(F59:F66)</f>
        <v>24762940.037387144</v>
      </c>
      <c r="G67" s="176">
        <f>SUM(G59:G66)</f>
        <v>26332052.603288963</v>
      </c>
      <c r="H67" s="176">
        <f>SUM(H59:H66)</f>
        <v>27667623.358056739</v>
      </c>
      <c r="I67" s="176">
        <f>SUM(I59:I66)</f>
        <v>29116979.638995975</v>
      </c>
      <c r="J67" s="176">
        <f>SUM(J59:J66)</f>
        <v>30593389.820522591</v>
      </c>
      <c r="K67" s="176">
        <f>SUM(K59:K66)</f>
        <v>31896410.31610775</v>
      </c>
      <c r="L67" s="176">
        <f>SUM(L59:L66)</f>
        <v>33242198.996640485</v>
      </c>
      <c r="M67" s="176">
        <f>SUM(M59:M66)</f>
        <v>35873098.242500432</v>
      </c>
      <c r="N67" s="176">
        <f>SUM(N59:N66)</f>
        <v>36475674.748559274</v>
      </c>
      <c r="O67" s="176">
        <f>SUM(O59:O66)</f>
        <v>37090302.784739293</v>
      </c>
      <c r="P67" s="176">
        <f>SUM(P59:P66)</f>
        <v>37717223.381642923</v>
      </c>
      <c r="Q67" s="176">
        <f>SUM(Q59:Q66)</f>
        <v>38356682.390484609</v>
      </c>
      <c r="R67" s="176">
        <f>SUM(R59:R66)</f>
        <v>39008930.579503126</v>
      </c>
      <c r="S67" s="176">
        <f>SUM(S59:S66)</f>
        <v>39674223.73230204</v>
      </c>
      <c r="T67" s="176">
        <f>SUM(T59:T66)</f>
        <v>40352822.748156913</v>
      </c>
      <c r="U67" s="176">
        <f>SUM(U59:U66)</f>
        <v>41044993.744328886</v>
      </c>
      <c r="V67" s="176">
        <f>SUM(V59:V66)</f>
        <v>41751008.160424292</v>
      </c>
    </row>
    <row r="68" spans="1:22" x14ac:dyDescent="0.3">
      <c r="A68" s="179"/>
      <c r="B68" s="177"/>
      <c r="C68" s="178"/>
      <c r="D68" s="178"/>
      <c r="E68" s="178"/>
      <c r="F68" s="178"/>
      <c r="G68" s="178"/>
      <c r="H68" s="178"/>
      <c r="I68" s="178"/>
      <c r="J68" s="178"/>
      <c r="K68" s="178"/>
      <c r="L68" s="178"/>
      <c r="M68" s="178"/>
      <c r="N68" s="178"/>
      <c r="O68" s="178"/>
      <c r="P68" s="178"/>
      <c r="Q68" s="178"/>
      <c r="R68" s="178"/>
      <c r="S68" s="178"/>
      <c r="T68" s="178"/>
      <c r="U68" s="178"/>
      <c r="V68" s="178"/>
    </row>
    <row r="69" spans="1:22" x14ac:dyDescent="0.3">
      <c r="A69" s="179"/>
      <c r="B69" s="177"/>
      <c r="C69" s="178"/>
      <c r="D69" s="178"/>
      <c r="E69" s="178"/>
      <c r="F69" s="178"/>
      <c r="G69" s="178"/>
      <c r="H69" s="178"/>
      <c r="I69" s="178"/>
      <c r="J69" s="178"/>
      <c r="K69" s="178"/>
      <c r="L69" s="178"/>
      <c r="M69" s="178"/>
      <c r="N69" s="178"/>
      <c r="O69" s="178"/>
      <c r="P69" s="178"/>
      <c r="Q69" s="178"/>
      <c r="R69" s="178"/>
      <c r="S69" s="178"/>
      <c r="T69" s="178"/>
      <c r="U69" s="178"/>
      <c r="V69" s="178"/>
    </row>
    <row r="70" spans="1:22" x14ac:dyDescent="0.3">
      <c r="A70" s="179"/>
      <c r="B70" s="177"/>
      <c r="C70" s="178"/>
      <c r="D70" s="178"/>
      <c r="E70" s="178"/>
      <c r="F70" s="178"/>
      <c r="G70" s="178"/>
      <c r="H70" s="178"/>
      <c r="I70" s="178"/>
      <c r="J70" s="178"/>
      <c r="K70" s="178"/>
      <c r="L70" s="178"/>
      <c r="M70" s="178"/>
      <c r="N70" s="178"/>
      <c r="O70" s="178"/>
      <c r="P70" s="178"/>
      <c r="Q70" s="178"/>
      <c r="R70" s="178"/>
      <c r="S70" s="178"/>
      <c r="T70" s="178"/>
      <c r="U70" s="178"/>
      <c r="V70" s="178"/>
    </row>
    <row r="71" spans="1:22" x14ac:dyDescent="0.3">
      <c r="A71" s="179"/>
      <c r="B71" s="177"/>
      <c r="C71" s="178"/>
      <c r="D71" s="178"/>
      <c r="E71" s="178"/>
      <c r="F71" s="178"/>
      <c r="G71" s="178"/>
      <c r="H71" s="178"/>
      <c r="I71" s="178"/>
      <c r="J71" s="178"/>
      <c r="K71" s="178"/>
      <c r="L71" s="178"/>
      <c r="M71" s="178"/>
      <c r="N71" s="178"/>
      <c r="O71" s="178"/>
      <c r="P71" s="178"/>
      <c r="Q71" s="178"/>
      <c r="R71" s="178"/>
      <c r="S71" s="178"/>
      <c r="T71" s="178"/>
      <c r="U71" s="178"/>
      <c r="V71" s="178"/>
    </row>
    <row r="72" spans="1:22" x14ac:dyDescent="0.3">
      <c r="A72" s="179"/>
      <c r="B72" s="177"/>
      <c r="C72" s="178"/>
      <c r="D72" s="178"/>
      <c r="E72" s="178"/>
      <c r="F72" s="178"/>
      <c r="G72" s="178"/>
      <c r="H72" s="178"/>
      <c r="I72" s="178"/>
      <c r="J72" s="178"/>
      <c r="K72" s="178"/>
      <c r="L72" s="178"/>
      <c r="M72" s="178"/>
      <c r="N72" s="178"/>
      <c r="O72" s="178"/>
      <c r="P72" s="178"/>
      <c r="Q72" s="178"/>
      <c r="R72" s="178"/>
      <c r="S72" s="178"/>
      <c r="T72" s="178"/>
      <c r="U72" s="178"/>
      <c r="V72" s="178"/>
    </row>
    <row r="73" spans="1:22" x14ac:dyDescent="0.3">
      <c r="A73" s="179"/>
    </row>
    <row r="74" spans="1:22" x14ac:dyDescent="0.3">
      <c r="A74" s="179"/>
    </row>
    <row r="75" spans="1:22" x14ac:dyDescent="0.3">
      <c r="A75" s="179"/>
      <c r="B75" s="49" t="s">
        <v>226</v>
      </c>
      <c r="L75" s="34"/>
      <c r="M75" s="34"/>
    </row>
    <row r="76" spans="1:22" x14ac:dyDescent="0.3">
      <c r="A76" s="179"/>
      <c r="B76" s="97" t="s">
        <v>102</v>
      </c>
      <c r="C76" s="97">
        <v>2021</v>
      </c>
      <c r="D76" s="98">
        <v>2022</v>
      </c>
      <c r="E76" s="97">
        <v>2023</v>
      </c>
      <c r="F76" s="98">
        <v>2024</v>
      </c>
      <c r="G76" s="97">
        <v>2025</v>
      </c>
      <c r="H76" s="98">
        <v>2026</v>
      </c>
      <c r="I76" s="97">
        <v>2027</v>
      </c>
      <c r="J76" s="98">
        <v>2028</v>
      </c>
      <c r="K76" s="97">
        <v>2029</v>
      </c>
      <c r="L76" s="98">
        <v>2030</v>
      </c>
      <c r="M76" s="97">
        <v>2031</v>
      </c>
      <c r="N76" s="98">
        <v>2032</v>
      </c>
      <c r="O76" s="97">
        <v>2033</v>
      </c>
      <c r="P76" s="98">
        <v>2034</v>
      </c>
      <c r="Q76" s="97">
        <v>2035</v>
      </c>
      <c r="R76" s="98">
        <v>2036</v>
      </c>
      <c r="S76" s="97">
        <v>2037</v>
      </c>
      <c r="T76" s="98">
        <v>2038</v>
      </c>
      <c r="U76" s="97">
        <v>2039</v>
      </c>
      <c r="V76" s="98">
        <v>2040</v>
      </c>
    </row>
    <row r="77" spans="1:22" x14ac:dyDescent="0.3">
      <c r="A77" s="179"/>
      <c r="B77" s="47" t="s">
        <v>59</v>
      </c>
      <c r="C77" s="100">
        <f>IFERROR(SR_demand_forecast!D129*Settings!$K$63,"-")</f>
        <v>6457130.6420353958</v>
      </c>
      <c r="D77" s="100">
        <f>IFERROR(SR_demand_forecast!E129*Settings!$K$63,"-")</f>
        <v>7067622.9936460145</v>
      </c>
      <c r="E77" s="100">
        <f>IFERROR(SR_demand_forecast!F129*Settings!$K$63,"-")</f>
        <v>7702300.2345704399</v>
      </c>
      <c r="F77" s="100">
        <f>IFERROR(SR_demand_forecast!G129*Settings!$K$63,"-")</f>
        <v>8361885.5634405771</v>
      </c>
      <c r="G77" s="100">
        <f>IFERROR(SR_demand_forecast!H129*Settings!$K$63,"-")</f>
        <v>9047121.432877887</v>
      </c>
      <c r="H77" s="100">
        <f>IFERROR(SR_demand_forecast!I129*Settings!$K$63,"-")</f>
        <v>9758770.0303735062</v>
      </c>
      <c r="I77" s="100">
        <f>IFERROR(SR_demand_forecast!J129*Settings!$K$63,"-")</f>
        <v>10497613.770701997</v>
      </c>
      <c r="J77" s="100">
        <f>IFERROR(SR_demand_forecast!K129*Settings!$K$63,"-")</f>
        <v>11264455.800137669</v>
      </c>
      <c r="K77" s="100">
        <f>IFERROR(SR_demand_forecast!L129*Settings!$K$63,"-")</f>
        <v>12060120.512748685</v>
      </c>
      <c r="L77" s="100">
        <f>IFERROR(SR_demand_forecast!M129*Settings!$K$63,"-")</f>
        <v>12885454.07905028</v>
      </c>
      <c r="M77" s="100">
        <f>IFERROR(SR_demand_forecast!N129*Settings!$K$63,"-")</f>
        <v>15136052.103867285</v>
      </c>
      <c r="N77" s="100">
        <f>IFERROR(SR_demand_forecast!O129*Settings!$K$63,"-")</f>
        <v>15350721.364462327</v>
      </c>
      <c r="O77" s="100">
        <f>IFERROR(SR_demand_forecast!P129*Settings!$K$63,"-")</f>
        <v>15569684.010269273</v>
      </c>
      <c r="P77" s="100">
        <f>IFERROR(SR_demand_forecast!Q129*Settings!$K$63,"-")</f>
        <v>15793025.908992359</v>
      </c>
      <c r="Q77" s="100">
        <f>IFERROR(SR_demand_forecast!R129*Settings!$K$63,"-")</f>
        <v>16020834.645689907</v>
      </c>
      <c r="R77" s="100">
        <f>IFERROR(SR_demand_forecast!S129*Settings!$K$63,"-")</f>
        <v>16253199.557121398</v>
      </c>
      <c r="S77" s="100">
        <f>IFERROR(SR_demand_forecast!T129*Settings!$K$63,"-")</f>
        <v>16490211.766781529</v>
      </c>
      <c r="T77" s="100">
        <f>IFERROR(SR_demand_forecast!U129*Settings!$K$63,"-")</f>
        <v>16731964.220634859</v>
      </c>
      <c r="U77" s="100">
        <f>IFERROR(SR_demand_forecast!V129*Settings!$K$63,"-")</f>
        <v>16978551.723565258</v>
      </c>
      <c r="V77" s="100">
        <f>IFERROR(SR_demand_forecast!W129*Settings!$K$63,"-")</f>
        <v>17230070.97655426</v>
      </c>
    </row>
    <row r="78" spans="1:22" x14ac:dyDescent="0.3">
      <c r="A78" s="179"/>
      <c r="B78" s="47" t="s">
        <v>57</v>
      </c>
      <c r="C78" s="100">
        <f>IFERROR(SR_demand_forecast!D130*Settings!$K$63,"-")</f>
        <v>15257000.956921134</v>
      </c>
      <c r="D78" s="100">
        <f>IFERROR(SR_demand_forecast!E130*Settings!$K$63,"-")</f>
        <v>15679627.03615023</v>
      </c>
      <c r="E78" s="100">
        <f>IFERROR(SR_demand_forecast!F130*Settings!$K$63,"-")</f>
        <v>17890643.085484896</v>
      </c>
      <c r="F78" s="100">
        <f>IFERROR(SR_demand_forecast!G130*Settings!$K$63,"-")</f>
        <v>19388515.798798587</v>
      </c>
      <c r="G78" s="100">
        <f>IFERROR(SR_demand_forecast!H130*Settings!$K$63,"-")</f>
        <v>21503216.956141241</v>
      </c>
      <c r="H78" s="100">
        <f>IFERROR(SR_demand_forecast!I130*Settings!$K$63,"-")</f>
        <v>23363014.699475739</v>
      </c>
      <c r="I78" s="100">
        <f>IFERROR(SR_demand_forecast!J130*Settings!$K$63,"-")</f>
        <v>25393918.758085195</v>
      </c>
      <c r="J78" s="100">
        <f>IFERROR(SR_demand_forecast!K130*Settings!$K$63,"-")</f>
        <v>27474316.57828315</v>
      </c>
      <c r="K78" s="100">
        <f>IFERROR(SR_demand_forecast!L130*Settings!$K$63,"-")</f>
        <v>29404429.548869751</v>
      </c>
      <c r="L78" s="100">
        <f>IFERROR(SR_demand_forecast!M130*Settings!$K$63,"-")</f>
        <v>31401098.139131747</v>
      </c>
      <c r="M78" s="100">
        <f>IFERROR(SR_demand_forecast!N130*Settings!$K$63,"-")</f>
        <v>32012078.727751922</v>
      </c>
      <c r="N78" s="100">
        <f>IFERROR(SR_demand_forecast!O130*Settings!$K$63,"-")</f>
        <v>32635278.928144492</v>
      </c>
      <c r="O78" s="100">
        <f>IFERROR(SR_demand_forecast!P130*Settings!$K$63,"-")</f>
        <v>33270943.132544924</v>
      </c>
      <c r="P78" s="100">
        <f>IFERROR(SR_demand_forecast!Q130*Settings!$K$63,"-")</f>
        <v>33919320.621033356</v>
      </c>
      <c r="Q78" s="100">
        <f>IFERROR(SR_demand_forecast!R130*Settings!$K$63,"-")</f>
        <v>34580665.659291558</v>
      </c>
      <c r="R78" s="100">
        <f>IFERROR(SR_demand_forecast!S130*Settings!$K$63,"-")</f>
        <v>35255237.598314926</v>
      </c>
      <c r="S78" s="100">
        <f>IFERROR(SR_demand_forecast!T130*Settings!$K$63,"-")</f>
        <v>35943300.976118758</v>
      </c>
      <c r="T78" s="100">
        <f>IFERROR(SR_demand_forecast!U130*Settings!$K$63,"-")</f>
        <v>36645125.621478677</v>
      </c>
      <c r="U78" s="100">
        <f>IFERROR(SR_demand_forecast!V130*Settings!$K$63,"-")</f>
        <v>37360986.759745784</v>
      </c>
      <c r="V78" s="100">
        <f>IFERROR(SR_demand_forecast!W130*Settings!$K$63,"-")</f>
        <v>38091165.120778233</v>
      </c>
    </row>
    <row r="79" spans="1:22" x14ac:dyDescent="0.3">
      <c r="A79" s="179"/>
      <c r="B79" s="47" t="s">
        <v>56</v>
      </c>
      <c r="C79" s="100">
        <f>IFERROR(SR_demand_forecast!D131*Settings!$K$63,"-")</f>
        <v>105709.55697821759</v>
      </c>
      <c r="D79" s="100">
        <f>IFERROR(SR_demand_forecast!E131*Settings!$K$63,"-")</f>
        <v>121414.97687212421</v>
      </c>
      <c r="E79" s="100">
        <f>IFERROR(SR_demand_forecast!F131*Settings!$K$63,"-")</f>
        <v>172826.06484021619</v>
      </c>
      <c r="F79" s="100">
        <f>IFERROR(SR_demand_forecast!G131*Settings!$K$63,"-")</f>
        <v>192308.27578584058</v>
      </c>
      <c r="G79" s="100">
        <f>IFERROR(SR_demand_forecast!H131*Settings!$K$63,"-")</f>
        <v>212500.64474335386</v>
      </c>
      <c r="H79" s="100">
        <f>IFERROR(SR_demand_forecast!I131*Settings!$K$63,"-")</f>
        <v>233423.78514885332</v>
      </c>
      <c r="I79" s="100">
        <f>IFERROR(SR_demand_forecast!J131*Settings!$K$63,"-")</f>
        <v>255098.85091267538</v>
      </c>
      <c r="J79" s="100">
        <f>IFERROR(SR_demand_forecast!K131*Settings!$K$63,"-")</f>
        <v>277547.54979299079</v>
      </c>
      <c r="K79" s="100">
        <f>IFERROR(SR_demand_forecast!L131*Settings!$K$63,"-")</f>
        <v>300792.15708815382</v>
      </c>
      <c r="L79" s="100">
        <f>IFERROR(SR_demand_forecast!M131*Settings!$K$63,"-")</f>
        <v>324855.52965520608</v>
      </c>
      <c r="M79" s="100">
        <f>IFERROR(SR_demand_forecast!N131*Settings!$K$63,"-")</f>
        <v>331352.64024831017</v>
      </c>
      <c r="N79" s="100">
        <f>IFERROR(SR_demand_forecast!O131*Settings!$K$63,"-")</f>
        <v>337979.69305327634</v>
      </c>
      <c r="O79" s="100">
        <f>IFERROR(SR_demand_forecast!P131*Settings!$K$63,"-")</f>
        <v>344739.28691434191</v>
      </c>
      <c r="P79" s="100">
        <f>IFERROR(SR_demand_forecast!Q131*Settings!$K$63,"-")</f>
        <v>351634.07265262876</v>
      </c>
      <c r="Q79" s="100">
        <f>IFERROR(SR_demand_forecast!R131*Settings!$K$63,"-")</f>
        <v>358666.75410568132</v>
      </c>
      <c r="R79" s="100">
        <f>IFERROR(SR_demand_forecast!S131*Settings!$K$63,"-")</f>
        <v>365840.08918779489</v>
      </c>
      <c r="S79" s="100">
        <f>IFERROR(SR_demand_forecast!T131*Settings!$K$63,"-")</f>
        <v>373156.89097155089</v>
      </c>
      <c r="T79" s="100">
        <f>IFERROR(SR_demand_forecast!U131*Settings!$K$63,"-")</f>
        <v>380620.02879098186</v>
      </c>
      <c r="U79" s="100">
        <f>IFERROR(SR_demand_forecast!V131*Settings!$K$63,"-")</f>
        <v>388232.42936680152</v>
      </c>
      <c r="V79" s="100">
        <f>IFERROR(SR_demand_forecast!W131*Settings!$K$63,"-")</f>
        <v>395997.07795413746</v>
      </c>
    </row>
    <row r="80" spans="1:22" x14ac:dyDescent="0.3">
      <c r="A80" s="179"/>
      <c r="B80" s="47" t="s">
        <v>100</v>
      </c>
      <c r="C80" s="100">
        <f>IFERROR(SR_demand_forecast!D132*Settings!$K$63,"-")</f>
        <v>0</v>
      </c>
      <c r="D80" s="100">
        <f>IFERROR(SR_demand_forecast!E132*Settings!$K$63,"-")</f>
        <v>0</v>
      </c>
      <c r="E80" s="100">
        <f>IFERROR(SR_demand_forecast!F132*Settings!$K$63,"-")</f>
        <v>0</v>
      </c>
      <c r="F80" s="100">
        <f>IFERROR(SR_demand_forecast!G132*Settings!$K$63,"-")</f>
        <v>0</v>
      </c>
      <c r="G80" s="100">
        <f>IFERROR(SR_demand_forecast!H132*Settings!$K$63,"-")</f>
        <v>0</v>
      </c>
      <c r="H80" s="100">
        <f>IFERROR(SR_demand_forecast!I132*Settings!$K$63,"-")</f>
        <v>0</v>
      </c>
      <c r="I80" s="100">
        <f>IFERROR(SR_demand_forecast!J132*Settings!$K$63,"-")</f>
        <v>0</v>
      </c>
      <c r="J80" s="100">
        <f>IFERROR(SR_demand_forecast!K132*Settings!$K$63,"-")</f>
        <v>0</v>
      </c>
      <c r="K80" s="100">
        <f>IFERROR(SR_demand_forecast!L132*Settings!$K$63,"-")</f>
        <v>0</v>
      </c>
      <c r="L80" s="100">
        <f>IFERROR(SR_demand_forecast!M132*Settings!$K$63,"-")</f>
        <v>0</v>
      </c>
      <c r="M80" s="100">
        <f>IFERROR(SR_demand_forecast!N132*Settings!$K$63,"-")</f>
        <v>0</v>
      </c>
      <c r="N80" s="100">
        <f>IFERROR(SR_demand_forecast!O132*Settings!$K$63,"-")</f>
        <v>0</v>
      </c>
      <c r="O80" s="100">
        <f>IFERROR(SR_demand_forecast!P132*Settings!$K$63,"-")</f>
        <v>0</v>
      </c>
      <c r="P80" s="100">
        <f>IFERROR(SR_demand_forecast!Q132*Settings!$K$63,"-")</f>
        <v>0</v>
      </c>
      <c r="Q80" s="100">
        <f>IFERROR(SR_demand_forecast!R132*Settings!$K$63,"-")</f>
        <v>0</v>
      </c>
      <c r="R80" s="100">
        <f>IFERROR(SR_demand_forecast!S132*Settings!$K$63,"-")</f>
        <v>0</v>
      </c>
      <c r="S80" s="100">
        <f>IFERROR(SR_demand_forecast!T132*Settings!$K$63,"-")</f>
        <v>0</v>
      </c>
      <c r="T80" s="100">
        <f>IFERROR(SR_demand_forecast!U132*Settings!$K$63,"-")</f>
        <v>0</v>
      </c>
      <c r="U80" s="100">
        <f>IFERROR(SR_demand_forecast!V132*Settings!$K$63,"-")</f>
        <v>0</v>
      </c>
      <c r="V80" s="100">
        <f>IFERROR(SR_demand_forecast!W132*Settings!$K$63,"-")</f>
        <v>0</v>
      </c>
    </row>
    <row r="81" spans="1:22" x14ac:dyDescent="0.3">
      <c r="A81" s="179"/>
      <c r="B81" s="47" t="s">
        <v>60</v>
      </c>
      <c r="C81" s="100">
        <f>IFERROR(SR_demand_forecast!D133*Settings!$K$63,"-")</f>
        <v>6470.9578353252109</v>
      </c>
      <c r="D81" s="100">
        <f>IFERROR(SR_demand_forecast!E133*Settings!$K$63,"-")</f>
        <v>7082.7574852105035</v>
      </c>
      <c r="E81" s="100">
        <f>IFERROR(SR_demand_forecast!F133*Settings!$K$63,"-")</f>
        <v>7718.7938135335598</v>
      </c>
      <c r="F81" s="100">
        <f>IFERROR(SR_demand_forecast!G133*Settings!$K$63,"-")</f>
        <v>8379.791567571936</v>
      </c>
      <c r="G81" s="100">
        <f>IFERROR(SR_demand_forecast!H133*Settings!$K$63,"-")</f>
        <v>9551.4175458545342</v>
      </c>
      <c r="H81" s="100">
        <f>IFERROR(SR_demand_forecast!I133*Settings!$K$63,"-")</f>
        <v>10391.942289889736</v>
      </c>
      <c r="I81" s="100">
        <f>IFERROR(SR_demand_forecast!J133*Settings!$K$63,"-")</f>
        <v>11262.267456668002</v>
      </c>
      <c r="J81" s="100">
        <f>IFERROR(SR_demand_forecast!K133*Settings!$K$63,"-")</f>
        <v>12163.248853201436</v>
      </c>
      <c r="K81" s="100">
        <f>IFERROR(SR_demand_forecast!L133*Settings!$K$63,"-")</f>
        <v>13095.764598613549</v>
      </c>
      <c r="L81" s="100">
        <f>IFERROR(SR_demand_forecast!M133*Settings!$K$63,"-")</f>
        <v>14060.715674300864</v>
      </c>
      <c r="M81" s="100">
        <f>IFERROR(SR_demand_forecast!N133*Settings!$K$63,"-")</f>
        <v>14341.929987786882</v>
      </c>
      <c r="N81" s="100">
        <f>IFERROR(SR_demand_forecast!O133*Settings!$K$63,"-")</f>
        <v>14628.768587542616</v>
      </c>
      <c r="O81" s="100">
        <f>IFERROR(SR_demand_forecast!P133*Settings!$K$63,"-")</f>
        <v>14921.343959293472</v>
      </c>
      <c r="P81" s="100">
        <f>IFERROR(SR_demand_forecast!Q133*Settings!$K$63,"-")</f>
        <v>15219.770838479339</v>
      </c>
      <c r="Q81" s="100">
        <f>IFERROR(SR_demand_forecast!R133*Settings!$K$63,"-")</f>
        <v>15524.166255248929</v>
      </c>
      <c r="R81" s="100">
        <f>IFERROR(SR_demand_forecast!S133*Settings!$K$63,"-")</f>
        <v>15834.649580353902</v>
      </c>
      <c r="S81" s="100">
        <f>IFERROR(SR_demand_forecast!T133*Settings!$K$63,"-")</f>
        <v>16151.342571960982</v>
      </c>
      <c r="T81" s="100">
        <f>IFERROR(SR_demand_forecast!U133*Settings!$K$63,"-")</f>
        <v>16474.369423400203</v>
      </c>
      <c r="U81" s="100">
        <f>IFERROR(SR_demand_forecast!V133*Settings!$K$63,"-")</f>
        <v>16803.856811868205</v>
      </c>
      <c r="V81" s="100">
        <f>IFERROR(SR_demand_forecast!W133*Settings!$K$63,"-")</f>
        <v>17139.933948105569</v>
      </c>
    </row>
    <row r="82" spans="1:22" x14ac:dyDescent="0.3">
      <c r="A82" s="179"/>
      <c r="B82" s="47" t="s">
        <v>101</v>
      </c>
      <c r="C82" s="100">
        <f>IFERROR(SR_demand_forecast!D134*Settings!$K$63,"-")</f>
        <v>0</v>
      </c>
      <c r="D82" s="100">
        <f>IFERROR(SR_demand_forecast!E134*Settings!$K$63,"-")</f>
        <v>0</v>
      </c>
      <c r="E82" s="100">
        <f>IFERROR(SR_demand_forecast!F134*Settings!$K$63,"-")</f>
        <v>0</v>
      </c>
      <c r="F82" s="100">
        <f>IFERROR(SR_demand_forecast!G134*Settings!$K$63,"-")</f>
        <v>0</v>
      </c>
      <c r="G82" s="100">
        <f>IFERROR(SR_demand_forecast!H134*Settings!$K$63,"-")</f>
        <v>0</v>
      </c>
      <c r="H82" s="100">
        <f>IFERROR(SR_demand_forecast!I134*Settings!$K$63,"-")</f>
        <v>0</v>
      </c>
      <c r="I82" s="100">
        <f>IFERROR(SR_demand_forecast!J134*Settings!$K$63,"-")</f>
        <v>0</v>
      </c>
      <c r="J82" s="100">
        <f>IFERROR(SR_demand_forecast!K134*Settings!$K$63,"-")</f>
        <v>0</v>
      </c>
      <c r="K82" s="100">
        <f>IFERROR(SR_demand_forecast!L134*Settings!$K$63,"-")</f>
        <v>0</v>
      </c>
      <c r="L82" s="100">
        <f>IFERROR(SR_demand_forecast!M134*Settings!$K$63,"-")</f>
        <v>0</v>
      </c>
      <c r="M82" s="100">
        <f>IFERROR(SR_demand_forecast!N134*Settings!$K$63,"-")</f>
        <v>0</v>
      </c>
      <c r="N82" s="100">
        <f>IFERROR(SR_demand_forecast!O134*Settings!$K$63,"-")</f>
        <v>0</v>
      </c>
      <c r="O82" s="100">
        <f>IFERROR(SR_demand_forecast!P134*Settings!$K$63,"-")</f>
        <v>0</v>
      </c>
      <c r="P82" s="100">
        <f>IFERROR(SR_demand_forecast!Q134*Settings!$K$63,"-")</f>
        <v>0</v>
      </c>
      <c r="Q82" s="100">
        <f>IFERROR(SR_demand_forecast!R134*Settings!$K$63,"-")</f>
        <v>0</v>
      </c>
      <c r="R82" s="100">
        <f>IFERROR(SR_demand_forecast!S134*Settings!$K$63,"-")</f>
        <v>0</v>
      </c>
      <c r="S82" s="100">
        <f>IFERROR(SR_demand_forecast!T134*Settings!$K$63,"-")</f>
        <v>0</v>
      </c>
      <c r="T82" s="100">
        <f>IFERROR(SR_demand_forecast!U134*Settings!$K$63,"-")</f>
        <v>0</v>
      </c>
      <c r="U82" s="100">
        <f>IFERROR(SR_demand_forecast!V134*Settings!$K$63,"-")</f>
        <v>0</v>
      </c>
      <c r="V82" s="100">
        <f>IFERROR(SR_demand_forecast!W134*Settings!$K$63,"-")</f>
        <v>0</v>
      </c>
    </row>
    <row r="83" spans="1:22" x14ac:dyDescent="0.3">
      <c r="A83" s="179"/>
      <c r="B83" s="47" t="s">
        <v>58</v>
      </c>
      <c r="C83" s="100">
        <f>IFERROR(SR_demand_forecast!D135*Settings!$K$63,"-")</f>
        <v>99636.526961607975</v>
      </c>
      <c r="D83" s="100">
        <f>IFERROR(SR_demand_forecast!E135*Settings!$K$63,"-")</f>
        <v>111827.34908396941</v>
      </c>
      <c r="E83" s="100">
        <f>IFERROR(SR_demand_forecast!F135*Settings!$K$63,"-")</f>
        <v>124501.11531348595</v>
      </c>
      <c r="F83" s="100">
        <f>IFERROR(SR_demand_forecast!G135*Settings!$K$63,"-")</f>
        <v>137672.26708559482</v>
      </c>
      <c r="G83" s="100">
        <f>IFERROR(SR_demand_forecast!H135*Settings!$K$63,"-")</f>
        <v>153771.29329560901</v>
      </c>
      <c r="H83" s="100">
        <f>IFERROR(SR_demand_forecast!I135*Settings!$K$63,"-")</f>
        <v>168616.49845795293</v>
      </c>
      <c r="I83" s="100">
        <f>IFERROR(SR_demand_forecast!J135*Settings!$K$63,"-")</f>
        <v>184017.44719816919</v>
      </c>
      <c r="J83" s="100">
        <f>IFERROR(SR_demand_forecast!K135*Settings!$K$63,"-")</f>
        <v>199990.43117730776</v>
      </c>
      <c r="K83" s="100">
        <f>IFERROR(SR_demand_forecast!L135*Settings!$K$63,"-")</f>
        <v>216552.17142542952</v>
      </c>
      <c r="L83" s="100">
        <f>IFERROR(SR_demand_forecast!M135*Settings!$K$63,"-")</f>
        <v>233719.82899970203</v>
      </c>
      <c r="M83" s="100">
        <f>IFERROR(SR_demand_forecast!N135*Settings!$K$63,"-")</f>
        <v>237222.03114485365</v>
      </c>
      <c r="N83" s="100">
        <f>IFERROR(SR_demand_forecast!O135*Settings!$K$63,"-")</f>
        <v>240794.27733290824</v>
      </c>
      <c r="O83" s="100">
        <f>IFERROR(SR_demand_forecast!P135*Settings!$K$63,"-")</f>
        <v>244437.96844472399</v>
      </c>
      <c r="P83" s="100">
        <f>IFERROR(SR_demand_forecast!Q135*Settings!$K$63,"-")</f>
        <v>248154.53337877599</v>
      </c>
      <c r="Q83" s="100">
        <f>IFERROR(SR_demand_forecast!R135*Settings!$K$63,"-")</f>
        <v>251945.42961150908</v>
      </c>
      <c r="R83" s="100">
        <f>IFERROR(SR_demand_forecast!S135*Settings!$K$63,"-")</f>
        <v>255812.14376889679</v>
      </c>
      <c r="S83" s="100">
        <f>IFERROR(SR_demand_forecast!T135*Settings!$K$63,"-")</f>
        <v>259756.19220943228</v>
      </c>
      <c r="T83" s="100">
        <f>IFERROR(SR_demand_forecast!U135*Settings!$K$63,"-")</f>
        <v>263779.1216187785</v>
      </c>
      <c r="U83" s="100">
        <f>IFERROR(SR_demand_forecast!V135*Settings!$K$63,"-")</f>
        <v>267882.50961631164</v>
      </c>
      <c r="V83" s="100">
        <f>IFERROR(SR_demand_forecast!W135*Settings!$K$63,"-")</f>
        <v>272067.96537379536</v>
      </c>
    </row>
    <row r="84" spans="1:22" x14ac:dyDescent="0.3">
      <c r="A84" s="179"/>
      <c r="B84" s="47" t="s">
        <v>61</v>
      </c>
      <c r="C84" s="100">
        <f>IFERROR(SR_demand_forecast!D136*Settings!$K$63,"-")</f>
        <v>1379217.393849262</v>
      </c>
      <c r="D84" s="100">
        <f>IFERROR(SR_demand_forecast!E136*Settings!$K$63,"-")</f>
        <v>1477486.6331610221</v>
      </c>
      <c r="E84" s="100">
        <f>IFERROR(SR_demand_forecast!F136*Settings!$K$63,"-")</f>
        <v>1579479.759436175</v>
      </c>
      <c r="F84" s="100">
        <f>IFERROR(SR_demand_forecast!G136*Settings!$K$63,"-")</f>
        <v>1685306.4204575319</v>
      </c>
      <c r="G84" s="100">
        <f>IFERROR(SR_demand_forecast!H136*Settings!$K$63,"-")</f>
        <v>1795079.1603644309</v>
      </c>
      <c r="H84" s="100">
        <f>IFERROR(SR_demand_forecast!I136*Settings!$K$63,"-")</f>
        <v>1953772.8835663986</v>
      </c>
      <c r="I84" s="100">
        <f>IFERROR(SR_demand_forecast!J136*Settings!$K$63,"-")</f>
        <v>2081304.6573354357</v>
      </c>
      <c r="J84" s="100">
        <f>IFERROR(SR_demand_forecast!K136*Settings!$K$63,"-")</f>
        <v>2213328.5950760385</v>
      </c>
      <c r="K84" s="100">
        <f>IFERROR(SR_demand_forecast!L136*Settings!$K$63,"-")</f>
        <v>2349973.3706375635</v>
      </c>
      <c r="L84" s="100">
        <f>IFERROR(SR_demand_forecast!M136*Settings!$K$63,"-")</f>
        <v>2491371.00795775</v>
      </c>
      <c r="M84" s="100">
        <f>IFERROR(SR_demand_forecast!N136*Settings!$K$63,"-")</f>
        <v>2532578.3194053471</v>
      </c>
      <c r="N84" s="100">
        <f>IFERROR(SR_demand_forecast!O136*Settings!$K$63,"-")</f>
        <v>2574609.7770818952</v>
      </c>
      <c r="O84" s="100">
        <f>IFERROR(SR_demand_forecast!P136*Settings!$K$63,"-")</f>
        <v>2617481.8639119756</v>
      </c>
      <c r="P84" s="100">
        <f>IFERROR(SR_demand_forecast!Q136*Settings!$K$63,"-")</f>
        <v>2661211.3924786574</v>
      </c>
      <c r="Q84" s="100">
        <f>IFERROR(SR_demand_forecast!R136*Settings!$K$63,"-")</f>
        <v>2705815.5116166729</v>
      </c>
      <c r="R84" s="100">
        <f>IFERROR(SR_demand_forecast!S136*Settings!$K$63,"-")</f>
        <v>2751311.7131374478</v>
      </c>
      <c r="S84" s="100">
        <f>IFERROR(SR_demand_forecast!T136*Settings!$K$63,"-")</f>
        <v>2797717.8386886395</v>
      </c>
      <c r="T84" s="100">
        <f>IFERROR(SR_demand_forecast!U136*Settings!$K$63,"-")</f>
        <v>2845052.0867508543</v>
      </c>
      <c r="U84" s="100">
        <f>IFERROR(SR_demand_forecast!V136*Settings!$K$63,"-")</f>
        <v>2893333.0197743131</v>
      </c>
      <c r="V84" s="100">
        <f>IFERROR(SR_demand_forecast!W136*Settings!$K$63,"-")</f>
        <v>2942579.5714582414</v>
      </c>
    </row>
    <row r="85" spans="1:22" x14ac:dyDescent="0.3">
      <c r="A85" s="179"/>
      <c r="B85" s="47" t="s">
        <v>104</v>
      </c>
      <c r="C85" s="176">
        <f>SUM(C77:C84)</f>
        <v>23305166.034580942</v>
      </c>
      <c r="D85" s="176">
        <f>SUM(D77:D84)</f>
        <v>24465061.746398572</v>
      </c>
      <c r="E85" s="176">
        <f>SUM(E77:E84)</f>
        <v>27477469.053458747</v>
      </c>
      <c r="F85" s="176">
        <f>SUM(F77:F84)</f>
        <v>29774068.1171357</v>
      </c>
      <c r="G85" s="176">
        <f>SUM(G77:G84)</f>
        <v>32721240.904968377</v>
      </c>
      <c r="H85" s="176">
        <f>SUM(H77:H84)</f>
        <v>35487989.839312337</v>
      </c>
      <c r="I85" s="176">
        <f>SUM(I77:I84)</f>
        <v>38423215.751690142</v>
      </c>
      <c r="J85" s="176">
        <f>SUM(J77:J84)</f>
        <v>41441802.203320354</v>
      </c>
      <c r="K85" s="176">
        <f>SUM(K77:K84)</f>
        <v>44344963.525368199</v>
      </c>
      <c r="L85" s="176">
        <f>SUM(L77:L84)</f>
        <v>47350559.300468989</v>
      </c>
      <c r="M85" s="176">
        <f>SUM(M77:M84)</f>
        <v>50263625.752405502</v>
      </c>
      <c r="N85" s="176">
        <f>SUM(N77:N84)</f>
        <v>51154012.808662437</v>
      </c>
      <c r="O85" s="176">
        <f>SUM(O77:O84)</f>
        <v>52062207.606044538</v>
      </c>
      <c r="P85" s="176">
        <f>SUM(P77:P84)</f>
        <v>52988566.299374253</v>
      </c>
      <c r="Q85" s="176">
        <f>SUM(Q77:Q84)</f>
        <v>53933452.166570574</v>
      </c>
      <c r="R85" s="176">
        <f>SUM(R77:R84)</f>
        <v>54897235.751110815</v>
      </c>
      <c r="S85" s="176">
        <f>SUM(S77:S84)</f>
        <v>55880295.007341869</v>
      </c>
      <c r="T85" s="176">
        <f>SUM(T77:T84)</f>
        <v>56883015.448697552</v>
      </c>
      <c r="U85" s="176">
        <f>SUM(U77:U84)</f>
        <v>57905790.298880331</v>
      </c>
      <c r="V85" s="176">
        <f>SUM(V77:V84)</f>
        <v>58949020.64606677</v>
      </c>
    </row>
    <row r="86" spans="1:22" x14ac:dyDescent="0.3">
      <c r="A86" s="179"/>
    </row>
    <row r="87" spans="1:22" x14ac:dyDescent="0.3">
      <c r="A87" s="179"/>
    </row>
    <row r="88" spans="1:22" x14ac:dyDescent="0.3">
      <c r="A88" s="179"/>
    </row>
    <row r="89" spans="1:22" x14ac:dyDescent="0.3">
      <c r="A89" s="179"/>
    </row>
    <row r="90" spans="1:22" x14ac:dyDescent="0.3">
      <c r="A90" s="179"/>
    </row>
    <row r="91" spans="1:22" x14ac:dyDescent="0.3">
      <c r="A91" s="179"/>
    </row>
    <row r="92" spans="1:22" x14ac:dyDescent="0.3">
      <c r="A92" s="179"/>
    </row>
    <row r="93" spans="1:22" x14ac:dyDescent="0.3">
      <c r="A93" s="179"/>
      <c r="B93" s="49" t="s">
        <v>227</v>
      </c>
      <c r="L93" s="34"/>
      <c r="M93" s="34"/>
    </row>
    <row r="94" spans="1:22" x14ac:dyDescent="0.3">
      <c r="A94" s="179"/>
      <c r="B94" s="97" t="s">
        <v>102</v>
      </c>
      <c r="C94" s="97">
        <v>2021</v>
      </c>
      <c r="D94" s="98">
        <v>2022</v>
      </c>
      <c r="E94" s="97">
        <v>2023</v>
      </c>
      <c r="F94" s="98">
        <v>2024</v>
      </c>
      <c r="G94" s="97">
        <v>2025</v>
      </c>
      <c r="H94" s="98">
        <v>2026</v>
      </c>
      <c r="I94" s="97">
        <v>2027</v>
      </c>
      <c r="J94" s="98">
        <v>2028</v>
      </c>
      <c r="K94" s="97">
        <v>2029</v>
      </c>
      <c r="L94" s="98">
        <v>2030</v>
      </c>
      <c r="M94" s="97">
        <v>2031</v>
      </c>
      <c r="N94" s="98">
        <v>2032</v>
      </c>
      <c r="O94" s="97">
        <v>2033</v>
      </c>
      <c r="P94" s="98">
        <v>2034</v>
      </c>
      <c r="Q94" s="97">
        <v>2035</v>
      </c>
      <c r="R94" s="98">
        <v>2036</v>
      </c>
      <c r="S94" s="97">
        <v>2037</v>
      </c>
      <c r="T94" s="98">
        <v>2038</v>
      </c>
      <c r="U94" s="97">
        <v>2039</v>
      </c>
      <c r="V94" s="98">
        <v>2040</v>
      </c>
    </row>
    <row r="95" spans="1:22" x14ac:dyDescent="0.3">
      <c r="A95" s="179"/>
      <c r="B95" s="47" t="s">
        <v>59</v>
      </c>
      <c r="C95" s="100">
        <f>IFERROR(SR_demand_forecast!D202*Settings!$K$63,"-")</f>
        <v>6750636.5803097319</v>
      </c>
      <c r="D95" s="100">
        <f>IFERROR(SR_demand_forecast!E202*Settings!$K$63,"-")</f>
        <v>7666375.1077256603</v>
      </c>
      <c r="E95" s="100">
        <f>IFERROR(SR_demand_forecast!F202*Settings!$K$63,"-")</f>
        <v>8618390.9691122975</v>
      </c>
      <c r="F95" s="100">
        <f>IFERROR(SR_demand_forecast!G202*Settings!$K$63,"-")</f>
        <v>9607768.962417502</v>
      </c>
      <c r="G95" s="100">
        <f>IFERROR(SR_demand_forecast!H202*Settings!$K$63,"-")</f>
        <v>10635622.766573468</v>
      </c>
      <c r="H95" s="100">
        <f>IFERROR(SR_demand_forecast!I202*Settings!$K$63,"-")</f>
        <v>11703095.662816901</v>
      </c>
      <c r="I95" s="100">
        <f>IFERROR(SR_demand_forecast!J202*Settings!$K$63,"-")</f>
        <v>12811361.273309635</v>
      </c>
      <c r="J95" s="100">
        <f>IFERROR(SR_demand_forecast!K202*Settings!$K$63,"-")</f>
        <v>13961624.317463141</v>
      </c>
      <c r="K95" s="100">
        <f>IFERROR(SR_demand_forecast!L202*Settings!$K$63,"-")</f>
        <v>15155121.386379665</v>
      </c>
      <c r="L95" s="100">
        <f>IFERROR(SR_demand_forecast!M202*Settings!$K$63,"-")</f>
        <v>16393121.735832058</v>
      </c>
      <c r="M95" s="100">
        <f>IFERROR(SR_demand_forecast!N202*Settings!$K$63,"-")</f>
        <v>18713873.113784697</v>
      </c>
      <c r="N95" s="100">
        <f>IFERROR(SR_demand_forecast!O202*Settings!$K$63,"-")</f>
        <v>19000098.794578087</v>
      </c>
      <c r="O95" s="100">
        <f>IFERROR(SR_demand_forecast!P202*Settings!$K$63,"-")</f>
        <v>19292048.988987349</v>
      </c>
      <c r="P95" s="100">
        <f>IFERROR(SR_demand_forecast!Q202*Settings!$K$63,"-")</f>
        <v>19589838.187284794</v>
      </c>
      <c r="Q95" s="100">
        <f>IFERROR(SR_demand_forecast!R202*Settings!$K$63,"-")</f>
        <v>19893583.169548191</v>
      </c>
      <c r="R95" s="100">
        <f>IFERROR(SR_demand_forecast!S202*Settings!$K$63,"-")</f>
        <v>20203403.05145685</v>
      </c>
      <c r="S95" s="100">
        <f>IFERROR(SR_demand_forecast!T202*Settings!$K$63,"-")</f>
        <v>20519419.331003688</v>
      </c>
      <c r="T95" s="100">
        <f>IFERROR(SR_demand_forecast!U202*Settings!$K$63,"-")</f>
        <v>20841755.936141465</v>
      </c>
      <c r="U95" s="100">
        <f>IFERROR(SR_demand_forecast!V202*Settings!$K$63,"-")</f>
        <v>21170539.273381989</v>
      </c>
      <c r="V95" s="100">
        <f>IFERROR(SR_demand_forecast!W202*Settings!$K$63,"-")</f>
        <v>21505898.277367331</v>
      </c>
    </row>
    <row r="96" spans="1:22" x14ac:dyDescent="0.3">
      <c r="A96" s="179"/>
      <c r="B96" s="47" t="s">
        <v>57</v>
      </c>
      <c r="C96" s="100">
        <f>IFERROR(SR_demand_forecast!D203*Settings!$K$63,"-")</f>
        <v>15938655.923419675</v>
      </c>
      <c r="D96" s="100">
        <f>IFERROR(SR_demand_forecast!E203*Settings!$K$63,"-")</f>
        <v>17070203.167807251</v>
      </c>
      <c r="E96" s="100">
        <f>IFERROR(SR_demand_forecast!F203*Settings!$K$63,"-")</f>
        <v>20018224.566920139</v>
      </c>
      <c r="F96" s="100">
        <f>IFERROR(SR_demand_forecast!G203*Settings!$K$63,"-")</f>
        <v>22282026.613550518</v>
      </c>
      <c r="G96" s="100">
        <f>IFERROR(SR_demand_forecast!H203*Settings!$K$63,"-")</f>
        <v>25192443.244949952</v>
      </c>
      <c r="H96" s="100">
        <f>IFERROR(SR_demand_forecast!I203*Settings!$K$63,"-")</f>
        <v>27878627.676977601</v>
      </c>
      <c r="I96" s="100">
        <f>IFERROR(SR_demand_forecast!J203*Settings!$K$63,"-")</f>
        <v>30767498.201312408</v>
      </c>
      <c r="J96" s="100">
        <f>IFERROR(SR_demand_forecast!K203*Settings!$K$63,"-")</f>
        <v>33738374.900673732</v>
      </c>
      <c r="K96" s="100">
        <f>IFERROR(SR_demand_forecast!L203*Settings!$K$63,"-")</f>
        <v>36592436.473812945</v>
      </c>
      <c r="L96" s="100">
        <f>IFERROR(SR_demand_forecast!M203*Settings!$K$63,"-")</f>
        <v>39547505.987400703</v>
      </c>
      <c r="M96" s="100">
        <f>IFERROR(SR_demand_forecast!N203*Settings!$K$63,"-")</f>
        <v>40321414.732986256</v>
      </c>
      <c r="N96" s="100">
        <f>IFERROR(SR_demand_forecast!O203*Settings!$K$63,"-")</f>
        <v>41110801.65348351</v>
      </c>
      <c r="O96" s="100">
        <f>IFERROR(SR_demand_forecast!P203*Settings!$K$63,"-")</f>
        <v>41915976.312390722</v>
      </c>
      <c r="P96" s="100">
        <f>IFERROR(SR_demand_forecast!Q203*Settings!$K$63,"-")</f>
        <v>42737254.464476071</v>
      </c>
      <c r="Q96" s="100">
        <f>IFERROR(SR_demand_forecast!R203*Settings!$K$63,"-")</f>
        <v>43574958.17960313</v>
      </c>
      <c r="R96" s="100">
        <f>IFERROR(SR_demand_forecast!S203*Settings!$K$63,"-")</f>
        <v>44429415.96903272</v>
      </c>
      <c r="S96" s="100">
        <f>IFERROR(SR_demand_forecast!T203*Settings!$K$63,"-")</f>
        <v>45300962.914250918</v>
      </c>
      <c r="T96" s="100">
        <f>IFERROR(SR_demand_forecast!U203*Settings!$K$63,"-")</f>
        <v>46189940.798373476</v>
      </c>
      <c r="U96" s="100">
        <f>IFERROR(SR_demand_forecast!V203*Settings!$K$63,"-")</f>
        <v>47096698.240178481</v>
      </c>
      <c r="V96" s="100">
        <f>IFERROR(SR_demand_forecast!W203*Settings!$K$63,"-")</f>
        <v>48021590.830819584</v>
      </c>
    </row>
    <row r="97" spans="1:22" x14ac:dyDescent="0.3">
      <c r="A97" s="179"/>
      <c r="B97" s="47" t="s">
        <v>56</v>
      </c>
      <c r="C97" s="100">
        <f>IFERROR(SR_demand_forecast!D204*Settings!$K$63,"-")</f>
        <v>117790.64920429961</v>
      </c>
      <c r="D97" s="100">
        <f>IFERROR(SR_demand_forecast!E204*Settings!$K$63,"-")</f>
        <v>146060.40501333153</v>
      </c>
      <c r="E97" s="100">
        <f>IFERROR(SR_demand_forecast!F204*Settings!$K$63,"-")</f>
        <v>210533.56989626339</v>
      </c>
      <c r="F97" s="100">
        <f>IFERROR(SR_demand_forecast!G204*Settings!$K$63,"-")</f>
        <v>243590.48266206469</v>
      </c>
      <c r="G97" s="100">
        <f>IFERROR(SR_demand_forecast!H204*Settings!$K$63,"-")</f>
        <v>277885.45851053961</v>
      </c>
      <c r="H97" s="100">
        <f>IFERROR(SR_demand_forecast!I204*Settings!$K$63,"-")</f>
        <v>313454.79719988868</v>
      </c>
      <c r="I97" s="100">
        <f>IFERROR(SR_demand_forecast!J204*Settings!$K$63,"-")</f>
        <v>350335.75525340758</v>
      </c>
      <c r="J97" s="100">
        <f>IFERROR(SR_demand_forecast!K204*Settings!$K$63,"-")</f>
        <v>388566.56971018709</v>
      </c>
      <c r="K97" s="100">
        <f>IFERROR(SR_demand_forecast!L204*Settings!$K$63,"-")</f>
        <v>428186.48244313651</v>
      </c>
      <c r="L97" s="100">
        <f>IFERROR(SR_demand_forecast!M204*Settings!$K$63,"-")</f>
        <v>469235.76505751995</v>
      </c>
      <c r="M97" s="100">
        <f>IFERROR(SR_demand_forecast!N204*Settings!$K$63,"-")</f>
        <v>478620.48035867041</v>
      </c>
      <c r="N97" s="100">
        <f>IFERROR(SR_demand_forecast!O204*Settings!$K$63,"-")</f>
        <v>488192.8899658437</v>
      </c>
      <c r="O97" s="100">
        <f>IFERROR(SR_demand_forecast!P204*Settings!$K$63,"-")</f>
        <v>497956.74776516069</v>
      </c>
      <c r="P97" s="100">
        <f>IFERROR(SR_demand_forecast!Q204*Settings!$K$63,"-")</f>
        <v>507915.88272046385</v>
      </c>
      <c r="Q97" s="100">
        <f>IFERROR(SR_demand_forecast!R204*Settings!$K$63,"-")</f>
        <v>518074.20037487318</v>
      </c>
      <c r="R97" s="100">
        <f>IFERROR(SR_demand_forecast!S204*Settings!$K$63,"-")</f>
        <v>528435.68438237056</v>
      </c>
      <c r="S97" s="100">
        <f>IFERROR(SR_demand_forecast!T204*Settings!$K$63,"-")</f>
        <v>539004.39807001792</v>
      </c>
      <c r="T97" s="100">
        <f>IFERROR(SR_demand_forecast!U204*Settings!$K$63,"-")</f>
        <v>549784.48603141843</v>
      </c>
      <c r="U97" s="100">
        <f>IFERROR(SR_demand_forecast!V204*Settings!$K$63,"-")</f>
        <v>560780.17575204663</v>
      </c>
      <c r="V97" s="100">
        <f>IFERROR(SR_demand_forecast!W204*Settings!$K$63,"-")</f>
        <v>571995.77926708758</v>
      </c>
    </row>
    <row r="98" spans="1:22" x14ac:dyDescent="0.3">
      <c r="A98" s="179"/>
      <c r="B98" s="47" t="s">
        <v>100</v>
      </c>
      <c r="C98" s="100">
        <f>IFERROR(SR_demand_forecast!D205*Settings!$K$63,"-")</f>
        <v>0</v>
      </c>
      <c r="D98" s="100">
        <f>IFERROR(SR_demand_forecast!E205*Settings!$K$63,"-")</f>
        <v>0</v>
      </c>
      <c r="E98" s="100">
        <f>IFERROR(SR_demand_forecast!F205*Settings!$K$63,"-")</f>
        <v>0</v>
      </c>
      <c r="F98" s="100">
        <f>IFERROR(SR_demand_forecast!G205*Settings!$K$63,"-")</f>
        <v>0</v>
      </c>
      <c r="G98" s="100">
        <f>IFERROR(SR_demand_forecast!H205*Settings!$K$63,"-")</f>
        <v>0</v>
      </c>
      <c r="H98" s="100">
        <f>IFERROR(SR_demand_forecast!I205*Settings!$K$63,"-")</f>
        <v>0</v>
      </c>
      <c r="I98" s="100">
        <f>IFERROR(SR_demand_forecast!J205*Settings!$K$63,"-")</f>
        <v>0</v>
      </c>
      <c r="J98" s="100">
        <f>IFERROR(SR_demand_forecast!K205*Settings!$K$63,"-")</f>
        <v>0</v>
      </c>
      <c r="K98" s="100">
        <f>IFERROR(SR_demand_forecast!L205*Settings!$K$63,"-")</f>
        <v>0</v>
      </c>
      <c r="L98" s="100">
        <f>IFERROR(SR_demand_forecast!M205*Settings!$K$63,"-")</f>
        <v>0</v>
      </c>
      <c r="M98" s="100">
        <f>IFERROR(SR_demand_forecast!N205*Settings!$K$63,"-")</f>
        <v>0</v>
      </c>
      <c r="N98" s="100">
        <f>IFERROR(SR_demand_forecast!O205*Settings!$K$63,"-")</f>
        <v>0</v>
      </c>
      <c r="O98" s="100">
        <f>IFERROR(SR_demand_forecast!P205*Settings!$K$63,"-")</f>
        <v>0</v>
      </c>
      <c r="P98" s="100">
        <f>IFERROR(SR_demand_forecast!Q205*Settings!$K$63,"-")</f>
        <v>0</v>
      </c>
      <c r="Q98" s="100">
        <f>IFERROR(SR_demand_forecast!R205*Settings!$K$63,"-")</f>
        <v>0</v>
      </c>
      <c r="R98" s="100">
        <f>IFERROR(SR_demand_forecast!S205*Settings!$K$63,"-")</f>
        <v>0</v>
      </c>
      <c r="S98" s="100">
        <f>IFERROR(SR_demand_forecast!T205*Settings!$K$63,"-")</f>
        <v>0</v>
      </c>
      <c r="T98" s="100">
        <f>IFERROR(SR_demand_forecast!U205*Settings!$K$63,"-")</f>
        <v>0</v>
      </c>
      <c r="U98" s="100">
        <f>IFERROR(SR_demand_forecast!V205*Settings!$K$63,"-")</f>
        <v>0</v>
      </c>
      <c r="V98" s="100">
        <f>IFERROR(SR_demand_forecast!W205*Settings!$K$63,"-")</f>
        <v>0</v>
      </c>
    </row>
    <row r="99" spans="1:22" x14ac:dyDescent="0.3">
      <c r="A99" s="179"/>
      <c r="B99" s="47" t="s">
        <v>60</v>
      </c>
      <c r="C99" s="100">
        <f>IFERROR(SR_demand_forecast!D206*Settings!$K$63,"-")</f>
        <v>7059.2267294456851</v>
      </c>
      <c r="D99" s="100">
        <f>IFERROR(SR_demand_forecast!E206*Settings!$K$63,"-")</f>
        <v>8282.8260292162704</v>
      </c>
      <c r="E99" s="100">
        <f>IFERROR(SR_demand_forecast!F206*Settings!$K$63,"-")</f>
        <v>9554.898685862383</v>
      </c>
      <c r="F99" s="100">
        <f>IFERROR(SR_demand_forecast!G206*Settings!$K$63,"-")</f>
        <v>10876.894193939135</v>
      </c>
      <c r="G99" s="100">
        <f>IFERROR(SR_demand_forecast!H206*Settings!$K$63,"-")</f>
        <v>12735.223394472714</v>
      </c>
      <c r="H99" s="100">
        <f>IFERROR(SR_demand_forecast!I206*Settings!$K$63,"-")</f>
        <v>14288.920648598385</v>
      </c>
      <c r="I99" s="100">
        <f>IFERROR(SR_demand_forecast!J206*Settings!$K$63,"-")</f>
        <v>15899.671703531296</v>
      </c>
      <c r="J99" s="100">
        <f>IFERROR(SR_demand_forecast!K206*Settings!$K$63,"-")</f>
        <v>17569.137232402074</v>
      </c>
      <c r="K99" s="100">
        <f>IFERROR(SR_demand_forecast!L206*Settings!$K$63,"-")</f>
        <v>19299.02151374628</v>
      </c>
      <c r="L99" s="100">
        <f>IFERROR(SR_demand_forecast!M206*Settings!$K$63,"-")</f>
        <v>21091.073511451297</v>
      </c>
      <c r="M99" s="100">
        <f>IFERROR(SR_demand_forecast!N206*Settings!$K$63,"-")</f>
        <v>21512.894981680322</v>
      </c>
      <c r="N99" s="100">
        <f>IFERROR(SR_demand_forecast!O206*Settings!$K$63,"-")</f>
        <v>21943.152881313927</v>
      </c>
      <c r="O99" s="100">
        <f>IFERROR(SR_demand_forecast!P206*Settings!$K$63,"-")</f>
        <v>22382.015938940207</v>
      </c>
      <c r="P99" s="100">
        <f>IFERROR(SR_demand_forecast!Q206*Settings!$K$63,"-")</f>
        <v>22829.656257719009</v>
      </c>
      <c r="Q99" s="100">
        <f>IFERROR(SR_demand_forecast!R206*Settings!$K$63,"-")</f>
        <v>23286.249382873393</v>
      </c>
      <c r="R99" s="100">
        <f>IFERROR(SR_demand_forecast!S206*Settings!$K$63,"-")</f>
        <v>23751.974370530854</v>
      </c>
      <c r="S99" s="100">
        <f>IFERROR(SR_demand_forecast!T206*Settings!$K$63,"-")</f>
        <v>24227.013857941474</v>
      </c>
      <c r="T99" s="100">
        <f>IFERROR(SR_demand_forecast!U206*Settings!$K$63,"-")</f>
        <v>24711.554135100308</v>
      </c>
      <c r="U99" s="100">
        <f>IFERROR(SR_demand_forecast!V206*Settings!$K$63,"-")</f>
        <v>25205.785217802309</v>
      </c>
      <c r="V99" s="100">
        <f>IFERROR(SR_demand_forecast!W206*Settings!$K$63,"-")</f>
        <v>25709.900922158355</v>
      </c>
    </row>
    <row r="100" spans="1:22" x14ac:dyDescent="0.3">
      <c r="A100" s="179"/>
      <c r="B100" s="47" t="s">
        <v>101</v>
      </c>
      <c r="C100" s="100">
        <f>IFERROR(SR_demand_forecast!D207*Settings!$K$63,"-")</f>
        <v>0</v>
      </c>
      <c r="D100" s="100">
        <f>IFERROR(SR_demand_forecast!E207*Settings!$K$63,"-")</f>
        <v>0</v>
      </c>
      <c r="E100" s="100">
        <f>IFERROR(SR_demand_forecast!F207*Settings!$K$63,"-")</f>
        <v>0</v>
      </c>
      <c r="F100" s="100">
        <f>IFERROR(SR_demand_forecast!G207*Settings!$K$63,"-")</f>
        <v>0</v>
      </c>
      <c r="G100" s="100">
        <f>IFERROR(SR_demand_forecast!H207*Settings!$K$63,"-")</f>
        <v>0</v>
      </c>
      <c r="H100" s="100">
        <f>IFERROR(SR_demand_forecast!I207*Settings!$K$63,"-")</f>
        <v>0</v>
      </c>
      <c r="I100" s="100">
        <f>IFERROR(SR_demand_forecast!J207*Settings!$K$63,"-")</f>
        <v>0</v>
      </c>
      <c r="J100" s="100">
        <f>IFERROR(SR_demand_forecast!K207*Settings!$K$63,"-")</f>
        <v>0</v>
      </c>
      <c r="K100" s="100">
        <f>IFERROR(SR_demand_forecast!L207*Settings!$K$63,"-")</f>
        <v>0</v>
      </c>
      <c r="L100" s="100">
        <f>IFERROR(SR_demand_forecast!M207*Settings!$K$63,"-")</f>
        <v>0</v>
      </c>
      <c r="M100" s="100">
        <f>IFERROR(SR_demand_forecast!N207*Settings!$K$63,"-")</f>
        <v>0</v>
      </c>
      <c r="N100" s="100">
        <f>IFERROR(SR_demand_forecast!O207*Settings!$K$63,"-")</f>
        <v>0</v>
      </c>
      <c r="O100" s="100">
        <f>IFERROR(SR_demand_forecast!P207*Settings!$K$63,"-")</f>
        <v>0</v>
      </c>
      <c r="P100" s="100">
        <f>IFERROR(SR_demand_forecast!Q207*Settings!$K$63,"-")</f>
        <v>0</v>
      </c>
      <c r="Q100" s="100">
        <f>IFERROR(SR_demand_forecast!R207*Settings!$K$63,"-")</f>
        <v>0</v>
      </c>
      <c r="R100" s="100">
        <f>IFERROR(SR_demand_forecast!S207*Settings!$K$63,"-")</f>
        <v>0</v>
      </c>
      <c r="S100" s="100">
        <f>IFERROR(SR_demand_forecast!T207*Settings!$K$63,"-")</f>
        <v>0</v>
      </c>
      <c r="T100" s="100">
        <f>IFERROR(SR_demand_forecast!U207*Settings!$K$63,"-")</f>
        <v>0</v>
      </c>
      <c r="U100" s="100">
        <f>IFERROR(SR_demand_forecast!V207*Settings!$K$63,"-")</f>
        <v>0</v>
      </c>
      <c r="V100" s="100">
        <f>IFERROR(SR_demand_forecast!W207*Settings!$K$63,"-")</f>
        <v>0</v>
      </c>
    </row>
    <row r="101" spans="1:22" x14ac:dyDescent="0.3">
      <c r="A101" s="179"/>
      <c r="B101" s="47" t="s">
        <v>58</v>
      </c>
      <c r="C101" s="100">
        <f>IFERROR(SR_demand_forecast!D208*Settings!$K$63,"-")</f>
        <v>102567.01304871409</v>
      </c>
      <c r="D101" s="100">
        <f>IFERROR(SR_demand_forecast!E208*Settings!$K$63,"-")</f>
        <v>117805.5407016659</v>
      </c>
      <c r="E101" s="100">
        <f>IFERROR(SR_demand_forecast!F208*Settings!$K$63,"-")</f>
        <v>133647.74848856157</v>
      </c>
      <c r="F101" s="100">
        <f>IFERROR(SR_demand_forecast!G208*Settings!$K$63,"-")</f>
        <v>150111.68820369765</v>
      </c>
      <c r="G101" s="100">
        <f>IFERROR(SR_demand_forecast!H208*Settings!$K$63,"-")</f>
        <v>169631.55522119012</v>
      </c>
      <c r="H101" s="100">
        <f>IFERROR(SR_demand_forecast!I208*Settings!$K$63,"-")</f>
        <v>188029.45905486419</v>
      </c>
      <c r="I101" s="100">
        <f>IFERROR(SR_demand_forecast!J208*Settings!$K$63,"-")</f>
        <v>207118.87030849361</v>
      </c>
      <c r="J101" s="100">
        <f>IFERROR(SR_demand_forecast!K208*Settings!$K$63,"-")</f>
        <v>226920.09011734309</v>
      </c>
      <c r="K101" s="100">
        <f>IFERROR(SR_demand_forecast!L208*Settings!$K$63,"-")</f>
        <v>247453.95505912002</v>
      </c>
      <c r="L101" s="100">
        <f>IFERROR(SR_demand_forecast!M208*Settings!$K$63,"-")</f>
        <v>268741.85045121796</v>
      </c>
      <c r="M101" s="100">
        <f>IFERROR(SR_demand_forecast!N208*Settings!$K$63,"-")</f>
        <v>272944.49302539992</v>
      </c>
      <c r="N101" s="100">
        <f>IFERROR(SR_demand_forecast!O208*Settings!$K$63,"-")</f>
        <v>277231.18845106539</v>
      </c>
      <c r="O101" s="100">
        <f>IFERROR(SR_demand_forecast!P208*Settings!$K$63,"-")</f>
        <v>281603.61778524431</v>
      </c>
      <c r="P101" s="100">
        <f>IFERROR(SR_demand_forecast!Q208*Settings!$K$63,"-")</f>
        <v>286063.49570610677</v>
      </c>
      <c r="Q101" s="100">
        <f>IFERROR(SR_demand_forecast!R208*Settings!$K$63,"-")</f>
        <v>290612.57118538645</v>
      </c>
      <c r="R101" s="100">
        <f>IFERROR(SR_demand_forecast!S208*Settings!$K$63,"-")</f>
        <v>295252.62817425164</v>
      </c>
      <c r="S101" s="100">
        <f>IFERROR(SR_demand_forecast!T208*Settings!$K$63,"-")</f>
        <v>299985.48630289425</v>
      </c>
      <c r="T101" s="100">
        <f>IFERROR(SR_demand_forecast!U208*Settings!$K$63,"-")</f>
        <v>304813.00159410975</v>
      </c>
      <c r="U101" s="100">
        <f>IFERROR(SR_demand_forecast!V208*Settings!$K$63,"-")</f>
        <v>309737.06719114946</v>
      </c>
      <c r="V101" s="100">
        <f>IFERROR(SR_demand_forecast!W208*Settings!$K$63,"-")</f>
        <v>314759.61410012998</v>
      </c>
    </row>
    <row r="102" spans="1:22" x14ac:dyDescent="0.3">
      <c r="A102" s="179"/>
      <c r="B102" s="47" t="s">
        <v>61</v>
      </c>
      <c r="C102" s="100">
        <f>IFERROR(SR_demand_forecast!D209*Settings!$K$63,"-")</f>
        <v>1422317.9374070514</v>
      </c>
      <c r="D102" s="100">
        <f>IFERROR(SR_demand_forecast!E209*Settings!$K$63,"-")</f>
        <v>1565411.7420189127</v>
      </c>
      <c r="E102" s="100">
        <f>IFERROR(SR_demand_forecast!F209*Settings!$K$63,"-")</f>
        <v>1714005.1759887473</v>
      </c>
      <c r="F102" s="100">
        <f>IFERROR(SR_demand_forecast!G209*Settings!$K$63,"-")</f>
        <v>1868260.9869690302</v>
      </c>
      <c r="G102" s="100">
        <f>IFERROR(SR_demand_forecast!H209*Settings!$K$63,"-")</f>
        <v>2028346.2326665916</v>
      </c>
      <c r="H102" s="100">
        <f>IFERROR(SR_demand_forecast!I209*Settings!$K$63,"-")</f>
        <v>2239291.7800642434</v>
      </c>
      <c r="I102" s="100">
        <f>IFERROR(SR_demand_forecast!J209*Settings!$K$63,"-")</f>
        <v>2421072.1441678707</v>
      </c>
      <c r="J102" s="100">
        <f>IFERROR(SR_demand_forecast!K209*Settings!$K$63,"-")</f>
        <v>2609400.4082978489</v>
      </c>
      <c r="K102" s="100">
        <f>IFERROR(SR_demand_forecast!L209*Settings!$K$63,"-")</f>
        <v>2804465.7763095903</v>
      </c>
      <c r="L102" s="100">
        <f>IFERROR(SR_demand_forecast!M209*Settings!$K$63,"-")</f>
        <v>3006462.4010527134</v>
      </c>
      <c r="M102" s="100">
        <f>IFERROR(SR_demand_forecast!N209*Settings!$K$63,"-")</f>
        <v>3057971.54036221</v>
      </c>
      <c r="N102" s="100">
        <f>IFERROR(SR_demand_forecast!O209*Settings!$K$63,"-")</f>
        <v>3110510.8624578957</v>
      </c>
      <c r="O102" s="100">
        <f>IFERROR(SR_demand_forecast!P209*Settings!$K$63,"-")</f>
        <v>3164100.9709954965</v>
      </c>
      <c r="P102" s="100">
        <f>IFERROR(SR_demand_forecast!Q209*Settings!$K$63,"-")</f>
        <v>3218762.881703848</v>
      </c>
      <c r="Q102" s="100">
        <f>IFERROR(SR_demand_forecast!R209*Settings!$K$63,"-")</f>
        <v>3274518.0306263673</v>
      </c>
      <c r="R102" s="100">
        <f>IFERROR(SR_demand_forecast!S209*Settings!$K$63,"-")</f>
        <v>3331388.2825273364</v>
      </c>
      <c r="S102" s="100">
        <f>IFERROR(SR_demand_forecast!T209*Settings!$K$63,"-")</f>
        <v>3389395.9394663256</v>
      </c>
      <c r="T102" s="100">
        <f>IFERROR(SR_demand_forecast!U209*Settings!$K$63,"-")</f>
        <v>3448563.7495440939</v>
      </c>
      <c r="U102" s="100">
        <f>IFERROR(SR_demand_forecast!V209*Settings!$K$63,"-")</f>
        <v>3508914.9158234182</v>
      </c>
      <c r="V102" s="100">
        <f>IFERROR(SR_demand_forecast!W209*Settings!$K$63,"-")</f>
        <v>3570473.1054283283</v>
      </c>
    </row>
    <row r="103" spans="1:22" x14ac:dyDescent="0.3">
      <c r="A103" s="179"/>
      <c r="B103" s="47" t="s">
        <v>104</v>
      </c>
      <c r="C103" s="176">
        <f>SUM(C95:C102)</f>
        <v>24339027.330118917</v>
      </c>
      <c r="D103" s="176">
        <f>SUM(D95:D102)</f>
        <v>26574138.789296035</v>
      </c>
      <c r="E103" s="176">
        <f>SUM(E95:E102)</f>
        <v>30704356.929091871</v>
      </c>
      <c r="F103" s="176">
        <f>SUM(F95:F102)</f>
        <v>34162635.62799675</v>
      </c>
      <c r="G103" s="176">
        <f>SUM(G95:G102)</f>
        <v>38316664.481316216</v>
      </c>
      <c r="H103" s="176">
        <f>SUM(H95:H102)</f>
        <v>42336788.296762094</v>
      </c>
      <c r="I103" s="176">
        <f>SUM(I95:I102)</f>
        <v>46573285.916055344</v>
      </c>
      <c r="J103" s="176">
        <f>SUM(J95:J102)</f>
        <v>50942455.423494659</v>
      </c>
      <c r="K103" s="176">
        <f>SUM(K95:K102)</f>
        <v>55246963.095518202</v>
      </c>
      <c r="L103" s="176">
        <f>SUM(L95:L102)</f>
        <v>59706158.813305661</v>
      </c>
      <c r="M103" s="176">
        <f>SUM(M95:M102)</f>
        <v>62866337.255498916</v>
      </c>
      <c r="N103" s="176">
        <f>SUM(N95:N102)</f>
        <v>64008778.541817725</v>
      </c>
      <c r="O103" s="176">
        <f>SUM(O95:O102)</f>
        <v>65174068.653862908</v>
      </c>
      <c r="P103" s="176">
        <f>SUM(P95:P102)</f>
        <v>66362664.568148993</v>
      </c>
      <c r="Q103" s="176">
        <f>SUM(Q95:Q102)</f>
        <v>67575032.40072082</v>
      </c>
      <c r="R103" s="176">
        <f>SUM(R95:R102)</f>
        <v>68811647.589944065</v>
      </c>
      <c r="S103" s="176">
        <f>SUM(S95:S102)</f>
        <v>70072995.082951784</v>
      </c>
      <c r="T103" s="176">
        <f>SUM(T95:T102)</f>
        <v>71359569.525819659</v>
      </c>
      <c r="U103" s="176">
        <f>SUM(U95:U102)</f>
        <v>72671875.457544893</v>
      </c>
      <c r="V103" s="176">
        <f>SUM(V95:V102)</f>
        <v>74010427.507904619</v>
      </c>
    </row>
    <row r="104" spans="1:22" x14ac:dyDescent="0.3">
      <c r="A104" s="179"/>
    </row>
    <row r="105" spans="1:22" x14ac:dyDescent="0.3">
      <c r="A105" s="179"/>
    </row>
    <row r="106" spans="1:22" x14ac:dyDescent="0.3">
      <c r="A106" s="179"/>
    </row>
    <row r="107" spans="1:22" x14ac:dyDescent="0.3">
      <c r="A107" s="179"/>
    </row>
    <row r="108" spans="1:22" x14ac:dyDescent="0.3">
      <c r="A108" s="179"/>
    </row>
    <row r="109" spans="1:22" x14ac:dyDescent="0.3">
      <c r="A109" s="179"/>
    </row>
    <row r="110" spans="1:22" x14ac:dyDescent="0.3">
      <c r="A110" s="179"/>
    </row>
    <row r="111" spans="1:22" x14ac:dyDescent="0.3">
      <c r="A111" s="179"/>
    </row>
    <row r="112" spans="1:22" x14ac:dyDescent="0.3">
      <c r="A112" s="179"/>
    </row>
    <row r="113" spans="1:22" x14ac:dyDescent="0.3">
      <c r="A113" s="180">
        <v>0.6</v>
      </c>
      <c r="B113" s="49" t="s">
        <v>225</v>
      </c>
      <c r="L113" s="34"/>
      <c r="M113" s="34"/>
    </row>
    <row r="114" spans="1:22" x14ac:dyDescent="0.3">
      <c r="A114" s="179"/>
      <c r="B114" s="97" t="s">
        <v>102</v>
      </c>
      <c r="C114" s="97">
        <v>2021</v>
      </c>
      <c r="D114" s="98">
        <v>2022</v>
      </c>
      <c r="E114" s="97">
        <v>2023</v>
      </c>
      <c r="F114" s="98">
        <v>2024</v>
      </c>
      <c r="G114" s="97">
        <v>2025</v>
      </c>
      <c r="H114" s="98">
        <v>2026</v>
      </c>
      <c r="I114" s="97">
        <v>2027</v>
      </c>
      <c r="J114" s="98">
        <v>2028</v>
      </c>
      <c r="K114" s="97">
        <v>2029</v>
      </c>
      <c r="L114" s="98">
        <v>2030</v>
      </c>
      <c r="M114" s="97">
        <v>2031</v>
      </c>
      <c r="N114" s="98">
        <v>2032</v>
      </c>
      <c r="O114" s="97">
        <v>2033</v>
      </c>
      <c r="P114" s="98">
        <v>2034</v>
      </c>
      <c r="Q114" s="97">
        <v>2035</v>
      </c>
      <c r="R114" s="98">
        <v>2036</v>
      </c>
      <c r="S114" s="97">
        <v>2037</v>
      </c>
      <c r="T114" s="98">
        <v>2038</v>
      </c>
      <c r="U114" s="97">
        <v>2039</v>
      </c>
      <c r="V114" s="98">
        <v>2040</v>
      </c>
    </row>
    <row r="115" spans="1:22" x14ac:dyDescent="0.3">
      <c r="A115" s="179"/>
      <c r="B115" s="47" t="s">
        <v>59</v>
      </c>
      <c r="C115" s="100">
        <f>IFERROR(SR_demand_forecast!D56*Settings!$K$65,"-")</f>
        <v>6876424.8395701637</v>
      </c>
      <c r="D115" s="100">
        <f>IFERROR(SR_demand_forecast!E56*Settings!$K$65,"-")</f>
        <v>7050851.2257446256</v>
      </c>
      <c r="E115" s="100">
        <f>IFERROR(SR_demand_forecast!F56*Settings!$K$65,"-")</f>
        <v>7232187.580294461</v>
      </c>
      <c r="F115" s="100">
        <f>IFERROR(SR_demand_forecast!G56*Settings!$K$65,"-")</f>
        <v>7420640.5314002149</v>
      </c>
      <c r="G115" s="100">
        <f>IFERROR(SR_demand_forecast!H56*Settings!$K$65,"-")</f>
        <v>7616422.2083823038</v>
      </c>
      <c r="H115" s="100">
        <f>IFERROR(SR_demand_forecast!I56*Settings!$K$65,"-")</f>
        <v>7819750.3790953383</v>
      </c>
      <c r="I115" s="100">
        <f>IFERROR(SR_demand_forecast!J56*Settings!$K$65,"-")</f>
        <v>8030848.5906177638</v>
      </c>
      <c r="J115" s="100">
        <f>IFERROR(SR_demand_forecast!K56*Settings!$K$65,"-")</f>
        <v>8249946.3133136714</v>
      </c>
      <c r="K115" s="100">
        <f>IFERROR(SR_demand_forecast!L56*Settings!$K$65,"-")</f>
        <v>8477279.088345388</v>
      </c>
      <c r="L115" s="100">
        <f>IFERROR(SR_demand_forecast!M56*Settings!$K$65,"-")</f>
        <v>8713088.6787172724</v>
      </c>
      <c r="M115" s="100">
        <f>IFERROR(SR_demand_forecast!N56*Settings!$K$65,"-")</f>
        <v>11164937.815989904</v>
      </c>
      <c r="N115" s="100">
        <f>IFERROR(SR_demand_forecast!O56*Settings!$K$65,"-")</f>
        <v>11287605.964901356</v>
      </c>
      <c r="O115" s="100">
        <f>IFERROR(SR_demand_forecast!P56*Settings!$K$65,"-")</f>
        <v>11412727.476791039</v>
      </c>
      <c r="P115" s="100">
        <f>IFERROR(SR_demand_forecast!Q56*Settings!$K$65,"-")</f>
        <v>11540351.418918518</v>
      </c>
      <c r="Q115" s="100">
        <f>IFERROR(SR_demand_forecast!R56*Settings!$K$65,"-")</f>
        <v>11670527.839888545</v>
      </c>
      <c r="R115" s="100">
        <f>IFERROR(SR_demand_forecast!S56*Settings!$K$65,"-")</f>
        <v>11803307.789277969</v>
      </c>
      <c r="S115" s="100">
        <f>IFERROR(SR_demand_forecast!T56*Settings!$K$65,"-")</f>
        <v>11938743.337655187</v>
      </c>
      <c r="T115" s="100">
        <f>IFERROR(SR_demand_forecast!U56*Settings!$K$65,"-")</f>
        <v>12076887.596999947</v>
      </c>
      <c r="U115" s="100">
        <f>IFERROR(SR_demand_forecast!V56*Settings!$K$65,"-")</f>
        <v>12217794.741531601</v>
      </c>
      <c r="V115" s="100">
        <f>IFERROR(SR_demand_forecast!W56*Settings!$K$65,"-")</f>
        <v>12361520.028953889</v>
      </c>
    </row>
    <row r="116" spans="1:22" x14ac:dyDescent="0.3">
      <c r="A116" s="179"/>
      <c r="B116" s="47" t="s">
        <v>57</v>
      </c>
      <c r="C116" s="100">
        <f>IFERROR(SR_demand_forecast!D57*Settings!$K$65,"-")</f>
        <v>16657538.274768686</v>
      </c>
      <c r="D116" s="100">
        <f>IFERROR(SR_demand_forecast!E57*Settings!$K$65,"-")</f>
        <v>16330343.890849387</v>
      </c>
      <c r="E116" s="100">
        <f>IFERROR(SR_demand_forecast!F57*Settings!$K$65,"-")</f>
        <v>18014927.547485322</v>
      </c>
      <c r="F116" s="100">
        <f>IFERROR(SR_demand_forecast!G57*Settings!$K$65,"-")</f>
        <v>18851434.267481897</v>
      </c>
      <c r="G116" s="100">
        <f>IFERROR(SR_demand_forecast!H57*Settings!$K$65,"-")</f>
        <v>20358846.476951465</v>
      </c>
      <c r="H116" s="100">
        <f>IFERROR(SR_demand_forecast!I57*Settings!$K$65,"-")</f>
        <v>21539887.682255864</v>
      </c>
      <c r="I116" s="100">
        <f>IFERROR(SR_demand_forecast!J57*Settings!$K$65,"-")</f>
        <v>22880387.788409121</v>
      </c>
      <c r="J116" s="100">
        <f>IFERROR(SR_demand_forecast!K57*Settings!$K$65,"-")</f>
        <v>24240295.149591513</v>
      </c>
      <c r="K116" s="100">
        <f>IFERROR(SR_demand_forecast!L57*Settings!$K$65,"-")</f>
        <v>25390197.284487493</v>
      </c>
      <c r="L116" s="100">
        <f>IFERROR(SR_demand_forecast!M57*Settings!$K$65,"-")</f>
        <v>26576788.903843202</v>
      </c>
      <c r="M116" s="100">
        <f>IFERROR(SR_demand_forecast!N57*Settings!$K$65,"-")</f>
        <v>27088848.825734392</v>
      </c>
      <c r="N116" s="100">
        <f>IFERROR(SR_demand_forecast!O57*Settings!$K$65,"-")</f>
        <v>27611149.946063403</v>
      </c>
      <c r="O116" s="100">
        <f>IFERROR(SR_demand_forecast!P57*Settings!$K$65,"-")</f>
        <v>28143897.088799004</v>
      </c>
      <c r="P116" s="100">
        <f>IFERROR(SR_demand_forecast!Q57*Settings!$K$65,"-")</f>
        <v>28687299.174389306</v>
      </c>
      <c r="Q116" s="100">
        <f>IFERROR(SR_demand_forecast!R57*Settings!$K$65,"-")</f>
        <v>29241569.301691424</v>
      </c>
      <c r="R116" s="100">
        <f>IFERROR(SR_demand_forecast!S57*Settings!$K$65,"-")</f>
        <v>29806924.831539571</v>
      </c>
      <c r="S116" s="100">
        <f>IFERROR(SR_demand_forecast!T57*Settings!$K$65,"-")</f>
        <v>30383587.471984699</v>
      </c>
      <c r="T116" s="100">
        <f>IFERROR(SR_demand_forecast!U57*Settings!$K$65,"-")</f>
        <v>30971783.365238719</v>
      </c>
      <c r="U116" s="100">
        <f>IFERROR(SR_demand_forecast!V57*Settings!$K$65,"-")</f>
        <v>31571743.176357821</v>
      </c>
      <c r="V116" s="100">
        <f>IFERROR(SR_demand_forecast!W57*Settings!$K$65,"-")</f>
        <v>32183702.183699302</v>
      </c>
    </row>
    <row r="117" spans="1:22" x14ac:dyDescent="0.3">
      <c r="A117" s="179"/>
      <c r="B117" s="47" t="s">
        <v>56</v>
      </c>
      <c r="C117" s="100">
        <f>IFERROR(SR_demand_forecast!D58*Settings!$K$65,"-")</f>
        <v>110455.70035274985</v>
      </c>
      <c r="D117" s="100">
        <f>IFERROR(SR_demand_forecast!E58*Settings!$K$65,"-")</f>
        <v>117635.32087567858</v>
      </c>
      <c r="E117" s="100">
        <f>IFERROR(SR_demand_forecast!F58*Settings!$K$65,"-")</f>
        <v>165194.78405506382</v>
      </c>
      <c r="F117" s="100">
        <f>IFERROR(SR_demand_forecast!G58*Settings!$K$65,"-")</f>
        <v>175824.70928991141</v>
      </c>
      <c r="G117" s="100">
        <f>IFERROR(SR_demand_forecast!H58*Settings!$K$65,"-")</f>
        <v>186813.75362053089</v>
      </c>
      <c r="H117" s="100">
        <f>IFERROR(SR_demand_forecast!I58*Settings!$K$65,"-")</f>
        <v>198172.02984065915</v>
      </c>
      <c r="I117" s="100">
        <f>IFERROR(SR_demand_forecast!J58*Settings!$K$65,"-")</f>
        <v>209909.91160814435</v>
      </c>
      <c r="J117" s="100">
        <f>IFERROR(SR_demand_forecast!K58*Settings!$K$65,"-")</f>
        <v>222038.03983439264</v>
      </c>
      <c r="K117" s="100">
        <f>IFERROR(SR_demand_forecast!L58*Settings!$K$65,"-")</f>
        <v>234567.32922504767</v>
      </c>
      <c r="L117" s="100">
        <f>IFERROR(SR_demand_forecast!M58*Settings!$K$65,"-")</f>
        <v>247508.97497539519</v>
      </c>
      <c r="M117" s="100">
        <f>IFERROR(SR_demand_forecast!N58*Settings!$K$65,"-")</f>
        <v>252459.15447490307</v>
      </c>
      <c r="N117" s="100">
        <f>IFERROR(SR_demand_forecast!O58*Settings!$K$65,"-")</f>
        <v>257508.33756440107</v>
      </c>
      <c r="O117" s="100">
        <f>IFERROR(SR_demand_forecast!P58*Settings!$K$65,"-")</f>
        <v>262658.50431568915</v>
      </c>
      <c r="P117" s="100">
        <f>IFERROR(SR_demand_forecast!Q58*Settings!$K$65,"-")</f>
        <v>267911.67440200294</v>
      </c>
      <c r="Q117" s="100">
        <f>IFERROR(SR_demand_forecast!R58*Settings!$K$65,"-")</f>
        <v>273269.90789004305</v>
      </c>
      <c r="R117" s="100">
        <f>IFERROR(SR_demand_forecast!S58*Settings!$K$65,"-")</f>
        <v>278735.30604784383</v>
      </c>
      <c r="S117" s="100">
        <f>IFERROR(SR_demand_forecast!T58*Settings!$K$65,"-")</f>
        <v>284310.01216880069</v>
      </c>
      <c r="T117" s="100">
        <f>IFERROR(SR_demand_forecast!U58*Settings!$K$65,"-")</f>
        <v>289996.21241217677</v>
      </c>
      <c r="U117" s="100">
        <f>IFERROR(SR_demand_forecast!V58*Settings!$K$65,"-")</f>
        <v>295796.13666042028</v>
      </c>
      <c r="V117" s="100">
        <f>IFERROR(SR_demand_forecast!W58*Settings!$K$65,"-")</f>
        <v>301712.05939362868</v>
      </c>
    </row>
    <row r="118" spans="1:22" x14ac:dyDescent="0.3">
      <c r="A118" s="179"/>
      <c r="B118" s="47" t="s">
        <v>100</v>
      </c>
      <c r="C118" s="100">
        <f>IFERROR(SR_demand_forecast!D59*Settings!$K$65,"-")</f>
        <v>0</v>
      </c>
      <c r="D118" s="100">
        <f>IFERROR(SR_demand_forecast!E59*Settings!$K$65,"-")</f>
        <v>0</v>
      </c>
      <c r="E118" s="100">
        <f>IFERROR(SR_demand_forecast!F59*Settings!$K$65,"-")</f>
        <v>0</v>
      </c>
      <c r="F118" s="100">
        <f>IFERROR(SR_demand_forecast!G59*Settings!$K$65,"-")</f>
        <v>0</v>
      </c>
      <c r="G118" s="100">
        <f>IFERROR(SR_demand_forecast!H59*Settings!$K$65,"-")</f>
        <v>0</v>
      </c>
      <c r="H118" s="100">
        <f>IFERROR(SR_demand_forecast!I59*Settings!$K$65,"-")</f>
        <v>0</v>
      </c>
      <c r="I118" s="100">
        <f>IFERROR(SR_demand_forecast!J59*Settings!$K$65,"-")</f>
        <v>0</v>
      </c>
      <c r="J118" s="100">
        <f>IFERROR(SR_demand_forecast!K59*Settings!$K$65,"-")</f>
        <v>0</v>
      </c>
      <c r="K118" s="100">
        <f>IFERROR(SR_demand_forecast!L59*Settings!$K$65,"-")</f>
        <v>0</v>
      </c>
      <c r="L118" s="100">
        <f>IFERROR(SR_demand_forecast!M59*Settings!$K$65,"-")</f>
        <v>0</v>
      </c>
      <c r="M118" s="100">
        <f>IFERROR(SR_demand_forecast!N59*Settings!$K$65,"-")</f>
        <v>0</v>
      </c>
      <c r="N118" s="100">
        <f>IFERROR(SR_demand_forecast!O59*Settings!$K$65,"-")</f>
        <v>0</v>
      </c>
      <c r="O118" s="100">
        <f>IFERROR(SR_demand_forecast!P59*Settings!$K$65,"-")</f>
        <v>0</v>
      </c>
      <c r="P118" s="100">
        <f>IFERROR(SR_demand_forecast!Q59*Settings!$K$65,"-")</f>
        <v>0</v>
      </c>
      <c r="Q118" s="100">
        <f>IFERROR(SR_demand_forecast!R59*Settings!$K$65,"-")</f>
        <v>0</v>
      </c>
      <c r="R118" s="100">
        <f>IFERROR(SR_demand_forecast!S59*Settings!$K$65,"-")</f>
        <v>0</v>
      </c>
      <c r="S118" s="100">
        <f>IFERROR(SR_demand_forecast!T59*Settings!$K$65,"-")</f>
        <v>0</v>
      </c>
      <c r="T118" s="100">
        <f>IFERROR(SR_demand_forecast!U59*Settings!$K$65,"-")</f>
        <v>0</v>
      </c>
      <c r="U118" s="100">
        <f>IFERROR(SR_demand_forecast!V59*Settings!$K$65,"-")</f>
        <v>0</v>
      </c>
      <c r="V118" s="100">
        <f>IFERROR(SR_demand_forecast!W59*Settings!$K$65,"-")</f>
        <v>0</v>
      </c>
    </row>
    <row r="119" spans="1:22" x14ac:dyDescent="0.3">
      <c r="A119" s="179"/>
      <c r="B119" s="47" t="s">
        <v>60</v>
      </c>
      <c r="C119" s="100">
        <f>IFERROR(SR_demand_forecast!D60*Settings!$K$65,"-")</f>
        <v>6723.073075662558</v>
      </c>
      <c r="D119" s="100">
        <f>IFERROR(SR_demand_forecast!E60*Settings!$K$65,"-")</f>
        <v>6723.073075662558</v>
      </c>
      <c r="E119" s="100">
        <f>IFERROR(SR_demand_forecast!F60*Settings!$K$65,"-")</f>
        <v>6723.073075662558</v>
      </c>
      <c r="F119" s="100">
        <f>IFERROR(SR_demand_forecast!G60*Settings!$K$65,"-")</f>
        <v>6723.073075662558</v>
      </c>
      <c r="G119" s="100">
        <f>IFERROR(SR_demand_forecast!H60*Settings!$K$65,"-")</f>
        <v>7277.2705111272662</v>
      </c>
      <c r="H119" s="100">
        <f>IFERROR(SR_demand_forecast!I60*Settings!$K$65,"-")</f>
        <v>7422.815921349812</v>
      </c>
      <c r="I119" s="100">
        <f>IFERROR(SR_demand_forecast!J60*Settings!$K$65,"-")</f>
        <v>7571.2722397768084</v>
      </c>
      <c r="J119" s="100">
        <f>IFERROR(SR_demand_forecast!K60*Settings!$K$65,"-")</f>
        <v>7722.697684572342</v>
      </c>
      <c r="K119" s="100">
        <f>IFERROR(SR_demand_forecast!L60*Settings!$K$65,"-")</f>
        <v>7877.151638263791</v>
      </c>
      <c r="L119" s="100">
        <f>IFERROR(SR_demand_forecast!M60*Settings!$K$65,"-")</f>
        <v>8034.6946710290667</v>
      </c>
      <c r="M119" s="100">
        <f>IFERROR(SR_demand_forecast!N60*Settings!$K$65,"-")</f>
        <v>8195.3885644496477</v>
      </c>
      <c r="N119" s="100">
        <f>IFERROR(SR_demand_forecast!O60*Settings!$K$65,"-")</f>
        <v>8359.2963357386398</v>
      </c>
      <c r="O119" s="100">
        <f>IFERROR(SR_demand_forecast!P60*Settings!$K$65,"-")</f>
        <v>8526.4822624534136</v>
      </c>
      <c r="P119" s="100">
        <f>IFERROR(SR_demand_forecast!Q60*Settings!$K$65,"-")</f>
        <v>8697.011907702481</v>
      </c>
      <c r="Q119" s="100">
        <f>IFERROR(SR_demand_forecast!R60*Settings!$K$65,"-")</f>
        <v>8870.9521458565323</v>
      </c>
      <c r="R119" s="100">
        <f>IFERROR(SR_demand_forecast!S60*Settings!$K$65,"-")</f>
        <v>9048.371188773659</v>
      </c>
      <c r="S119" s="100">
        <f>IFERROR(SR_demand_forecast!T60*Settings!$K$65,"-")</f>
        <v>9229.3386125491343</v>
      </c>
      <c r="T119" s="100">
        <f>IFERROR(SR_demand_forecast!U60*Settings!$K$65,"-")</f>
        <v>9413.925384800119</v>
      </c>
      <c r="U119" s="100">
        <f>IFERROR(SR_demand_forecast!V60*Settings!$K$65,"-")</f>
        <v>9602.2038924961198</v>
      </c>
      <c r="V119" s="100">
        <f>IFERROR(SR_demand_forecast!W60*Settings!$K$65,"-")</f>
        <v>9794.2479703460413</v>
      </c>
    </row>
    <row r="120" spans="1:22" x14ac:dyDescent="0.3">
      <c r="A120" s="179"/>
      <c r="B120" s="47" t="s">
        <v>101</v>
      </c>
      <c r="C120" s="100">
        <f>IFERROR(SR_demand_forecast!D61*Settings!$K$65,"-")</f>
        <v>0</v>
      </c>
      <c r="D120" s="100">
        <f>IFERROR(SR_demand_forecast!E61*Settings!$K$65,"-")</f>
        <v>0</v>
      </c>
      <c r="E120" s="100">
        <f>IFERROR(SR_demand_forecast!F61*Settings!$K$65,"-")</f>
        <v>0</v>
      </c>
      <c r="F120" s="100">
        <f>IFERROR(SR_demand_forecast!G61*Settings!$K$65,"-")</f>
        <v>0</v>
      </c>
      <c r="G120" s="100">
        <f>IFERROR(SR_demand_forecast!H61*Settings!$K$65,"-")</f>
        <v>0</v>
      </c>
      <c r="H120" s="100">
        <f>IFERROR(SR_demand_forecast!I61*Settings!$K$65,"-")</f>
        <v>0</v>
      </c>
      <c r="I120" s="100">
        <f>IFERROR(SR_demand_forecast!J61*Settings!$K$65,"-")</f>
        <v>0</v>
      </c>
      <c r="J120" s="100">
        <f>IFERROR(SR_demand_forecast!K61*Settings!$K$65,"-")</f>
        <v>0</v>
      </c>
      <c r="K120" s="100">
        <f>IFERROR(SR_demand_forecast!L61*Settings!$K$65,"-")</f>
        <v>0</v>
      </c>
      <c r="L120" s="100">
        <f>IFERROR(SR_demand_forecast!M61*Settings!$K$65,"-")</f>
        <v>0</v>
      </c>
      <c r="M120" s="100">
        <f>IFERROR(SR_demand_forecast!N61*Settings!$K$65,"-")</f>
        <v>0</v>
      </c>
      <c r="N120" s="100">
        <f>IFERROR(SR_demand_forecast!O61*Settings!$K$65,"-")</f>
        <v>0</v>
      </c>
      <c r="O120" s="100">
        <f>IFERROR(SR_demand_forecast!P61*Settings!$K$65,"-")</f>
        <v>0</v>
      </c>
      <c r="P120" s="100">
        <f>IFERROR(SR_demand_forecast!Q61*Settings!$K$65,"-")</f>
        <v>0</v>
      </c>
      <c r="Q120" s="100">
        <f>IFERROR(SR_demand_forecast!R61*Settings!$K$65,"-")</f>
        <v>0</v>
      </c>
      <c r="R120" s="100">
        <f>IFERROR(SR_demand_forecast!S61*Settings!$K$65,"-")</f>
        <v>0</v>
      </c>
      <c r="S120" s="100">
        <f>IFERROR(SR_demand_forecast!T61*Settings!$K$65,"-")</f>
        <v>0</v>
      </c>
      <c r="T120" s="100">
        <f>IFERROR(SR_demand_forecast!U61*Settings!$K$65,"-")</f>
        <v>0</v>
      </c>
      <c r="U120" s="100">
        <f>IFERROR(SR_demand_forecast!V61*Settings!$K$65,"-")</f>
        <v>0</v>
      </c>
      <c r="V120" s="100">
        <f>IFERROR(SR_demand_forecast!W61*Settings!$K$65,"-")</f>
        <v>0</v>
      </c>
    </row>
    <row r="121" spans="1:22" x14ac:dyDescent="0.3">
      <c r="A121" s="179"/>
      <c r="B121" s="47" t="s">
        <v>58</v>
      </c>
      <c r="C121" s="100">
        <f>IFERROR(SR_demand_forecast!D62*Settings!$K$65,"-")</f>
        <v>107172.06261416659</v>
      </c>
      <c r="D121" s="100">
        <f>IFERROR(SR_demand_forecast!E62*Settings!$K$65,"-")</f>
        <v>114138.24668408741</v>
      </c>
      <c r="E121" s="100">
        <f>IFERROR(SR_demand_forecast!F62*Settings!$K$65,"-")</f>
        <v>121380.39881523971</v>
      </c>
      <c r="F121" s="100">
        <f>IFERROR(SR_demand_forecast!G62*Settings!$K$65,"-")</f>
        <v>128906.77125644479</v>
      </c>
      <c r="G121" s="100">
        <f>IFERROR(SR_demand_forecast!H62*Settings!$K$65,"-")</f>
        <v>139486.59365079633</v>
      </c>
      <c r="H121" s="100">
        <f>IFERROR(SR_demand_forecast!I62*Settings!$K$65,"-")</f>
        <v>148332.08830186329</v>
      </c>
      <c r="I121" s="100">
        <f>IFERROR(SR_demand_forecast!J62*Settings!$K$65,"-")</f>
        <v>157502.40111716616</v>
      </c>
      <c r="J121" s="100">
        <f>IFERROR(SR_demand_forecast!K62*Settings!$K$65,"-")</f>
        <v>167006.98662541388</v>
      </c>
      <c r="K121" s="100">
        <f>IFERROR(SR_demand_forecast!L62*Settings!$K$65,"-")</f>
        <v>176855.54760919823</v>
      </c>
      <c r="L121" s="100">
        <f>IFERROR(SR_demand_forecast!M62*Settings!$K$65,"-")</f>
        <v>187058.04125333737</v>
      </c>
      <c r="M121" s="100">
        <f>IFERROR(SR_demand_forecast!N62*Settings!$K$65,"-")</f>
        <v>189459.55129572703</v>
      </c>
      <c r="N121" s="100">
        <f>IFERROR(SR_demand_forecast!O62*Settings!$K$65,"-")</f>
        <v>191909.09153896445</v>
      </c>
      <c r="O121" s="100">
        <f>IFERROR(SR_demand_forecast!P62*Settings!$K$65,"-")</f>
        <v>194407.6225870667</v>
      </c>
      <c r="P121" s="100">
        <f>IFERROR(SR_demand_forecast!Q62*Settings!$K$65,"-")</f>
        <v>196956.12425613095</v>
      </c>
      <c r="Q121" s="100">
        <f>IFERROR(SR_demand_forecast!R62*Settings!$K$65,"-")</f>
        <v>199555.59595857648</v>
      </c>
      <c r="R121" s="100">
        <f>IFERROR(SR_demand_forecast!S62*Settings!$K$65,"-")</f>
        <v>202207.05709507089</v>
      </c>
      <c r="S121" s="100">
        <f>IFERROR(SR_demand_forecast!T62*Settings!$K$65,"-")</f>
        <v>204911.54745429524</v>
      </c>
      <c r="T121" s="100">
        <f>IFERROR(SR_demand_forecast!U62*Settings!$K$65,"-")</f>
        <v>207670.12762070409</v>
      </c>
      <c r="U121" s="100">
        <f>IFERROR(SR_demand_forecast!V62*Settings!$K$65,"-")</f>
        <v>210483.87939044108</v>
      </c>
      <c r="V121" s="100">
        <f>IFERROR(SR_demand_forecast!W62*Settings!$K$65,"-")</f>
        <v>213353.90619557281</v>
      </c>
    </row>
    <row r="122" spans="1:22" x14ac:dyDescent="0.3">
      <c r="A122" s="179"/>
      <c r="B122" s="47" t="s">
        <v>61</v>
      </c>
      <c r="C122" s="100">
        <f>IFERROR(SR_demand_forecast!D63*Settings!$K$65,"-")</f>
        <v>1526990.6860473976</v>
      </c>
      <c r="D122" s="100">
        <f>IFERROR(SR_demand_forecast!E63*Settings!$K$65,"-")</f>
        <v>1588070.3134892937</v>
      </c>
      <c r="E122" s="100">
        <f>IFERROR(SR_demand_forecast!F63*Settings!$K$65,"-")</f>
        <v>1651376.3918669748</v>
      </c>
      <c r="F122" s="100">
        <f>IFERROR(SR_demand_forecast!G63*Settings!$K$65,"-")</f>
        <v>1716973.5473668957</v>
      </c>
      <c r="G122" s="100">
        <f>IFERROR(SR_demand_forecast!H63*Settings!$K$65,"-")</f>
        <v>1784928.1006425952</v>
      </c>
      <c r="H122" s="100">
        <f>IFERROR(SR_demand_forecast!I63*Settings!$K$65,"-")</f>
        <v>1906575.985221205</v>
      </c>
      <c r="I122" s="100">
        <f>IFERROR(SR_demand_forecast!J63*Settings!$K$65,"-")</f>
        <v>1990328.1948605732</v>
      </c>
      <c r="J122" s="100">
        <f>IFERROR(SR_demand_forecast!K63*Settings!$K$65,"-")</f>
        <v>2076864.8935476902</v>
      </c>
      <c r="K122" s="100">
        <f>IFERROR(SR_demand_forecast!L63*Settings!$K$65,"-")</f>
        <v>2166263.9599606134</v>
      </c>
      <c r="L122" s="100">
        <f>IFERROR(SR_demand_forecast!M63*Settings!$K$65,"-")</f>
        <v>2258605.2741288985</v>
      </c>
      <c r="M122" s="100">
        <f>IFERROR(SR_demand_forecast!N63*Settings!$K$65,"-")</f>
        <v>2293925.8267982672</v>
      </c>
      <c r="N122" s="100">
        <f>IFERROR(SR_demand_forecast!O63*Settings!$K$65,"-")</f>
        <v>2329952.7905210233</v>
      </c>
      <c r="O122" s="100">
        <f>IFERROR(SR_demand_forecast!P63*Settings!$K$65,"-")</f>
        <v>2366700.2935182354</v>
      </c>
      <c r="P122" s="100">
        <f>IFERROR(SR_demand_forecast!Q63*Settings!$K$65,"-")</f>
        <v>2404182.7465753905</v>
      </c>
      <c r="Q122" s="100">
        <f>IFERROR(SR_demand_forecast!R63*Settings!$K$65,"-")</f>
        <v>2442414.8486936898</v>
      </c>
      <c r="R122" s="100">
        <f>IFERROR(SR_demand_forecast!S63*Settings!$K$65,"-")</f>
        <v>2481411.5928543541</v>
      </c>
      <c r="S122" s="100">
        <f>IFERROR(SR_demand_forecast!T63*Settings!$K$65,"-")</f>
        <v>2521188.2718982324</v>
      </c>
      <c r="T122" s="100">
        <f>IFERROR(SR_demand_forecast!U63*Settings!$K$65,"-")</f>
        <v>2561760.4845229881</v>
      </c>
      <c r="U122" s="100">
        <f>IFERROR(SR_demand_forecast!V63*Settings!$K$65,"-")</f>
        <v>2603144.1414002385</v>
      </c>
      <c r="V122" s="100">
        <f>IFERROR(SR_demand_forecast!W63*Settings!$K$65,"-")</f>
        <v>2645355.4714150345</v>
      </c>
    </row>
    <row r="123" spans="1:22" x14ac:dyDescent="0.3">
      <c r="A123" s="179"/>
      <c r="B123" s="48" t="s">
        <v>104</v>
      </c>
      <c r="C123" s="176">
        <f>SUM(C115:C122)</f>
        <v>25285304.636428826</v>
      </c>
      <c r="D123" s="176">
        <f>SUM(D115:D122)</f>
        <v>25207762.070718735</v>
      </c>
      <c r="E123" s="176">
        <f>SUM(E115:E122)</f>
        <v>27191789.775592726</v>
      </c>
      <c r="F123" s="176">
        <f>SUM(F115:F122)</f>
        <v>28300502.899871025</v>
      </c>
      <c r="G123" s="176">
        <f>SUM(G115:G122)</f>
        <v>30093774.40375882</v>
      </c>
      <c r="H123" s="176">
        <f>SUM(H115:H122)</f>
        <v>31620140.98063628</v>
      </c>
      <c r="I123" s="176">
        <f>SUM(I115:I122)</f>
        <v>33276548.158852547</v>
      </c>
      <c r="J123" s="176">
        <f>SUM(J115:J122)</f>
        <v>34963874.080597252</v>
      </c>
      <c r="K123" s="176">
        <f>SUM(K115:K122)</f>
        <v>36453040.361266002</v>
      </c>
      <c r="L123" s="176">
        <f>SUM(L115:L122)</f>
        <v>37991084.567589127</v>
      </c>
      <c r="M123" s="176">
        <f>SUM(M115:M122)</f>
        <v>40997826.56285765</v>
      </c>
      <c r="N123" s="176">
        <f>SUM(N115:N122)</f>
        <v>41686485.426924892</v>
      </c>
      <c r="O123" s="176">
        <f>SUM(O115:O122)</f>
        <v>42388917.468273491</v>
      </c>
      <c r="P123" s="176">
        <f>SUM(P115:P122)</f>
        <v>43105398.15044906</v>
      </c>
      <c r="Q123" s="176">
        <f>SUM(Q115:Q122)</f>
        <v>43836208.446268141</v>
      </c>
      <c r="R123" s="176">
        <f>SUM(R115:R122)</f>
        <v>44581634.948003583</v>
      </c>
      <c r="S123" s="176">
        <f>SUM(S115:S122)</f>
        <v>45341969.979773767</v>
      </c>
      <c r="T123" s="176">
        <f>SUM(T115:T122)</f>
        <v>46117511.71217934</v>
      </c>
      <c r="U123" s="176">
        <f>SUM(U115:U122)</f>
        <v>46908564.279233024</v>
      </c>
      <c r="V123" s="176">
        <f>SUM(V115:V122)</f>
        <v>47715437.897627771</v>
      </c>
    </row>
    <row r="124" spans="1:22" x14ac:dyDescent="0.3">
      <c r="A124" s="179"/>
      <c r="B124" s="177"/>
      <c r="C124" s="178"/>
      <c r="D124" s="178"/>
      <c r="E124" s="178"/>
      <c r="F124" s="178"/>
      <c r="G124" s="178"/>
      <c r="H124" s="178"/>
      <c r="I124" s="178"/>
      <c r="J124" s="178"/>
      <c r="K124" s="178"/>
      <c r="L124" s="178"/>
      <c r="M124" s="178"/>
      <c r="N124" s="178"/>
      <c r="O124" s="178"/>
      <c r="P124" s="178"/>
      <c r="Q124" s="178"/>
      <c r="R124" s="178"/>
      <c r="S124" s="178"/>
      <c r="T124" s="178"/>
      <c r="U124" s="178"/>
      <c r="V124" s="178"/>
    </row>
    <row r="125" spans="1:22" x14ac:dyDescent="0.3">
      <c r="A125" s="179"/>
      <c r="B125" s="177"/>
      <c r="C125" s="178"/>
      <c r="D125" s="178"/>
      <c r="E125" s="178"/>
      <c r="F125" s="178"/>
      <c r="G125" s="178"/>
      <c r="H125" s="178"/>
      <c r="I125" s="178"/>
      <c r="J125" s="178"/>
      <c r="K125" s="178"/>
      <c r="L125" s="178"/>
      <c r="M125" s="178"/>
      <c r="N125" s="178"/>
      <c r="O125" s="178"/>
      <c r="P125" s="178"/>
      <c r="Q125" s="178"/>
      <c r="R125" s="178"/>
      <c r="S125" s="178"/>
      <c r="T125" s="178"/>
      <c r="U125" s="178"/>
      <c r="V125" s="178"/>
    </row>
    <row r="126" spans="1:22" x14ac:dyDescent="0.3">
      <c r="A126" s="179"/>
      <c r="B126" s="177"/>
      <c r="C126" s="178"/>
      <c r="D126" s="178"/>
      <c r="E126" s="178"/>
      <c r="F126" s="178"/>
      <c r="G126" s="178"/>
      <c r="H126" s="178"/>
      <c r="I126" s="178"/>
      <c r="J126" s="178"/>
      <c r="K126" s="178"/>
      <c r="L126" s="178"/>
      <c r="M126" s="178"/>
      <c r="N126" s="178"/>
      <c r="O126" s="178"/>
      <c r="P126" s="178"/>
      <c r="Q126" s="178"/>
      <c r="R126" s="178"/>
      <c r="S126" s="178"/>
      <c r="T126" s="178"/>
      <c r="U126" s="178"/>
      <c r="V126" s="178"/>
    </row>
    <row r="127" spans="1:22" x14ac:dyDescent="0.3">
      <c r="A127" s="179"/>
      <c r="B127" s="177"/>
      <c r="C127" s="178"/>
      <c r="D127" s="178"/>
      <c r="E127" s="178"/>
      <c r="F127" s="178"/>
      <c r="G127" s="178"/>
      <c r="H127" s="178"/>
      <c r="I127" s="178"/>
      <c r="J127" s="178"/>
      <c r="K127" s="178"/>
      <c r="L127" s="178"/>
      <c r="M127" s="178"/>
      <c r="N127" s="178"/>
      <c r="O127" s="178"/>
      <c r="P127" s="178"/>
      <c r="Q127" s="178"/>
      <c r="R127" s="178"/>
      <c r="S127" s="178"/>
      <c r="T127" s="178"/>
      <c r="U127" s="178"/>
      <c r="V127" s="178"/>
    </row>
    <row r="128" spans="1:22" x14ac:dyDescent="0.3">
      <c r="A128" s="179"/>
      <c r="B128" s="177"/>
      <c r="C128" s="178"/>
      <c r="D128" s="178"/>
      <c r="E128" s="178"/>
      <c r="F128" s="178"/>
      <c r="G128" s="178"/>
      <c r="H128" s="178"/>
      <c r="I128" s="178"/>
      <c r="J128" s="178"/>
      <c r="K128" s="178"/>
      <c r="L128" s="178"/>
      <c r="M128" s="178"/>
      <c r="N128" s="178"/>
      <c r="O128" s="178"/>
      <c r="P128" s="178"/>
      <c r="Q128" s="178"/>
      <c r="R128" s="178"/>
      <c r="S128" s="178"/>
      <c r="T128" s="178"/>
      <c r="U128" s="178"/>
      <c r="V128" s="178"/>
    </row>
    <row r="129" spans="1:22" x14ac:dyDescent="0.3">
      <c r="A129" s="179"/>
    </row>
    <row r="130" spans="1:22" x14ac:dyDescent="0.3">
      <c r="A130" s="179"/>
    </row>
    <row r="131" spans="1:22" x14ac:dyDescent="0.3">
      <c r="A131" s="179"/>
      <c r="B131" s="49" t="s">
        <v>226</v>
      </c>
      <c r="L131" s="34"/>
      <c r="M131" s="34"/>
    </row>
    <row r="132" spans="1:22" x14ac:dyDescent="0.3">
      <c r="A132" s="179"/>
      <c r="B132" s="97" t="s">
        <v>102</v>
      </c>
      <c r="C132" s="97">
        <v>2021</v>
      </c>
      <c r="D132" s="98">
        <v>2022</v>
      </c>
      <c r="E132" s="97">
        <v>2023</v>
      </c>
      <c r="F132" s="98">
        <v>2024</v>
      </c>
      <c r="G132" s="97">
        <v>2025</v>
      </c>
      <c r="H132" s="98">
        <v>2026</v>
      </c>
      <c r="I132" s="97">
        <v>2027</v>
      </c>
      <c r="J132" s="98">
        <v>2028</v>
      </c>
      <c r="K132" s="97">
        <v>2029</v>
      </c>
      <c r="L132" s="98">
        <v>2030</v>
      </c>
      <c r="M132" s="97">
        <v>2031</v>
      </c>
      <c r="N132" s="98">
        <v>2032</v>
      </c>
      <c r="O132" s="97">
        <v>2033</v>
      </c>
      <c r="P132" s="98">
        <v>2034</v>
      </c>
      <c r="Q132" s="97">
        <v>2035</v>
      </c>
      <c r="R132" s="98">
        <v>2036</v>
      </c>
      <c r="S132" s="97">
        <v>2037</v>
      </c>
      <c r="T132" s="98">
        <v>2038</v>
      </c>
      <c r="U132" s="97">
        <v>2039</v>
      </c>
      <c r="V132" s="98">
        <v>2040</v>
      </c>
    </row>
    <row r="133" spans="1:22" x14ac:dyDescent="0.3">
      <c r="A133" s="179"/>
      <c r="B133" s="47" t="s">
        <v>59</v>
      </c>
      <c r="C133" s="100">
        <f>IFERROR(SR_demand_forecast!D129*Settings!$K$65,"-")</f>
        <v>7379577.8766118819</v>
      </c>
      <c r="D133" s="100">
        <f>IFERROR(SR_demand_forecast!E129*Settings!$K$65,"-")</f>
        <v>8077283.4213097328</v>
      </c>
      <c r="E133" s="100">
        <f>IFERROR(SR_demand_forecast!F129*Settings!$K$65,"-")</f>
        <v>8802628.8395090755</v>
      </c>
      <c r="F133" s="100">
        <f>IFERROR(SR_demand_forecast!G129*Settings!$K$65,"-")</f>
        <v>9556440.6439320911</v>
      </c>
      <c r="G133" s="100">
        <f>IFERROR(SR_demand_forecast!H129*Settings!$K$65,"-")</f>
        <v>10339567.351860445</v>
      </c>
      <c r="H133" s="100">
        <f>IFERROR(SR_demand_forecast!I129*Settings!$K$65,"-")</f>
        <v>11152880.034712581</v>
      </c>
      <c r="I133" s="100">
        <f>IFERROR(SR_demand_forecast!J129*Settings!$K$65,"-")</f>
        <v>11997272.880802285</v>
      </c>
      <c r="J133" s="100">
        <f>IFERROR(SR_demand_forecast!K129*Settings!$K$65,"-")</f>
        <v>12873663.77158591</v>
      </c>
      <c r="K133" s="100">
        <f>IFERROR(SR_demand_forecast!L129*Settings!$K$65,"-")</f>
        <v>13782994.871712785</v>
      </c>
      <c r="L133" s="100">
        <f>IFERROR(SR_demand_forecast!M129*Settings!$K$65,"-")</f>
        <v>14726233.233200323</v>
      </c>
      <c r="M133" s="100">
        <f>IFERROR(SR_demand_forecast!N129*Settings!$K$65,"-")</f>
        <v>17298345.261562616</v>
      </c>
      <c r="N133" s="100">
        <f>IFERROR(SR_demand_forecast!O129*Settings!$K$65,"-")</f>
        <v>17543681.559385519</v>
      </c>
      <c r="O133" s="100">
        <f>IFERROR(SR_demand_forecast!P129*Settings!$K$65,"-")</f>
        <v>17793924.583164886</v>
      </c>
      <c r="P133" s="100">
        <f>IFERROR(SR_demand_forecast!Q129*Settings!$K$65,"-")</f>
        <v>18049172.467419844</v>
      </c>
      <c r="Q133" s="100">
        <f>IFERROR(SR_demand_forecast!R129*Settings!$K$65,"-")</f>
        <v>18309525.309359897</v>
      </c>
      <c r="R133" s="100">
        <f>IFERROR(SR_demand_forecast!S129*Settings!$K$65,"-")</f>
        <v>18575085.208138745</v>
      </c>
      <c r="S133" s="100">
        <f>IFERROR(SR_demand_forecast!T129*Settings!$K$65,"-")</f>
        <v>18845956.304893181</v>
      </c>
      <c r="T133" s="100">
        <f>IFERROR(SR_demand_forecast!U129*Settings!$K$65,"-")</f>
        <v>19122244.823582701</v>
      </c>
      <c r="U133" s="100">
        <f>IFERROR(SR_demand_forecast!V129*Settings!$K$65,"-")</f>
        <v>19404059.11264601</v>
      </c>
      <c r="V133" s="100">
        <f>IFERROR(SR_demand_forecast!W129*Settings!$K$65,"-")</f>
        <v>19691509.687490586</v>
      </c>
    </row>
    <row r="134" spans="1:22" x14ac:dyDescent="0.3">
      <c r="A134" s="179"/>
      <c r="B134" s="47" t="s">
        <v>57</v>
      </c>
      <c r="C134" s="100">
        <f>IFERROR(SR_demand_forecast!D130*Settings!$K$65,"-")</f>
        <v>17436572.522195585</v>
      </c>
      <c r="D134" s="100">
        <f>IFERROR(SR_demand_forecast!E130*Settings!$K$65,"-")</f>
        <v>17919573.755600266</v>
      </c>
      <c r="E134" s="100">
        <f>IFERROR(SR_demand_forecast!F130*Settings!$K$65,"-")</f>
        <v>20446449.240554169</v>
      </c>
      <c r="F134" s="100">
        <f>IFERROR(SR_demand_forecast!G130*Settings!$K$65,"-")</f>
        <v>22158303.770055532</v>
      </c>
      <c r="G134" s="100">
        <f>IFERROR(SR_demand_forecast!H130*Settings!$K$65,"-")</f>
        <v>24575105.09273285</v>
      </c>
      <c r="H134" s="100">
        <f>IFERROR(SR_demand_forecast!I130*Settings!$K$65,"-")</f>
        <v>26700588.227972277</v>
      </c>
      <c r="I134" s="100">
        <f>IFERROR(SR_demand_forecast!J130*Settings!$K$65,"-")</f>
        <v>29021621.437811658</v>
      </c>
      <c r="J134" s="100">
        <f>IFERROR(SR_demand_forecast!K130*Settings!$K$65,"-")</f>
        <v>31399218.946609322</v>
      </c>
      <c r="K134" s="100">
        <f>IFERROR(SR_demand_forecast!L130*Settings!$K$65,"-")</f>
        <v>33605062.341565438</v>
      </c>
      <c r="L134" s="100">
        <f>IFERROR(SR_demand_forecast!M130*Settings!$K$65,"-")</f>
        <v>35886969.301864862</v>
      </c>
      <c r="M134" s="100">
        <f>IFERROR(SR_demand_forecast!N130*Settings!$K$65,"-")</f>
        <v>36585232.831716485</v>
      </c>
      <c r="N134" s="100">
        <f>IFERROR(SR_demand_forecast!O130*Settings!$K$65,"-")</f>
        <v>37297461.632165141</v>
      </c>
      <c r="O134" s="100">
        <f>IFERROR(SR_demand_forecast!P130*Settings!$K$65,"-")</f>
        <v>38023935.00862278</v>
      </c>
      <c r="P134" s="100">
        <f>IFERROR(SR_demand_forecast!Q130*Settings!$K$65,"-")</f>
        <v>38764937.85260956</v>
      </c>
      <c r="Q134" s="100">
        <f>IFERROR(SR_demand_forecast!R130*Settings!$K$65,"-")</f>
        <v>39520760.753476076</v>
      </c>
      <c r="R134" s="100">
        <f>IFERROR(SR_demand_forecast!S130*Settings!$K$65,"-")</f>
        <v>40291700.112359919</v>
      </c>
      <c r="S134" s="100">
        <f>IFERROR(SR_demand_forecast!T130*Settings!$K$65,"-")</f>
        <v>41078058.258421451</v>
      </c>
      <c r="T134" s="100">
        <f>IFERROR(SR_demand_forecast!U130*Settings!$K$65,"-")</f>
        <v>41880143.567404211</v>
      </c>
      <c r="U134" s="100">
        <f>IFERROR(SR_demand_forecast!V130*Settings!$K$65,"-")</f>
        <v>42698270.582566619</v>
      </c>
      <c r="V134" s="100">
        <f>IFERROR(SR_demand_forecast!W130*Settings!$K$65,"-")</f>
        <v>43532760.13803228</v>
      </c>
    </row>
    <row r="135" spans="1:22" x14ac:dyDescent="0.3">
      <c r="A135" s="179"/>
      <c r="B135" s="47" t="s">
        <v>56</v>
      </c>
      <c r="C135" s="100">
        <f>IFERROR(SR_demand_forecast!D131*Settings!$K$65,"-")</f>
        <v>120810.92226082014</v>
      </c>
      <c r="D135" s="100">
        <f>IFERROR(SR_demand_forecast!E131*Settings!$K$65,"-")</f>
        <v>138759.97356814198</v>
      </c>
      <c r="E135" s="100">
        <f>IFERROR(SR_demand_forecast!F131*Settings!$K$65,"-")</f>
        <v>197515.50267453282</v>
      </c>
      <c r="F135" s="100">
        <f>IFERROR(SR_demand_forecast!G131*Settings!$K$65,"-")</f>
        <v>219780.88661238927</v>
      </c>
      <c r="G135" s="100">
        <f>IFERROR(SR_demand_forecast!H131*Settings!$K$65,"-")</f>
        <v>242857.87970669018</v>
      </c>
      <c r="H135" s="100">
        <f>IFERROR(SR_demand_forecast!I131*Settings!$K$65,"-")</f>
        <v>266770.04017011815</v>
      </c>
      <c r="I135" s="100">
        <f>IFERROR(SR_demand_forecast!J131*Settings!$K$65,"-")</f>
        <v>291541.54390020052</v>
      </c>
      <c r="J135" s="100">
        <f>IFERROR(SR_demand_forecast!K131*Settings!$K$65,"-")</f>
        <v>317197.19976341812</v>
      </c>
      <c r="K135" s="100">
        <f>IFERROR(SR_demand_forecast!L131*Settings!$K$65,"-")</f>
        <v>343762.46524360444</v>
      </c>
      <c r="L135" s="100">
        <f>IFERROR(SR_demand_forecast!M131*Settings!$K$65,"-")</f>
        <v>371263.46246309276</v>
      </c>
      <c r="M135" s="100">
        <f>IFERROR(SR_demand_forecast!N131*Settings!$K$65,"-")</f>
        <v>378688.73171235458</v>
      </c>
      <c r="N135" s="100">
        <f>IFERROR(SR_demand_forecast!O131*Settings!$K$65,"-")</f>
        <v>386262.50634660159</v>
      </c>
      <c r="O135" s="100">
        <f>IFERROR(SR_demand_forecast!P131*Settings!$K$65,"-")</f>
        <v>393987.75647353369</v>
      </c>
      <c r="P135" s="100">
        <f>IFERROR(SR_demand_forecast!Q131*Settings!$K$65,"-")</f>
        <v>401867.51160300436</v>
      </c>
      <c r="Q135" s="100">
        <f>IFERROR(SR_demand_forecast!R131*Settings!$K$65,"-")</f>
        <v>409904.86183506448</v>
      </c>
      <c r="R135" s="100">
        <f>IFERROR(SR_demand_forecast!S131*Settings!$K$65,"-")</f>
        <v>418102.95907176565</v>
      </c>
      <c r="S135" s="100">
        <f>IFERROR(SR_demand_forecast!T131*Settings!$K$65,"-")</f>
        <v>426465.01825320109</v>
      </c>
      <c r="T135" s="100">
        <f>IFERROR(SR_demand_forecast!U131*Settings!$K$65,"-")</f>
        <v>434994.3186182651</v>
      </c>
      <c r="U135" s="100">
        <f>IFERROR(SR_demand_forecast!V131*Settings!$K$65,"-")</f>
        <v>443694.20499063039</v>
      </c>
      <c r="V135" s="100">
        <f>IFERROR(SR_demand_forecast!W131*Settings!$K$65,"-")</f>
        <v>452568.08909044293</v>
      </c>
    </row>
    <row r="136" spans="1:22" x14ac:dyDescent="0.3">
      <c r="A136" s="179"/>
      <c r="B136" s="47" t="s">
        <v>100</v>
      </c>
      <c r="C136" s="100">
        <f>IFERROR(SR_demand_forecast!D132*Settings!$K$65,"-")</f>
        <v>0</v>
      </c>
      <c r="D136" s="100">
        <f>IFERROR(SR_demand_forecast!E132*Settings!$K$65,"-")</f>
        <v>0</v>
      </c>
      <c r="E136" s="100">
        <f>IFERROR(SR_demand_forecast!F132*Settings!$K$65,"-")</f>
        <v>0</v>
      </c>
      <c r="F136" s="100">
        <f>IFERROR(SR_demand_forecast!G132*Settings!$K$65,"-")</f>
        <v>0</v>
      </c>
      <c r="G136" s="100">
        <f>IFERROR(SR_demand_forecast!H132*Settings!$K$65,"-")</f>
        <v>0</v>
      </c>
      <c r="H136" s="100">
        <f>IFERROR(SR_demand_forecast!I132*Settings!$K$65,"-")</f>
        <v>0</v>
      </c>
      <c r="I136" s="100">
        <f>IFERROR(SR_demand_forecast!J132*Settings!$K$65,"-")</f>
        <v>0</v>
      </c>
      <c r="J136" s="100">
        <f>IFERROR(SR_demand_forecast!K132*Settings!$K$65,"-")</f>
        <v>0</v>
      </c>
      <c r="K136" s="100">
        <f>IFERROR(SR_demand_forecast!L132*Settings!$K$65,"-")</f>
        <v>0</v>
      </c>
      <c r="L136" s="100">
        <f>IFERROR(SR_demand_forecast!M132*Settings!$K$65,"-")</f>
        <v>0</v>
      </c>
      <c r="M136" s="100">
        <f>IFERROR(SR_demand_forecast!N132*Settings!$K$65,"-")</f>
        <v>0</v>
      </c>
      <c r="N136" s="100">
        <f>IFERROR(SR_demand_forecast!O132*Settings!$K$65,"-")</f>
        <v>0</v>
      </c>
      <c r="O136" s="100">
        <f>IFERROR(SR_demand_forecast!P132*Settings!$K$65,"-")</f>
        <v>0</v>
      </c>
      <c r="P136" s="100">
        <f>IFERROR(SR_demand_forecast!Q132*Settings!$K$65,"-")</f>
        <v>0</v>
      </c>
      <c r="Q136" s="100">
        <f>IFERROR(SR_demand_forecast!R132*Settings!$K$65,"-")</f>
        <v>0</v>
      </c>
      <c r="R136" s="100">
        <f>IFERROR(SR_demand_forecast!S132*Settings!$K$65,"-")</f>
        <v>0</v>
      </c>
      <c r="S136" s="100">
        <f>IFERROR(SR_demand_forecast!T132*Settings!$K$65,"-")</f>
        <v>0</v>
      </c>
      <c r="T136" s="100">
        <f>IFERROR(SR_demand_forecast!U132*Settings!$K$65,"-")</f>
        <v>0</v>
      </c>
      <c r="U136" s="100">
        <f>IFERROR(SR_demand_forecast!V132*Settings!$K$65,"-")</f>
        <v>0</v>
      </c>
      <c r="V136" s="100">
        <f>IFERROR(SR_demand_forecast!W132*Settings!$K$65,"-")</f>
        <v>0</v>
      </c>
    </row>
    <row r="137" spans="1:22" x14ac:dyDescent="0.3">
      <c r="A137" s="179"/>
      <c r="B137" s="47" t="s">
        <v>60</v>
      </c>
      <c r="C137" s="100">
        <f>IFERROR(SR_demand_forecast!D133*Settings!$K$65,"-")</f>
        <v>7395.380383228814</v>
      </c>
      <c r="D137" s="100">
        <f>IFERROR(SR_demand_forecast!E133*Settings!$K$65,"-")</f>
        <v>8094.5799830977203</v>
      </c>
      <c r="E137" s="100">
        <f>IFERROR(SR_demand_forecast!F133*Settings!$K$65,"-")</f>
        <v>8821.4786440383559</v>
      </c>
      <c r="F137" s="100">
        <f>IFERROR(SR_demand_forecast!G133*Settings!$K$65,"-")</f>
        <v>9576.9046486536445</v>
      </c>
      <c r="G137" s="100">
        <f>IFERROR(SR_demand_forecast!H133*Settings!$K$65,"-")</f>
        <v>10915.905766690899</v>
      </c>
      <c r="H137" s="100">
        <f>IFERROR(SR_demand_forecast!I133*Settings!$K$65,"-")</f>
        <v>11876.5054741597</v>
      </c>
      <c r="I137" s="100">
        <f>IFERROR(SR_demand_forecast!J133*Settings!$K$65,"-")</f>
        <v>12871.162807620574</v>
      </c>
      <c r="J137" s="100">
        <f>IFERROR(SR_demand_forecast!K133*Settings!$K$65,"-")</f>
        <v>13900.855832230216</v>
      </c>
      <c r="K137" s="100">
        <f>IFERROR(SR_demand_forecast!L133*Settings!$K$65,"-")</f>
        <v>14966.588112701202</v>
      </c>
      <c r="L137" s="100">
        <f>IFERROR(SR_demand_forecast!M133*Settings!$K$65,"-")</f>
        <v>16069.389342058133</v>
      </c>
      <c r="M137" s="100">
        <f>IFERROR(SR_demand_forecast!N133*Settings!$K$65,"-")</f>
        <v>16390.777128899295</v>
      </c>
      <c r="N137" s="100">
        <f>IFERROR(SR_demand_forecast!O133*Settings!$K$65,"-")</f>
        <v>16718.59267147728</v>
      </c>
      <c r="O137" s="100">
        <f>IFERROR(SR_demand_forecast!P133*Settings!$K$65,"-")</f>
        <v>17052.964524906827</v>
      </c>
      <c r="P137" s="100">
        <f>IFERROR(SR_demand_forecast!Q133*Settings!$K$65,"-")</f>
        <v>17394.023815404962</v>
      </c>
      <c r="Q137" s="100">
        <f>IFERROR(SR_demand_forecast!R133*Settings!$K$65,"-")</f>
        <v>17741.904291713065</v>
      </c>
      <c r="R137" s="100">
        <f>IFERROR(SR_demand_forecast!S133*Settings!$K$65,"-")</f>
        <v>18096.742377547318</v>
      </c>
      <c r="S137" s="100">
        <f>IFERROR(SR_demand_forecast!T133*Settings!$K$65,"-")</f>
        <v>18458.677225098269</v>
      </c>
      <c r="T137" s="100">
        <f>IFERROR(SR_demand_forecast!U133*Settings!$K$65,"-")</f>
        <v>18827.850769600238</v>
      </c>
      <c r="U137" s="100">
        <f>IFERROR(SR_demand_forecast!V133*Settings!$K$65,"-")</f>
        <v>19204.40778499224</v>
      </c>
      <c r="V137" s="100">
        <f>IFERROR(SR_demand_forecast!W133*Settings!$K$65,"-")</f>
        <v>19588.495940692083</v>
      </c>
    </row>
    <row r="138" spans="1:22" x14ac:dyDescent="0.3">
      <c r="A138" s="179"/>
      <c r="B138" s="47" t="s">
        <v>101</v>
      </c>
      <c r="C138" s="100">
        <f>IFERROR(SR_demand_forecast!D134*Settings!$K$65,"-")</f>
        <v>0</v>
      </c>
      <c r="D138" s="100">
        <f>IFERROR(SR_demand_forecast!E134*Settings!$K$65,"-")</f>
        <v>0</v>
      </c>
      <c r="E138" s="100">
        <f>IFERROR(SR_demand_forecast!F134*Settings!$K$65,"-")</f>
        <v>0</v>
      </c>
      <c r="F138" s="100">
        <f>IFERROR(SR_demand_forecast!G134*Settings!$K$65,"-")</f>
        <v>0</v>
      </c>
      <c r="G138" s="100">
        <f>IFERROR(SR_demand_forecast!H134*Settings!$K$65,"-")</f>
        <v>0</v>
      </c>
      <c r="H138" s="100">
        <f>IFERROR(SR_demand_forecast!I134*Settings!$K$65,"-")</f>
        <v>0</v>
      </c>
      <c r="I138" s="100">
        <f>IFERROR(SR_demand_forecast!J134*Settings!$K$65,"-")</f>
        <v>0</v>
      </c>
      <c r="J138" s="100">
        <f>IFERROR(SR_demand_forecast!K134*Settings!$K$65,"-")</f>
        <v>0</v>
      </c>
      <c r="K138" s="100">
        <f>IFERROR(SR_demand_forecast!L134*Settings!$K$65,"-")</f>
        <v>0</v>
      </c>
      <c r="L138" s="100">
        <f>IFERROR(SR_demand_forecast!M134*Settings!$K$65,"-")</f>
        <v>0</v>
      </c>
      <c r="M138" s="100">
        <f>IFERROR(SR_demand_forecast!N134*Settings!$K$65,"-")</f>
        <v>0</v>
      </c>
      <c r="N138" s="100">
        <f>IFERROR(SR_demand_forecast!O134*Settings!$K$65,"-")</f>
        <v>0</v>
      </c>
      <c r="O138" s="100">
        <f>IFERROR(SR_demand_forecast!P134*Settings!$K$65,"-")</f>
        <v>0</v>
      </c>
      <c r="P138" s="100">
        <f>IFERROR(SR_demand_forecast!Q134*Settings!$K$65,"-")</f>
        <v>0</v>
      </c>
      <c r="Q138" s="100">
        <f>IFERROR(SR_demand_forecast!R134*Settings!$K$65,"-")</f>
        <v>0</v>
      </c>
      <c r="R138" s="100">
        <f>IFERROR(SR_demand_forecast!S134*Settings!$K$65,"-")</f>
        <v>0</v>
      </c>
      <c r="S138" s="100">
        <f>IFERROR(SR_demand_forecast!T134*Settings!$K$65,"-")</f>
        <v>0</v>
      </c>
      <c r="T138" s="100">
        <f>IFERROR(SR_demand_forecast!U134*Settings!$K$65,"-")</f>
        <v>0</v>
      </c>
      <c r="U138" s="100">
        <f>IFERROR(SR_demand_forecast!V134*Settings!$K$65,"-")</f>
        <v>0</v>
      </c>
      <c r="V138" s="100">
        <f>IFERROR(SR_demand_forecast!W134*Settings!$K$65,"-")</f>
        <v>0</v>
      </c>
    </row>
    <row r="139" spans="1:22" x14ac:dyDescent="0.3">
      <c r="A139" s="179"/>
      <c r="B139" s="47" t="s">
        <v>58</v>
      </c>
      <c r="C139" s="100">
        <f>IFERROR(SR_demand_forecast!D135*Settings!$K$65,"-")</f>
        <v>113870.316527552</v>
      </c>
      <c r="D139" s="100">
        <f>IFERROR(SR_demand_forecast!E135*Settings!$K$65,"-")</f>
        <v>127802.68466739365</v>
      </c>
      <c r="E139" s="100">
        <f>IFERROR(SR_demand_forecast!F135*Settings!$K$65,"-")</f>
        <v>142286.98892969824</v>
      </c>
      <c r="F139" s="100">
        <f>IFERROR(SR_demand_forecast!G135*Settings!$K$65,"-")</f>
        <v>157339.7338121084</v>
      </c>
      <c r="G139" s="100">
        <f>IFERROR(SR_demand_forecast!H135*Settings!$K$65,"-")</f>
        <v>175738.62090926745</v>
      </c>
      <c r="H139" s="100">
        <f>IFERROR(SR_demand_forecast!I135*Settings!$K$65,"-")</f>
        <v>192704.56966623195</v>
      </c>
      <c r="I139" s="100">
        <f>IFERROR(SR_demand_forecast!J135*Settings!$K$65,"-")</f>
        <v>210305.65394076484</v>
      </c>
      <c r="J139" s="100">
        <f>IFERROR(SR_demand_forecast!K135*Settings!$K$65,"-")</f>
        <v>228560.49277406608</v>
      </c>
      <c r="K139" s="100">
        <f>IFERROR(SR_demand_forecast!L135*Settings!$K$65,"-")</f>
        <v>247488.19591477665</v>
      </c>
      <c r="L139" s="100">
        <f>IFERROR(SR_demand_forecast!M135*Settings!$K$65,"-")</f>
        <v>267108.37599965953</v>
      </c>
      <c r="M139" s="100">
        <f>IFERROR(SR_demand_forecast!N135*Settings!$K$65,"-")</f>
        <v>271110.89273697563</v>
      </c>
      <c r="N139" s="100">
        <f>IFERROR(SR_demand_forecast!O135*Settings!$K$65,"-")</f>
        <v>275193.45980903809</v>
      </c>
      <c r="O139" s="100">
        <f>IFERROR(SR_demand_forecast!P135*Settings!$K$65,"-")</f>
        <v>279357.67822254176</v>
      </c>
      <c r="P139" s="100">
        <f>IFERROR(SR_demand_forecast!Q135*Settings!$K$65,"-")</f>
        <v>283605.1810043155</v>
      </c>
      <c r="Q139" s="100">
        <f>IFERROR(SR_demand_forecast!R135*Settings!$K$65,"-")</f>
        <v>287937.63384172472</v>
      </c>
      <c r="R139" s="100">
        <f>IFERROR(SR_demand_forecast!S135*Settings!$K$65,"-")</f>
        <v>292356.73573588207</v>
      </c>
      <c r="S139" s="100">
        <f>IFERROR(SR_demand_forecast!T135*Settings!$K$65,"-")</f>
        <v>296864.21966792265</v>
      </c>
      <c r="T139" s="100">
        <f>IFERROR(SR_demand_forecast!U135*Settings!$K$65,"-")</f>
        <v>301461.85327860405</v>
      </c>
      <c r="U139" s="100">
        <f>IFERROR(SR_demand_forecast!V135*Settings!$K$65,"-")</f>
        <v>306151.43956149905</v>
      </c>
      <c r="V139" s="100">
        <f>IFERROR(SR_demand_forecast!W135*Settings!$K$65,"-")</f>
        <v>310934.81757005194</v>
      </c>
    </row>
    <row r="140" spans="1:22" x14ac:dyDescent="0.3">
      <c r="A140" s="179"/>
      <c r="B140" s="47" t="s">
        <v>61</v>
      </c>
      <c r="C140" s="100">
        <f>IFERROR(SR_demand_forecast!D136*Settings!$K$65,"-")</f>
        <v>1576248.4501134427</v>
      </c>
      <c r="D140" s="100">
        <f>IFERROR(SR_demand_forecast!E136*Settings!$K$65,"-")</f>
        <v>1688556.1521840256</v>
      </c>
      <c r="E140" s="100">
        <f>IFERROR(SR_demand_forecast!F136*Settings!$K$65,"-")</f>
        <v>1805119.7250699147</v>
      </c>
      <c r="F140" s="100">
        <f>IFERROR(SR_demand_forecast!G136*Settings!$K$65,"-")</f>
        <v>1926064.4805228941</v>
      </c>
      <c r="G140" s="100">
        <f>IFERROR(SR_demand_forecast!H136*Settings!$K$65,"-")</f>
        <v>2051519.0404164928</v>
      </c>
      <c r="H140" s="100">
        <f>IFERROR(SR_demand_forecast!I136*Settings!$K$65,"-")</f>
        <v>2232883.2955044559</v>
      </c>
      <c r="I140" s="100">
        <f>IFERROR(SR_demand_forecast!J136*Settings!$K$65,"-")</f>
        <v>2378633.8940976416</v>
      </c>
      <c r="J140" s="100">
        <f>IFERROR(SR_demand_forecast!K136*Settings!$K$65,"-")</f>
        <v>2529518.394372616</v>
      </c>
      <c r="K140" s="100">
        <f>IFERROR(SR_demand_forecast!L136*Settings!$K$65,"-")</f>
        <v>2685683.8521572161</v>
      </c>
      <c r="L140" s="100">
        <f>IFERROR(SR_demand_forecast!M136*Settings!$K$65,"-")</f>
        <v>2847281.1519517144</v>
      </c>
      <c r="M140" s="100">
        <f>IFERROR(SR_demand_forecast!N136*Settings!$K$65,"-")</f>
        <v>2894375.22217754</v>
      </c>
      <c r="N140" s="100">
        <f>IFERROR(SR_demand_forecast!O136*Settings!$K$65,"-")</f>
        <v>2942411.1738078808</v>
      </c>
      <c r="O140" s="100">
        <f>IFERROR(SR_demand_forecast!P136*Settings!$K$65,"-")</f>
        <v>2991407.8444708302</v>
      </c>
      <c r="P140" s="100">
        <f>IFERROR(SR_demand_forecast!Q136*Settings!$K$65,"-")</f>
        <v>3041384.4485470373</v>
      </c>
      <c r="Q140" s="100">
        <f>IFERROR(SR_demand_forecast!R136*Settings!$K$65,"-")</f>
        <v>3092360.5847047698</v>
      </c>
      <c r="R140" s="100">
        <f>IFERROR(SR_demand_forecast!S136*Settings!$K$65,"-")</f>
        <v>3144356.2435856555</v>
      </c>
      <c r="S140" s="100">
        <f>IFERROR(SR_demand_forecast!T136*Settings!$K$65,"-")</f>
        <v>3197391.8156441599</v>
      </c>
      <c r="T140" s="100">
        <f>IFERROR(SR_demand_forecast!U136*Settings!$K$65,"-")</f>
        <v>3251488.0991438339</v>
      </c>
      <c r="U140" s="100">
        <f>IFERROR(SR_demand_forecast!V136*Settings!$K$65,"-")</f>
        <v>3306666.3083135015</v>
      </c>
      <c r="V140" s="100">
        <f>IFERROR(SR_demand_forecast!W136*Settings!$K$65,"-")</f>
        <v>3362948.0816665627</v>
      </c>
    </row>
    <row r="141" spans="1:22" x14ac:dyDescent="0.3">
      <c r="A141" s="179"/>
      <c r="B141" s="47" t="s">
        <v>104</v>
      </c>
      <c r="C141" s="176">
        <f>SUM(C133:C140)</f>
        <v>26634475.468092509</v>
      </c>
      <c r="D141" s="176">
        <f>SUM(D133:D140)</f>
        <v>27960070.567312654</v>
      </c>
      <c r="E141" s="176">
        <f>SUM(E133:E140)</f>
        <v>31402821.775381427</v>
      </c>
      <c r="F141" s="176">
        <f>SUM(F133:F140)</f>
        <v>34027506.419583671</v>
      </c>
      <c r="G141" s="176">
        <f>SUM(G133:G140)</f>
        <v>37395703.891392432</v>
      </c>
      <c r="H141" s="176">
        <f>SUM(H133:H140)</f>
        <v>40557702.673499823</v>
      </c>
      <c r="I141" s="176">
        <f>SUM(I133:I140)</f>
        <v>43912246.573360175</v>
      </c>
      <c r="J141" s="176">
        <f>SUM(J133:J140)</f>
        <v>47362059.660937563</v>
      </c>
      <c r="K141" s="176">
        <f>SUM(K133:K140)</f>
        <v>50679958.314706519</v>
      </c>
      <c r="L141" s="176">
        <f>SUM(L133:L140)</f>
        <v>54114924.914821714</v>
      </c>
      <c r="M141" s="176">
        <f>SUM(M133:M140)</f>
        <v>57444143.717034876</v>
      </c>
      <c r="N141" s="176">
        <f>SUM(N133:N140)</f>
        <v>58461728.924185649</v>
      </c>
      <c r="O141" s="176">
        <f>SUM(O133:O140)</f>
        <v>59499665.835479483</v>
      </c>
      <c r="P141" s="176">
        <f>SUM(P133:P140)</f>
        <v>60558361.484999172</v>
      </c>
      <c r="Q141" s="176">
        <f>SUM(Q133:Q140)</f>
        <v>61638231.047509246</v>
      </c>
      <c r="R141" s="176">
        <f>SUM(R133:R140)</f>
        <v>62739698.001269512</v>
      </c>
      <c r="S141" s="176">
        <f>SUM(S133:S140)</f>
        <v>63863194.294105008</v>
      </c>
      <c r="T141" s="176">
        <f>SUM(T133:T140)</f>
        <v>65009160.512797222</v>
      </c>
      <c r="U141" s="176">
        <f>SUM(U133:U140)</f>
        <v>66178046.055863261</v>
      </c>
      <c r="V141" s="176">
        <f>SUM(V133:V140)</f>
        <v>67370309.309790626</v>
      </c>
    </row>
    <row r="142" spans="1:22" x14ac:dyDescent="0.3">
      <c r="A142" s="179"/>
    </row>
    <row r="143" spans="1:22" x14ac:dyDescent="0.3">
      <c r="A143" s="179"/>
    </row>
    <row r="144" spans="1:22" x14ac:dyDescent="0.3">
      <c r="A144" s="179"/>
    </row>
    <row r="145" spans="1:22" x14ac:dyDescent="0.3">
      <c r="A145" s="179"/>
    </row>
    <row r="146" spans="1:22" x14ac:dyDescent="0.3">
      <c r="A146" s="179"/>
    </row>
    <row r="147" spans="1:22" x14ac:dyDescent="0.3">
      <c r="A147" s="179"/>
    </row>
    <row r="148" spans="1:22" x14ac:dyDescent="0.3">
      <c r="A148" s="179"/>
    </row>
    <row r="149" spans="1:22" x14ac:dyDescent="0.3">
      <c r="A149" s="179"/>
      <c r="B149" s="49" t="s">
        <v>227</v>
      </c>
      <c r="L149" s="34"/>
      <c r="M149" s="34"/>
    </row>
    <row r="150" spans="1:22" x14ac:dyDescent="0.3">
      <c r="A150" s="179"/>
      <c r="B150" s="97" t="s">
        <v>102</v>
      </c>
      <c r="C150" s="97">
        <v>2021</v>
      </c>
      <c r="D150" s="98">
        <v>2022</v>
      </c>
      <c r="E150" s="97">
        <v>2023</v>
      </c>
      <c r="F150" s="98">
        <v>2024</v>
      </c>
      <c r="G150" s="97">
        <v>2025</v>
      </c>
      <c r="H150" s="98">
        <v>2026</v>
      </c>
      <c r="I150" s="97">
        <v>2027</v>
      </c>
      <c r="J150" s="98">
        <v>2028</v>
      </c>
      <c r="K150" s="97">
        <v>2029</v>
      </c>
      <c r="L150" s="98">
        <v>2030</v>
      </c>
      <c r="M150" s="97">
        <v>2031</v>
      </c>
      <c r="N150" s="98">
        <v>2032</v>
      </c>
      <c r="O150" s="97">
        <v>2033</v>
      </c>
      <c r="P150" s="98">
        <v>2034</v>
      </c>
      <c r="Q150" s="97">
        <v>2035</v>
      </c>
      <c r="R150" s="98">
        <v>2036</v>
      </c>
      <c r="S150" s="97">
        <v>2037</v>
      </c>
      <c r="T150" s="98">
        <v>2038</v>
      </c>
      <c r="U150" s="97">
        <v>2039</v>
      </c>
      <c r="V150" s="98">
        <v>2040</v>
      </c>
    </row>
    <row r="151" spans="1:22" x14ac:dyDescent="0.3">
      <c r="A151" s="179"/>
      <c r="B151" s="47" t="s">
        <v>59</v>
      </c>
      <c r="C151" s="100">
        <f>IFERROR(SR_demand_forecast!D202*Settings!$K$65,"-")</f>
        <v>7715013.2346396958</v>
      </c>
      <c r="D151" s="100">
        <f>IFERROR(SR_demand_forecast!E202*Settings!$K$65,"-")</f>
        <v>8761571.5516864713</v>
      </c>
      <c r="E151" s="100">
        <f>IFERROR(SR_demand_forecast!F202*Settings!$K$65,"-")</f>
        <v>9849589.6789854858</v>
      </c>
      <c r="F151" s="100">
        <f>IFERROR(SR_demand_forecast!G202*Settings!$K$65,"-")</f>
        <v>10980307.385620005</v>
      </c>
      <c r="G151" s="100">
        <f>IFERROR(SR_demand_forecast!H202*Settings!$K$65,"-")</f>
        <v>12154997.447512537</v>
      </c>
      <c r="H151" s="100">
        <f>IFERROR(SR_demand_forecast!I202*Settings!$K$65,"-")</f>
        <v>13374966.471790746</v>
      </c>
      <c r="I151" s="100">
        <f>IFERROR(SR_demand_forecast!J202*Settings!$K$65,"-")</f>
        <v>14641555.740925299</v>
      </c>
      <c r="J151" s="100">
        <f>IFERROR(SR_demand_forecast!K202*Settings!$K$65,"-")</f>
        <v>15956142.077100735</v>
      </c>
      <c r="K151" s="100">
        <f>IFERROR(SR_demand_forecast!L202*Settings!$K$65,"-")</f>
        <v>17320138.727291051</v>
      </c>
      <c r="L151" s="100">
        <f>IFERROR(SR_demand_forecast!M202*Settings!$K$65,"-")</f>
        <v>18734996.269522354</v>
      </c>
      <c r="M151" s="100">
        <f>IFERROR(SR_demand_forecast!N202*Settings!$K$65,"-")</f>
        <v>21387283.558611084</v>
      </c>
      <c r="N151" s="100">
        <f>IFERROR(SR_demand_forecast!O202*Settings!$K$65,"-")</f>
        <v>21714398.622374959</v>
      </c>
      <c r="O151" s="100">
        <f>IFERROR(SR_demand_forecast!P202*Settings!$K$65,"-")</f>
        <v>22048055.987414118</v>
      </c>
      <c r="P151" s="100">
        <f>IFERROR(SR_demand_forecast!Q202*Settings!$K$65,"-")</f>
        <v>22388386.499754056</v>
      </c>
      <c r="Q151" s="100">
        <f>IFERROR(SR_demand_forecast!R202*Settings!$K$65,"-")</f>
        <v>22735523.622340795</v>
      </c>
      <c r="R151" s="100">
        <f>IFERROR(SR_demand_forecast!S202*Settings!$K$65,"-")</f>
        <v>23089603.48737926</v>
      </c>
      <c r="S151" s="100">
        <f>IFERROR(SR_demand_forecast!T202*Settings!$K$65,"-")</f>
        <v>23450764.949718509</v>
      </c>
      <c r="T151" s="100">
        <f>IFERROR(SR_demand_forecast!U202*Settings!$K$65,"-")</f>
        <v>23819149.641304538</v>
      </c>
      <c r="U151" s="100">
        <f>IFERROR(SR_demand_forecast!V202*Settings!$K$65,"-")</f>
        <v>24194902.026722278</v>
      </c>
      <c r="V151" s="100">
        <f>IFERROR(SR_demand_forecast!W202*Settings!$K$65,"-")</f>
        <v>24578169.459848382</v>
      </c>
    </row>
    <row r="152" spans="1:22" x14ac:dyDescent="0.3">
      <c r="A152" s="179"/>
      <c r="B152" s="47" t="s">
        <v>57</v>
      </c>
      <c r="C152" s="100">
        <f>IFERROR(SR_demand_forecast!D203*Settings!$K$65,"-")</f>
        <v>18215606.76962249</v>
      </c>
      <c r="D152" s="100">
        <f>IFERROR(SR_demand_forecast!E203*Settings!$K$65,"-")</f>
        <v>19508803.620351151</v>
      </c>
      <c r="E152" s="100">
        <f>IFERROR(SR_demand_forecast!F203*Settings!$K$65,"-")</f>
        <v>22877970.93362302</v>
      </c>
      <c r="F152" s="100">
        <f>IFERROR(SR_demand_forecast!G203*Settings!$K$65,"-")</f>
        <v>25465173.272629168</v>
      </c>
      <c r="G152" s="100">
        <f>IFERROR(SR_demand_forecast!H203*Settings!$K$65,"-")</f>
        <v>28791363.708514236</v>
      </c>
      <c r="H152" s="100">
        <f>IFERROR(SR_demand_forecast!I203*Settings!$K$65,"-")</f>
        <v>31861288.773688693</v>
      </c>
      <c r="I152" s="100">
        <f>IFERROR(SR_demand_forecast!J203*Settings!$K$65,"-")</f>
        <v>35162855.087214187</v>
      </c>
      <c r="J152" s="100">
        <f>IFERROR(SR_demand_forecast!K203*Settings!$K$65,"-")</f>
        <v>38558142.743627124</v>
      </c>
      <c r="K152" s="100">
        <f>IFERROR(SR_demand_forecast!L203*Settings!$K$65,"-")</f>
        <v>41819927.398643374</v>
      </c>
      <c r="L152" s="100">
        <f>IFERROR(SR_demand_forecast!M203*Settings!$K$65,"-")</f>
        <v>45197149.699886531</v>
      </c>
      <c r="M152" s="100">
        <f>IFERROR(SR_demand_forecast!N203*Settings!$K$65,"-")</f>
        <v>46081616.837698586</v>
      </c>
      <c r="N152" s="100">
        <f>IFERROR(SR_demand_forecast!O203*Settings!$K$65,"-")</f>
        <v>46983773.318266876</v>
      </c>
      <c r="O152" s="100">
        <f>IFERROR(SR_demand_forecast!P203*Settings!$K$65,"-")</f>
        <v>47903972.928446554</v>
      </c>
      <c r="P152" s="100">
        <f>IFERROR(SR_demand_forecast!Q203*Settings!$K$65,"-")</f>
        <v>48842576.53082981</v>
      </c>
      <c r="Q152" s="100">
        <f>IFERROR(SR_demand_forecast!R203*Settings!$K$65,"-")</f>
        <v>49799952.205260731</v>
      </c>
      <c r="R152" s="100">
        <f>IFERROR(SR_demand_forecast!S203*Settings!$K$65,"-")</f>
        <v>50776475.393180266</v>
      </c>
      <c r="S152" s="100">
        <f>IFERROR(SR_demand_forecast!T203*Settings!$K$65,"-")</f>
        <v>51772529.044858202</v>
      </c>
      <c r="T152" s="100">
        <f>IFERROR(SR_demand_forecast!U203*Settings!$K$65,"-")</f>
        <v>52788503.769569702</v>
      </c>
      <c r="U152" s="100">
        <f>IFERROR(SR_demand_forecast!V203*Settings!$K$65,"-")</f>
        <v>53824797.988775417</v>
      </c>
      <c r="V152" s="100">
        <f>IFERROR(SR_demand_forecast!W203*Settings!$K$65,"-")</f>
        <v>54881818.09236525</v>
      </c>
    </row>
    <row r="153" spans="1:22" x14ac:dyDescent="0.3">
      <c r="A153" s="179"/>
      <c r="B153" s="47" t="s">
        <v>56</v>
      </c>
      <c r="C153" s="100">
        <f>IFERROR(SR_demand_forecast!D204*Settings!$K$65,"-")</f>
        <v>134617.88480491386</v>
      </c>
      <c r="D153" s="100">
        <f>IFERROR(SR_demand_forecast!E204*Settings!$K$65,"-")</f>
        <v>166926.1771580932</v>
      </c>
      <c r="E153" s="100">
        <f>IFERROR(SR_demand_forecast!F204*Settings!$K$65,"-")</f>
        <v>240609.79416715822</v>
      </c>
      <c r="F153" s="100">
        <f>IFERROR(SR_demand_forecast!G204*Settings!$K$65,"-")</f>
        <v>278389.12304235972</v>
      </c>
      <c r="G153" s="100">
        <f>IFERROR(SR_demand_forecast!H204*Settings!$K$65,"-")</f>
        <v>317583.38115490251</v>
      </c>
      <c r="H153" s="100">
        <f>IFERROR(SR_demand_forecast!I204*Settings!$K$65,"-")</f>
        <v>358234.05394273001</v>
      </c>
      <c r="I153" s="100">
        <f>IFERROR(SR_demand_forecast!J204*Settings!$K$65,"-")</f>
        <v>400383.72028960875</v>
      </c>
      <c r="J153" s="100">
        <f>IFERROR(SR_demand_forecast!K204*Settings!$K$65,"-")</f>
        <v>444076.07966878533</v>
      </c>
      <c r="K153" s="100">
        <f>IFERROR(SR_demand_forecast!L204*Settings!$K$65,"-")</f>
        <v>489355.97993501328</v>
      </c>
      <c r="L153" s="100">
        <f>IFERROR(SR_demand_forecast!M204*Settings!$K$65,"-")</f>
        <v>536269.44578002288</v>
      </c>
      <c r="M153" s="100">
        <f>IFERROR(SR_demand_forecast!N204*Settings!$K$65,"-")</f>
        <v>546994.83469562337</v>
      </c>
      <c r="N153" s="100">
        <f>IFERROR(SR_demand_forecast!O204*Settings!$K$65,"-")</f>
        <v>557934.73138953582</v>
      </c>
      <c r="O153" s="100">
        <f>IFERROR(SR_demand_forecast!P204*Settings!$K$65,"-")</f>
        <v>569093.42601732665</v>
      </c>
      <c r="P153" s="100">
        <f>IFERROR(SR_demand_forecast!Q204*Settings!$K$65,"-")</f>
        <v>580475.29453767312</v>
      </c>
      <c r="Q153" s="100">
        <f>IFERROR(SR_demand_forecast!R204*Settings!$K$65,"-")</f>
        <v>592084.80042842659</v>
      </c>
      <c r="R153" s="100">
        <f>IFERROR(SR_demand_forecast!S204*Settings!$K$65,"-")</f>
        <v>603926.49643699499</v>
      </c>
      <c r="S153" s="100">
        <f>IFERROR(SR_demand_forecast!T204*Settings!$K$65,"-")</f>
        <v>616005.02636573499</v>
      </c>
      <c r="T153" s="100">
        <f>IFERROR(SR_demand_forecast!U204*Settings!$K$65,"-")</f>
        <v>628325.12689304969</v>
      </c>
      <c r="U153" s="100">
        <f>IFERROR(SR_demand_forecast!V204*Settings!$K$65,"-")</f>
        <v>640891.62943091057</v>
      </c>
      <c r="V153" s="100">
        <f>IFERROR(SR_demand_forecast!W204*Settings!$K$65,"-")</f>
        <v>653709.46201952884</v>
      </c>
    </row>
    <row r="154" spans="1:22" x14ac:dyDescent="0.3">
      <c r="A154" s="179"/>
      <c r="B154" s="47" t="s">
        <v>100</v>
      </c>
      <c r="C154" s="100">
        <f>IFERROR(SR_demand_forecast!D205*Settings!$K$65,"-")</f>
        <v>0</v>
      </c>
      <c r="D154" s="100">
        <f>IFERROR(SR_demand_forecast!E205*Settings!$K$65,"-")</f>
        <v>0</v>
      </c>
      <c r="E154" s="100">
        <f>IFERROR(SR_demand_forecast!F205*Settings!$K$65,"-")</f>
        <v>0</v>
      </c>
      <c r="F154" s="100">
        <f>IFERROR(SR_demand_forecast!G205*Settings!$K$65,"-")</f>
        <v>0</v>
      </c>
      <c r="G154" s="100">
        <f>IFERROR(SR_demand_forecast!H205*Settings!$K$65,"-")</f>
        <v>0</v>
      </c>
      <c r="H154" s="100">
        <f>IFERROR(SR_demand_forecast!I205*Settings!$K$65,"-")</f>
        <v>0</v>
      </c>
      <c r="I154" s="100">
        <f>IFERROR(SR_demand_forecast!J205*Settings!$K$65,"-")</f>
        <v>0</v>
      </c>
      <c r="J154" s="100">
        <f>IFERROR(SR_demand_forecast!K205*Settings!$K$65,"-")</f>
        <v>0</v>
      </c>
      <c r="K154" s="100">
        <f>IFERROR(SR_demand_forecast!L205*Settings!$K$65,"-")</f>
        <v>0</v>
      </c>
      <c r="L154" s="100">
        <f>IFERROR(SR_demand_forecast!M205*Settings!$K$65,"-")</f>
        <v>0</v>
      </c>
      <c r="M154" s="100">
        <f>IFERROR(SR_demand_forecast!N205*Settings!$K$65,"-")</f>
        <v>0</v>
      </c>
      <c r="N154" s="100">
        <f>IFERROR(SR_demand_forecast!O205*Settings!$K$65,"-")</f>
        <v>0</v>
      </c>
      <c r="O154" s="100">
        <f>IFERROR(SR_demand_forecast!P205*Settings!$K$65,"-")</f>
        <v>0</v>
      </c>
      <c r="P154" s="100">
        <f>IFERROR(SR_demand_forecast!Q205*Settings!$K$65,"-")</f>
        <v>0</v>
      </c>
      <c r="Q154" s="100">
        <f>IFERROR(SR_demand_forecast!R205*Settings!$K$65,"-")</f>
        <v>0</v>
      </c>
      <c r="R154" s="100">
        <f>IFERROR(SR_demand_forecast!S205*Settings!$K$65,"-")</f>
        <v>0</v>
      </c>
      <c r="S154" s="100">
        <f>IFERROR(SR_demand_forecast!T205*Settings!$K$65,"-")</f>
        <v>0</v>
      </c>
      <c r="T154" s="100">
        <f>IFERROR(SR_demand_forecast!U205*Settings!$K$65,"-")</f>
        <v>0</v>
      </c>
      <c r="U154" s="100">
        <f>IFERROR(SR_demand_forecast!V205*Settings!$K$65,"-")</f>
        <v>0</v>
      </c>
      <c r="V154" s="100">
        <f>IFERROR(SR_demand_forecast!W205*Settings!$K$65,"-")</f>
        <v>0</v>
      </c>
    </row>
    <row r="155" spans="1:22" x14ac:dyDescent="0.3">
      <c r="A155" s="179"/>
      <c r="B155" s="47" t="s">
        <v>60</v>
      </c>
      <c r="C155" s="100">
        <f>IFERROR(SR_demand_forecast!D206*Settings!$K$65,"-")</f>
        <v>8067.68769079507</v>
      </c>
      <c r="D155" s="100">
        <f>IFERROR(SR_demand_forecast!E206*Settings!$K$65,"-")</f>
        <v>9466.0868905328825</v>
      </c>
      <c r="E155" s="100">
        <f>IFERROR(SR_demand_forecast!F206*Settings!$K$65,"-")</f>
        <v>10919.884212414154</v>
      </c>
      <c r="F155" s="100">
        <f>IFERROR(SR_demand_forecast!G206*Settings!$K$65,"-")</f>
        <v>12430.736221644729</v>
      </c>
      <c r="G155" s="100">
        <f>IFERROR(SR_demand_forecast!H206*Settings!$K$65,"-")</f>
        <v>14554.541022254532</v>
      </c>
      <c r="H155" s="100">
        <f>IFERROR(SR_demand_forecast!I206*Settings!$K$65,"-")</f>
        <v>16330.195026969586</v>
      </c>
      <c r="I155" s="100">
        <f>IFERROR(SR_demand_forecast!J206*Settings!$K$65,"-")</f>
        <v>18171.05337546434</v>
      </c>
      <c r="J155" s="100">
        <f>IFERROR(SR_demand_forecast!K206*Settings!$K$65,"-")</f>
        <v>20079.013979888088</v>
      </c>
      <c r="K155" s="100">
        <f>IFERROR(SR_demand_forecast!L206*Settings!$K$65,"-")</f>
        <v>22056.024587138611</v>
      </c>
      <c r="L155" s="100">
        <f>IFERROR(SR_demand_forecast!M206*Settings!$K$65,"-")</f>
        <v>24104.084013087202</v>
      </c>
      <c r="M155" s="100">
        <f>IFERROR(SR_demand_forecast!N206*Settings!$K$65,"-")</f>
        <v>24586.165693348947</v>
      </c>
      <c r="N155" s="100">
        <f>IFERROR(SR_demand_forecast!O206*Settings!$K$65,"-")</f>
        <v>25077.889007215919</v>
      </c>
      <c r="O155" s="100">
        <f>IFERROR(SR_demand_forecast!P206*Settings!$K$65,"-")</f>
        <v>25579.446787360241</v>
      </c>
      <c r="P155" s="100">
        <f>IFERROR(SR_demand_forecast!Q206*Settings!$K$65,"-")</f>
        <v>26091.035723107445</v>
      </c>
      <c r="Q155" s="100">
        <f>IFERROR(SR_demand_forecast!R206*Settings!$K$65,"-")</f>
        <v>26612.856437569597</v>
      </c>
      <c r="R155" s="100">
        <f>IFERROR(SR_demand_forecast!S206*Settings!$K$65,"-")</f>
        <v>27145.113566320979</v>
      </c>
      <c r="S155" s="100">
        <f>IFERROR(SR_demand_forecast!T206*Settings!$K$65,"-")</f>
        <v>27688.015837647406</v>
      </c>
      <c r="T155" s="100">
        <f>IFERROR(SR_demand_forecast!U206*Settings!$K$65,"-")</f>
        <v>28241.776154400355</v>
      </c>
      <c r="U155" s="100">
        <f>IFERROR(SR_demand_forecast!V206*Settings!$K$65,"-")</f>
        <v>28806.611677488359</v>
      </c>
      <c r="V155" s="100">
        <f>IFERROR(SR_demand_forecast!W206*Settings!$K$65,"-")</f>
        <v>29382.743911038127</v>
      </c>
    </row>
    <row r="156" spans="1:22" x14ac:dyDescent="0.3">
      <c r="A156" s="179"/>
      <c r="B156" s="47" t="s">
        <v>101</v>
      </c>
      <c r="C156" s="100">
        <f>IFERROR(SR_demand_forecast!D207*Settings!$K$65,"-")</f>
        <v>0</v>
      </c>
      <c r="D156" s="100">
        <f>IFERROR(SR_demand_forecast!E207*Settings!$K$65,"-")</f>
        <v>0</v>
      </c>
      <c r="E156" s="100">
        <f>IFERROR(SR_demand_forecast!F207*Settings!$K$65,"-")</f>
        <v>0</v>
      </c>
      <c r="F156" s="100">
        <f>IFERROR(SR_demand_forecast!G207*Settings!$K$65,"-")</f>
        <v>0</v>
      </c>
      <c r="G156" s="100">
        <f>IFERROR(SR_demand_forecast!H207*Settings!$K$65,"-")</f>
        <v>0</v>
      </c>
      <c r="H156" s="100">
        <f>IFERROR(SR_demand_forecast!I207*Settings!$K$65,"-")</f>
        <v>0</v>
      </c>
      <c r="I156" s="100">
        <f>IFERROR(SR_demand_forecast!J207*Settings!$K$65,"-")</f>
        <v>0</v>
      </c>
      <c r="J156" s="100">
        <f>IFERROR(SR_demand_forecast!K207*Settings!$K$65,"-")</f>
        <v>0</v>
      </c>
      <c r="K156" s="100">
        <f>IFERROR(SR_demand_forecast!L207*Settings!$K$65,"-")</f>
        <v>0</v>
      </c>
      <c r="L156" s="100">
        <f>IFERROR(SR_demand_forecast!M207*Settings!$K$65,"-")</f>
        <v>0</v>
      </c>
      <c r="M156" s="100">
        <f>IFERROR(SR_demand_forecast!N207*Settings!$K$65,"-")</f>
        <v>0</v>
      </c>
      <c r="N156" s="100">
        <f>IFERROR(SR_demand_forecast!O207*Settings!$K$65,"-")</f>
        <v>0</v>
      </c>
      <c r="O156" s="100">
        <f>IFERROR(SR_demand_forecast!P207*Settings!$K$65,"-")</f>
        <v>0</v>
      </c>
      <c r="P156" s="100">
        <f>IFERROR(SR_demand_forecast!Q207*Settings!$K$65,"-")</f>
        <v>0</v>
      </c>
      <c r="Q156" s="100">
        <f>IFERROR(SR_demand_forecast!R207*Settings!$K$65,"-")</f>
        <v>0</v>
      </c>
      <c r="R156" s="100">
        <f>IFERROR(SR_demand_forecast!S207*Settings!$K$65,"-")</f>
        <v>0</v>
      </c>
      <c r="S156" s="100">
        <f>IFERROR(SR_demand_forecast!T207*Settings!$K$65,"-")</f>
        <v>0</v>
      </c>
      <c r="T156" s="100">
        <f>IFERROR(SR_demand_forecast!U207*Settings!$K$65,"-")</f>
        <v>0</v>
      </c>
      <c r="U156" s="100">
        <f>IFERROR(SR_demand_forecast!V207*Settings!$K$65,"-")</f>
        <v>0</v>
      </c>
      <c r="V156" s="100">
        <f>IFERROR(SR_demand_forecast!W207*Settings!$K$65,"-")</f>
        <v>0</v>
      </c>
    </row>
    <row r="157" spans="1:22" x14ac:dyDescent="0.3">
      <c r="A157" s="179"/>
      <c r="B157" s="47" t="s">
        <v>58</v>
      </c>
      <c r="C157" s="100">
        <f>IFERROR(SR_demand_forecast!D208*Settings!$K$65,"-")</f>
        <v>117219.44348424469</v>
      </c>
      <c r="D157" s="100">
        <f>IFERROR(SR_demand_forecast!E208*Settings!$K$65,"-")</f>
        <v>134634.90365904677</v>
      </c>
      <c r="E157" s="100">
        <f>IFERROR(SR_demand_forecast!F208*Settings!$K$65,"-")</f>
        <v>152740.28398692753</v>
      </c>
      <c r="F157" s="100">
        <f>IFERROR(SR_demand_forecast!G208*Settings!$K$65,"-")</f>
        <v>171556.2150899402</v>
      </c>
      <c r="G157" s="100">
        <f>IFERROR(SR_demand_forecast!H208*Settings!$K$65,"-")</f>
        <v>193864.63453850301</v>
      </c>
      <c r="H157" s="100">
        <f>IFERROR(SR_demand_forecast!I208*Settings!$K$65,"-")</f>
        <v>214890.81034841627</v>
      </c>
      <c r="I157" s="100">
        <f>IFERROR(SR_demand_forecast!J208*Settings!$K$65,"-")</f>
        <v>236707.28035256418</v>
      </c>
      <c r="J157" s="100">
        <f>IFERROR(SR_demand_forecast!K208*Settings!$K$65,"-")</f>
        <v>259337.24584839217</v>
      </c>
      <c r="K157" s="100">
        <f>IFERROR(SR_demand_forecast!L208*Settings!$K$65,"-")</f>
        <v>282804.52006756578</v>
      </c>
      <c r="L157" s="100">
        <f>IFERROR(SR_demand_forecast!M208*Settings!$K$65,"-")</f>
        <v>307133.5433728206</v>
      </c>
      <c r="M157" s="100">
        <f>IFERROR(SR_demand_forecast!N208*Settings!$K$65,"-")</f>
        <v>311936.56345759996</v>
      </c>
      <c r="N157" s="100">
        <f>IFERROR(SR_demand_forecast!O208*Settings!$K$65,"-")</f>
        <v>316835.64394407481</v>
      </c>
      <c r="O157" s="100">
        <f>IFERROR(SR_demand_forecast!P208*Settings!$K$65,"-")</f>
        <v>321832.70604027924</v>
      </c>
      <c r="P157" s="100">
        <f>IFERROR(SR_demand_forecast!Q208*Settings!$K$65,"-")</f>
        <v>326929.7093784078</v>
      </c>
      <c r="Q157" s="100">
        <f>IFERROR(SR_demand_forecast!R208*Settings!$K$65,"-")</f>
        <v>332128.65278329886</v>
      </c>
      <c r="R157" s="100">
        <f>IFERROR(SR_demand_forecast!S208*Settings!$K$65,"-")</f>
        <v>337431.57505628769</v>
      </c>
      <c r="S157" s="100">
        <f>IFERROR(SR_demand_forecast!T208*Settings!$K$65,"-")</f>
        <v>342840.55577473639</v>
      </c>
      <c r="T157" s="100">
        <f>IFERROR(SR_demand_forecast!U208*Settings!$K$65,"-")</f>
        <v>348357.71610755409</v>
      </c>
      <c r="U157" s="100">
        <f>IFERROR(SR_demand_forecast!V208*Settings!$K$65,"-")</f>
        <v>353985.21964702808</v>
      </c>
      <c r="V157" s="100">
        <f>IFERROR(SR_demand_forecast!W208*Settings!$K$65,"-")</f>
        <v>359725.27325729153</v>
      </c>
    </row>
    <row r="158" spans="1:22" x14ac:dyDescent="0.3">
      <c r="A158" s="179"/>
      <c r="B158" s="47" t="s">
        <v>61</v>
      </c>
      <c r="C158" s="100">
        <f>IFERROR(SR_demand_forecast!D209*Settings!$K$65,"-")</f>
        <v>1625506.2141794879</v>
      </c>
      <c r="D158" s="100">
        <f>IFERROR(SR_demand_forecast!E209*Settings!$K$65,"-")</f>
        <v>1789041.9908787578</v>
      </c>
      <c r="E158" s="100">
        <f>IFERROR(SR_demand_forecast!F209*Settings!$K$65,"-")</f>
        <v>1958863.0582728544</v>
      </c>
      <c r="F158" s="100">
        <f>IFERROR(SR_demand_forecast!G209*Settings!$K$65,"-")</f>
        <v>2135155.413678892</v>
      </c>
      <c r="G158" s="100">
        <f>IFERROR(SR_demand_forecast!H209*Settings!$K$65,"-")</f>
        <v>2318109.9801903912</v>
      </c>
      <c r="H158" s="100">
        <f>IFERROR(SR_demand_forecast!I209*Settings!$K$65,"-")</f>
        <v>2559190.605787707</v>
      </c>
      <c r="I158" s="100">
        <f>IFERROR(SR_demand_forecast!J209*Settings!$K$65,"-")</f>
        <v>2766939.5933347098</v>
      </c>
      <c r="J158" s="100">
        <f>IFERROR(SR_demand_forecast!K209*Settings!$K$65,"-")</f>
        <v>2982171.8951975419</v>
      </c>
      <c r="K158" s="100">
        <f>IFERROR(SR_demand_forecast!L209*Settings!$K$65,"-")</f>
        <v>3205103.7443538182</v>
      </c>
      <c r="L158" s="100">
        <f>IFERROR(SR_demand_forecast!M209*Settings!$K$65,"-")</f>
        <v>3435957.0297745303</v>
      </c>
      <c r="M158" s="100">
        <f>IFERROR(SR_demand_forecast!N209*Settings!$K$65,"-")</f>
        <v>3494824.6175568122</v>
      </c>
      <c r="N158" s="100">
        <f>IFERROR(SR_demand_forecast!O209*Settings!$K$65,"-")</f>
        <v>3554869.5570947388</v>
      </c>
      <c r="O158" s="100">
        <f>IFERROR(SR_demand_forecast!P209*Settings!$K$65,"-")</f>
        <v>3616115.3954234249</v>
      </c>
      <c r="P158" s="100">
        <f>IFERROR(SR_demand_forecast!Q209*Settings!$K$65,"-")</f>
        <v>3678586.1505186846</v>
      </c>
      <c r="Q158" s="100">
        <f>IFERROR(SR_demand_forecast!R209*Settings!$K$65,"-")</f>
        <v>3742306.3207158493</v>
      </c>
      <c r="R158" s="100">
        <f>IFERROR(SR_demand_forecast!S209*Settings!$K$65,"-")</f>
        <v>3807300.8943169564</v>
      </c>
      <c r="S158" s="100">
        <f>IFERROR(SR_demand_forecast!T209*Settings!$K$65,"-")</f>
        <v>3873595.359390087</v>
      </c>
      <c r="T158" s="100">
        <f>IFERROR(SR_demand_forecast!U209*Settings!$K$65,"-")</f>
        <v>3941215.7137646796</v>
      </c>
      <c r="U158" s="100">
        <f>IFERROR(SR_demand_forecast!V209*Settings!$K$65,"-")</f>
        <v>4010188.4752267646</v>
      </c>
      <c r="V158" s="100">
        <f>IFERROR(SR_demand_forecast!W209*Settings!$K$65,"-")</f>
        <v>4080540.6919180905</v>
      </c>
    </row>
    <row r="159" spans="1:22" x14ac:dyDescent="0.3">
      <c r="A159" s="179"/>
      <c r="B159" s="47" t="s">
        <v>104</v>
      </c>
      <c r="C159" s="176">
        <f>SUM(C151:C158)</f>
        <v>27816031.234421626</v>
      </c>
      <c r="D159" s="176">
        <f>SUM(D151:D158)</f>
        <v>30370444.330624055</v>
      </c>
      <c r="E159" s="176">
        <f>SUM(E151:E158)</f>
        <v>35090693.63324786</v>
      </c>
      <c r="F159" s="176">
        <f>SUM(F151:F158)</f>
        <v>39043012.146282002</v>
      </c>
      <c r="G159" s="176">
        <f>SUM(G151:G158)</f>
        <v>43790473.692932822</v>
      </c>
      <c r="H159" s="176">
        <f>SUM(H151:H158)</f>
        <v>48384900.910585262</v>
      </c>
      <c r="I159" s="176">
        <f>SUM(I151:I158)</f>
        <v>53226612.475491837</v>
      </c>
      <c r="J159" s="176">
        <f>SUM(J151:J158)</f>
        <v>58219949.055422463</v>
      </c>
      <c r="K159" s="176">
        <f>SUM(K151:K158)</f>
        <v>63139386.394877955</v>
      </c>
      <c r="L159" s="176">
        <f>SUM(L151:L158)</f>
        <v>68235610.07234934</v>
      </c>
      <c r="M159" s="176">
        <f>SUM(M151:M158)</f>
        <v>71847242.577713042</v>
      </c>
      <c r="N159" s="176">
        <f>SUM(N151:N158)</f>
        <v>73152889.762077391</v>
      </c>
      <c r="O159" s="176">
        <f>SUM(O151:O158)</f>
        <v>74484649.89012906</v>
      </c>
      <c r="P159" s="176">
        <f>SUM(P151:P158)</f>
        <v>75843045.220741734</v>
      </c>
      <c r="Q159" s="176">
        <f>SUM(Q151:Q158)</f>
        <v>77228608.457966655</v>
      </c>
      <c r="R159" s="176">
        <f>SUM(R151:R158)</f>
        <v>78641882.959936097</v>
      </c>
      <c r="S159" s="176">
        <f>SUM(S151:S158)</f>
        <v>80083422.951944917</v>
      </c>
      <c r="T159" s="176">
        <f>SUM(T151:T158)</f>
        <v>81553793.74379392</v>
      </c>
      <c r="U159" s="176">
        <f>SUM(U151:U158)</f>
        <v>83053571.951479882</v>
      </c>
      <c r="V159" s="176">
        <f>SUM(V151:V158)</f>
        <v>84583345.72331959</v>
      </c>
    </row>
    <row r="160" spans="1:22" x14ac:dyDescent="0.3">
      <c r="A160" s="179"/>
    </row>
    <row r="161" spans="1:22" x14ac:dyDescent="0.3">
      <c r="A161" s="179"/>
    </row>
    <row r="162" spans="1:22" x14ac:dyDescent="0.3">
      <c r="A162" s="179"/>
    </row>
    <row r="163" spans="1:22" x14ac:dyDescent="0.3">
      <c r="A163" s="179"/>
    </row>
    <row r="164" spans="1:22" x14ac:dyDescent="0.3">
      <c r="A164" s="179"/>
    </row>
    <row r="165" spans="1:22" x14ac:dyDescent="0.3">
      <c r="A165" s="179"/>
    </row>
    <row r="166" spans="1:22" x14ac:dyDescent="0.3">
      <c r="A166" s="179"/>
    </row>
    <row r="167" spans="1:22" x14ac:dyDescent="0.3">
      <c r="A167" s="179"/>
    </row>
    <row r="168" spans="1:22" x14ac:dyDescent="0.3">
      <c r="A168" s="179"/>
    </row>
    <row r="169" spans="1:22" x14ac:dyDescent="0.3">
      <c r="A169" s="180">
        <v>0.8</v>
      </c>
      <c r="B169" s="49" t="s">
        <v>225</v>
      </c>
      <c r="L169" s="34"/>
      <c r="M169" s="34"/>
    </row>
    <row r="170" spans="1:22" x14ac:dyDescent="0.3">
      <c r="A170" s="179"/>
      <c r="B170" s="97" t="s">
        <v>102</v>
      </c>
      <c r="C170" s="97">
        <v>2021</v>
      </c>
      <c r="D170" s="98">
        <v>2022</v>
      </c>
      <c r="E170" s="97">
        <v>2023</v>
      </c>
      <c r="F170" s="98">
        <v>2024</v>
      </c>
      <c r="G170" s="97">
        <v>2025</v>
      </c>
      <c r="H170" s="98">
        <v>2026</v>
      </c>
      <c r="I170" s="97">
        <v>2027</v>
      </c>
      <c r="J170" s="98">
        <v>2028</v>
      </c>
      <c r="K170" s="97">
        <v>2029</v>
      </c>
      <c r="L170" s="98">
        <v>2030</v>
      </c>
      <c r="M170" s="97">
        <v>2031</v>
      </c>
      <c r="N170" s="98">
        <v>2032</v>
      </c>
      <c r="O170" s="97">
        <v>2033</v>
      </c>
      <c r="P170" s="98">
        <v>2034</v>
      </c>
      <c r="Q170" s="97">
        <v>2035</v>
      </c>
      <c r="R170" s="98">
        <v>2036</v>
      </c>
      <c r="S170" s="97">
        <v>2037</v>
      </c>
      <c r="T170" s="98">
        <v>2038</v>
      </c>
      <c r="U170" s="97">
        <v>2039</v>
      </c>
      <c r="V170" s="98">
        <v>2040</v>
      </c>
    </row>
    <row r="171" spans="1:22" x14ac:dyDescent="0.3">
      <c r="A171" s="179"/>
      <c r="B171" s="47" t="s">
        <v>59</v>
      </c>
      <c r="C171" s="100">
        <f>IFERROR(SR_demand_forecast!D56*Settings!$K$67,"-")</f>
        <v>7735977.9445164325</v>
      </c>
      <c r="D171" s="100">
        <f>IFERROR(SR_demand_forecast!E56*Settings!$K$67,"-")</f>
        <v>7932207.6289627021</v>
      </c>
      <c r="E171" s="100">
        <f>IFERROR(SR_demand_forecast!F56*Settings!$K$67,"-")</f>
        <v>8136211.0278312676</v>
      </c>
      <c r="F171" s="100">
        <f>IFERROR(SR_demand_forecast!G56*Settings!$K$67,"-")</f>
        <v>8348220.5978252403</v>
      </c>
      <c r="G171" s="100">
        <f>IFERROR(SR_demand_forecast!H56*Settings!$K$67,"-")</f>
        <v>8568474.9844300896</v>
      </c>
      <c r="H171" s="100">
        <f>IFERROR(SR_demand_forecast!I56*Settings!$K$67,"-")</f>
        <v>8797219.1764822546</v>
      </c>
      <c r="I171" s="100">
        <f>IFERROR(SR_demand_forecast!J56*Settings!$K$67,"-")</f>
        <v>9034704.664444983</v>
      </c>
      <c r="J171" s="100">
        <f>IFERROR(SR_demand_forecast!K56*Settings!$K$67,"-")</f>
        <v>9281189.6024778783</v>
      </c>
      <c r="K171" s="100">
        <f>IFERROR(SR_demand_forecast!L56*Settings!$K$67,"-")</f>
        <v>9536938.9743885603</v>
      </c>
      <c r="L171" s="100">
        <f>IFERROR(SR_demand_forecast!M56*Settings!$K$67,"-")</f>
        <v>9802224.7635569312</v>
      </c>
      <c r="M171" s="100">
        <f>IFERROR(SR_demand_forecast!N56*Settings!$K$67,"-")</f>
        <v>12560555.042988639</v>
      </c>
      <c r="N171" s="100">
        <f>IFERROR(SR_demand_forecast!O56*Settings!$K$67,"-")</f>
        <v>12698556.710514024</v>
      </c>
      <c r="O171" s="100">
        <f>IFERROR(SR_demand_forecast!P56*Settings!$K$67,"-")</f>
        <v>12839318.411389917</v>
      </c>
      <c r="P171" s="100">
        <f>IFERROR(SR_demand_forecast!Q56*Settings!$K$67,"-")</f>
        <v>12982895.34628333</v>
      </c>
      <c r="Q171" s="100">
        <f>IFERROR(SR_demand_forecast!R56*Settings!$K$67,"-")</f>
        <v>13129343.819874611</v>
      </c>
      <c r="R171" s="100">
        <f>IFERROR(SR_demand_forecast!S56*Settings!$K$67,"-")</f>
        <v>13278721.262937712</v>
      </c>
      <c r="S171" s="100">
        <f>IFERROR(SR_demand_forecast!T56*Settings!$K$67,"-")</f>
        <v>13431086.254862083</v>
      </c>
      <c r="T171" s="100">
        <f>IFERROR(SR_demand_forecast!U56*Settings!$K$67,"-")</f>
        <v>13586498.546624938</v>
      </c>
      <c r="U171" s="100">
        <f>IFERROR(SR_demand_forecast!V56*Settings!$K$67,"-")</f>
        <v>13745019.084223051</v>
      </c>
      <c r="V171" s="100">
        <f>IFERROR(SR_demand_forecast!W56*Settings!$K$67,"-")</f>
        <v>13906710.032573124</v>
      </c>
    </row>
    <row r="172" spans="1:22" x14ac:dyDescent="0.3">
      <c r="A172" s="179"/>
      <c r="B172" s="47" t="s">
        <v>57</v>
      </c>
      <c r="C172" s="100">
        <f>IFERROR(SR_demand_forecast!D57*Settings!$K$67,"-")</f>
        <v>18739730.559114769</v>
      </c>
      <c r="D172" s="100">
        <f>IFERROR(SR_demand_forecast!E57*Settings!$K$67,"-")</f>
        <v>18371636.877205558</v>
      </c>
      <c r="E172" s="100">
        <f>IFERROR(SR_demand_forecast!F57*Settings!$K$67,"-")</f>
        <v>20266793.490920983</v>
      </c>
      <c r="F172" s="100">
        <f>IFERROR(SR_demand_forecast!G57*Settings!$K$67,"-")</f>
        <v>21207863.55091713</v>
      </c>
      <c r="G172" s="100">
        <f>IFERROR(SR_demand_forecast!H57*Settings!$K$67,"-")</f>
        <v>22903702.286570396</v>
      </c>
      <c r="H172" s="100">
        <f>IFERROR(SR_demand_forecast!I57*Settings!$K$67,"-")</f>
        <v>24232373.642537843</v>
      </c>
      <c r="I172" s="100">
        <f>IFERROR(SR_demand_forecast!J57*Settings!$K$67,"-")</f>
        <v>25740436.261960257</v>
      </c>
      <c r="J172" s="100">
        <f>IFERROR(SR_demand_forecast!K57*Settings!$K$67,"-")</f>
        <v>27270332.043290447</v>
      </c>
      <c r="K172" s="100">
        <f>IFERROR(SR_demand_forecast!L57*Settings!$K$67,"-")</f>
        <v>28563971.945048425</v>
      </c>
      <c r="L172" s="100">
        <f>IFERROR(SR_demand_forecast!M57*Settings!$K$67,"-")</f>
        <v>29898887.516823597</v>
      </c>
      <c r="M172" s="100">
        <f>IFERROR(SR_demand_forecast!N57*Settings!$K$67,"-")</f>
        <v>30474954.928951185</v>
      </c>
      <c r="N172" s="100">
        <f>IFERROR(SR_demand_forecast!O57*Settings!$K$67,"-")</f>
        <v>31062543.689321324</v>
      </c>
      <c r="O172" s="100">
        <f>IFERROR(SR_demand_forecast!P57*Settings!$K$67,"-")</f>
        <v>31661884.224898875</v>
      </c>
      <c r="P172" s="100">
        <f>IFERROR(SR_demand_forecast!Q57*Settings!$K$67,"-")</f>
        <v>32273211.571187966</v>
      </c>
      <c r="Q172" s="100">
        <f>IFERROR(SR_demand_forecast!R57*Settings!$K$67,"-")</f>
        <v>32896765.464402847</v>
      </c>
      <c r="R172" s="100">
        <f>IFERROR(SR_demand_forecast!S57*Settings!$K$67,"-")</f>
        <v>33532790.435482014</v>
      </c>
      <c r="S172" s="100">
        <f>IFERROR(SR_demand_forecast!T57*Settings!$K$67,"-")</f>
        <v>34181535.905982777</v>
      </c>
      <c r="T172" s="100">
        <f>IFERROR(SR_demand_forecast!U57*Settings!$K$67,"-")</f>
        <v>34843256.285893552</v>
      </c>
      <c r="U172" s="100">
        <f>IFERROR(SR_demand_forecast!V57*Settings!$K$67,"-")</f>
        <v>35518211.073402539</v>
      </c>
      <c r="V172" s="100">
        <f>IFERROR(SR_demand_forecast!W57*Settings!$K$67,"-")</f>
        <v>36206664.956661709</v>
      </c>
    </row>
    <row r="173" spans="1:22" x14ac:dyDescent="0.3">
      <c r="A173" s="179"/>
      <c r="B173" s="47" t="s">
        <v>56</v>
      </c>
      <c r="C173" s="100">
        <f>IFERROR(SR_demand_forecast!D58*Settings!$K$67,"-")</f>
        <v>124262.66289684355</v>
      </c>
      <c r="D173" s="100">
        <f>IFERROR(SR_demand_forecast!E58*Settings!$K$67,"-")</f>
        <v>132339.73598513837</v>
      </c>
      <c r="E173" s="100">
        <f>IFERROR(SR_demand_forecast!F58*Settings!$K$67,"-")</f>
        <v>185844.13206194676</v>
      </c>
      <c r="F173" s="100">
        <f>IFERROR(SR_demand_forecast!G58*Settings!$K$67,"-")</f>
        <v>197802.79795115028</v>
      </c>
      <c r="G173" s="100">
        <f>IFERROR(SR_demand_forecast!H58*Settings!$K$67,"-")</f>
        <v>210165.4728230972</v>
      </c>
      <c r="H173" s="100">
        <f>IFERROR(SR_demand_forecast!I58*Settings!$K$67,"-")</f>
        <v>222943.53357074151</v>
      </c>
      <c r="I173" s="100">
        <f>IFERROR(SR_demand_forecast!J58*Settings!$K$67,"-")</f>
        <v>236148.65055916237</v>
      </c>
      <c r="J173" s="100">
        <f>IFERROR(SR_demand_forecast!K58*Settings!$K$67,"-")</f>
        <v>249792.79481369167</v>
      </c>
      <c r="K173" s="100">
        <f>IFERROR(SR_demand_forecast!L58*Settings!$K$67,"-")</f>
        <v>263888.2453781786</v>
      </c>
      <c r="L173" s="100">
        <f>IFERROR(SR_demand_forecast!M58*Settings!$K$67,"-")</f>
        <v>278447.59684731951</v>
      </c>
      <c r="M173" s="100">
        <f>IFERROR(SR_demand_forecast!N58*Settings!$K$67,"-")</f>
        <v>284016.54878426593</v>
      </c>
      <c r="N173" s="100">
        <f>IFERROR(SR_demand_forecast!O58*Settings!$K$67,"-")</f>
        <v>289696.87975995115</v>
      </c>
      <c r="O173" s="100">
        <f>IFERROR(SR_demand_forecast!P58*Settings!$K$67,"-")</f>
        <v>295490.81735515024</v>
      </c>
      <c r="P173" s="100">
        <f>IFERROR(SR_demand_forecast!Q58*Settings!$K$67,"-")</f>
        <v>301400.63370225328</v>
      </c>
      <c r="Q173" s="100">
        <f>IFERROR(SR_demand_forecast!R58*Settings!$K$67,"-")</f>
        <v>307428.64637629839</v>
      </c>
      <c r="R173" s="100">
        <f>IFERROR(SR_demand_forecast!S58*Settings!$K$67,"-")</f>
        <v>313577.21930382424</v>
      </c>
      <c r="S173" s="100">
        <f>IFERROR(SR_demand_forecast!T58*Settings!$K$67,"-")</f>
        <v>319848.76368990075</v>
      </c>
      <c r="T173" s="100">
        <f>IFERROR(SR_demand_forecast!U58*Settings!$K$67,"-")</f>
        <v>326245.73896369879</v>
      </c>
      <c r="U173" s="100">
        <f>IFERROR(SR_demand_forecast!V58*Settings!$K$67,"-")</f>
        <v>332770.65374297276</v>
      </c>
      <c r="V173" s="100">
        <f>IFERROR(SR_demand_forecast!W58*Settings!$K$67,"-")</f>
        <v>339426.06681783218</v>
      </c>
    </row>
    <row r="174" spans="1:22" x14ac:dyDescent="0.3">
      <c r="A174" s="179"/>
      <c r="B174" s="47" t="s">
        <v>100</v>
      </c>
      <c r="C174" s="100">
        <f>IFERROR(SR_demand_forecast!D59*Settings!$K$67,"-")</f>
        <v>0</v>
      </c>
      <c r="D174" s="100">
        <f>IFERROR(SR_demand_forecast!E59*Settings!$K$67,"-")</f>
        <v>0</v>
      </c>
      <c r="E174" s="100">
        <f>IFERROR(SR_demand_forecast!F59*Settings!$K$67,"-")</f>
        <v>0</v>
      </c>
      <c r="F174" s="100">
        <f>IFERROR(SR_demand_forecast!G59*Settings!$K$67,"-")</f>
        <v>0</v>
      </c>
      <c r="G174" s="100">
        <f>IFERROR(SR_demand_forecast!H59*Settings!$K$67,"-")</f>
        <v>0</v>
      </c>
      <c r="H174" s="100">
        <f>IFERROR(SR_demand_forecast!I59*Settings!$K$67,"-")</f>
        <v>0</v>
      </c>
      <c r="I174" s="100">
        <f>IFERROR(SR_demand_forecast!J59*Settings!$K$67,"-")</f>
        <v>0</v>
      </c>
      <c r="J174" s="100">
        <f>IFERROR(SR_demand_forecast!K59*Settings!$K$67,"-")</f>
        <v>0</v>
      </c>
      <c r="K174" s="100">
        <f>IFERROR(SR_demand_forecast!L59*Settings!$K$67,"-")</f>
        <v>0</v>
      </c>
      <c r="L174" s="100">
        <f>IFERROR(SR_demand_forecast!M59*Settings!$K$67,"-")</f>
        <v>0</v>
      </c>
      <c r="M174" s="100">
        <f>IFERROR(SR_demand_forecast!N59*Settings!$K$67,"-")</f>
        <v>0</v>
      </c>
      <c r="N174" s="100">
        <f>IFERROR(SR_demand_forecast!O59*Settings!$K$67,"-")</f>
        <v>0</v>
      </c>
      <c r="O174" s="100">
        <f>IFERROR(SR_demand_forecast!P59*Settings!$K$67,"-")</f>
        <v>0</v>
      </c>
      <c r="P174" s="100">
        <f>IFERROR(SR_demand_forecast!Q59*Settings!$K$67,"-")</f>
        <v>0</v>
      </c>
      <c r="Q174" s="100">
        <f>IFERROR(SR_demand_forecast!R59*Settings!$K$67,"-")</f>
        <v>0</v>
      </c>
      <c r="R174" s="100">
        <f>IFERROR(SR_demand_forecast!S59*Settings!$K$67,"-")</f>
        <v>0</v>
      </c>
      <c r="S174" s="100">
        <f>IFERROR(SR_demand_forecast!T59*Settings!$K$67,"-")</f>
        <v>0</v>
      </c>
      <c r="T174" s="100">
        <f>IFERROR(SR_demand_forecast!U59*Settings!$K$67,"-")</f>
        <v>0</v>
      </c>
      <c r="U174" s="100">
        <f>IFERROR(SR_demand_forecast!V59*Settings!$K$67,"-")</f>
        <v>0</v>
      </c>
      <c r="V174" s="100">
        <f>IFERROR(SR_demand_forecast!W59*Settings!$K$67,"-")</f>
        <v>0</v>
      </c>
    </row>
    <row r="175" spans="1:22" x14ac:dyDescent="0.3">
      <c r="A175" s="179"/>
      <c r="B175" s="47" t="s">
        <v>60</v>
      </c>
      <c r="C175" s="100">
        <f>IFERROR(SR_demand_forecast!D60*Settings!$K$67,"-")</f>
        <v>7563.4572101203767</v>
      </c>
      <c r="D175" s="100">
        <f>IFERROR(SR_demand_forecast!E60*Settings!$K$67,"-")</f>
        <v>7563.4572101203767</v>
      </c>
      <c r="E175" s="100">
        <f>IFERROR(SR_demand_forecast!F60*Settings!$K$67,"-")</f>
        <v>7563.4572101203767</v>
      </c>
      <c r="F175" s="100">
        <f>IFERROR(SR_demand_forecast!G60*Settings!$K$67,"-")</f>
        <v>7563.4572101203767</v>
      </c>
      <c r="G175" s="100">
        <f>IFERROR(SR_demand_forecast!H60*Settings!$K$67,"-")</f>
        <v>8186.9293250181736</v>
      </c>
      <c r="H175" s="100">
        <f>IFERROR(SR_demand_forecast!I60*Settings!$K$67,"-")</f>
        <v>8350.6679115185379</v>
      </c>
      <c r="I175" s="100">
        <f>IFERROR(SR_demand_forecast!J60*Settings!$K$67,"-")</f>
        <v>8517.6812697489077</v>
      </c>
      <c r="J175" s="100">
        <f>IFERROR(SR_demand_forecast!K60*Settings!$K$67,"-")</f>
        <v>8688.0348951438846</v>
      </c>
      <c r="K175" s="100">
        <f>IFERROR(SR_demand_forecast!L60*Settings!$K$67,"-")</f>
        <v>8861.7955930467633</v>
      </c>
      <c r="L175" s="100">
        <f>IFERROR(SR_demand_forecast!M60*Settings!$K$67,"-")</f>
        <v>9039.031504907698</v>
      </c>
      <c r="M175" s="100">
        <f>IFERROR(SR_demand_forecast!N60*Settings!$K$67,"-")</f>
        <v>9219.8121350058536</v>
      </c>
      <c r="N175" s="100">
        <f>IFERROR(SR_demand_forecast!O60*Settings!$K$67,"-")</f>
        <v>9404.2083777059688</v>
      </c>
      <c r="O175" s="100">
        <f>IFERROR(SR_demand_forecast!P60*Settings!$K$67,"-")</f>
        <v>9592.2925452600884</v>
      </c>
      <c r="P175" s="100">
        <f>IFERROR(SR_demand_forecast!Q60*Settings!$K$67,"-")</f>
        <v>9784.13839616529</v>
      </c>
      <c r="Q175" s="100">
        <f>IFERROR(SR_demand_forecast!R60*Settings!$K$67,"-")</f>
        <v>9979.8211640885966</v>
      </c>
      <c r="R175" s="100">
        <f>IFERROR(SR_demand_forecast!S60*Settings!$K$67,"-")</f>
        <v>10179.417587370366</v>
      </c>
      <c r="S175" s="100">
        <f>IFERROR(SR_demand_forecast!T60*Settings!$K$67,"-")</f>
        <v>10383.005939117775</v>
      </c>
      <c r="T175" s="100">
        <f>IFERROR(SR_demand_forecast!U60*Settings!$K$67,"-")</f>
        <v>10590.666057900133</v>
      </c>
      <c r="U175" s="100">
        <f>IFERROR(SR_demand_forecast!V60*Settings!$K$67,"-")</f>
        <v>10802.479379058133</v>
      </c>
      <c r="V175" s="100">
        <f>IFERROR(SR_demand_forecast!W60*Settings!$K$67,"-")</f>
        <v>11018.528966639295</v>
      </c>
    </row>
    <row r="176" spans="1:22" x14ac:dyDescent="0.3">
      <c r="A176" s="179"/>
      <c r="B176" s="47" t="s">
        <v>101</v>
      </c>
      <c r="C176" s="100">
        <f>IFERROR(SR_demand_forecast!D61*Settings!$K$67,"-")</f>
        <v>0</v>
      </c>
      <c r="D176" s="100">
        <f>IFERROR(SR_demand_forecast!E61*Settings!$K$67,"-")</f>
        <v>0</v>
      </c>
      <c r="E176" s="100">
        <f>IFERROR(SR_demand_forecast!F61*Settings!$K$67,"-")</f>
        <v>0</v>
      </c>
      <c r="F176" s="100">
        <f>IFERROR(SR_demand_forecast!G61*Settings!$K$67,"-")</f>
        <v>0</v>
      </c>
      <c r="G176" s="100">
        <f>IFERROR(SR_demand_forecast!H61*Settings!$K$67,"-")</f>
        <v>0</v>
      </c>
      <c r="H176" s="100">
        <f>IFERROR(SR_demand_forecast!I61*Settings!$K$67,"-")</f>
        <v>0</v>
      </c>
      <c r="I176" s="100">
        <f>IFERROR(SR_demand_forecast!J61*Settings!$K$67,"-")</f>
        <v>0</v>
      </c>
      <c r="J176" s="100">
        <f>IFERROR(SR_demand_forecast!K61*Settings!$K$67,"-")</f>
        <v>0</v>
      </c>
      <c r="K176" s="100">
        <f>IFERROR(SR_demand_forecast!L61*Settings!$K$67,"-")</f>
        <v>0</v>
      </c>
      <c r="L176" s="100">
        <f>IFERROR(SR_demand_forecast!M61*Settings!$K$67,"-")</f>
        <v>0</v>
      </c>
      <c r="M176" s="100">
        <f>IFERROR(SR_demand_forecast!N61*Settings!$K$67,"-")</f>
        <v>0</v>
      </c>
      <c r="N176" s="100">
        <f>IFERROR(SR_demand_forecast!O61*Settings!$K$67,"-")</f>
        <v>0</v>
      </c>
      <c r="O176" s="100">
        <f>IFERROR(SR_demand_forecast!P61*Settings!$K$67,"-")</f>
        <v>0</v>
      </c>
      <c r="P176" s="100">
        <f>IFERROR(SR_demand_forecast!Q61*Settings!$K$67,"-")</f>
        <v>0</v>
      </c>
      <c r="Q176" s="100">
        <f>IFERROR(SR_demand_forecast!R61*Settings!$K$67,"-")</f>
        <v>0</v>
      </c>
      <c r="R176" s="100">
        <f>IFERROR(SR_demand_forecast!S61*Settings!$K$67,"-")</f>
        <v>0</v>
      </c>
      <c r="S176" s="100">
        <f>IFERROR(SR_demand_forecast!T61*Settings!$K$67,"-")</f>
        <v>0</v>
      </c>
      <c r="T176" s="100">
        <f>IFERROR(SR_demand_forecast!U61*Settings!$K$67,"-")</f>
        <v>0</v>
      </c>
      <c r="U176" s="100">
        <f>IFERROR(SR_demand_forecast!V61*Settings!$K$67,"-")</f>
        <v>0</v>
      </c>
      <c r="V176" s="100">
        <f>IFERROR(SR_demand_forecast!W61*Settings!$K$67,"-")</f>
        <v>0</v>
      </c>
    </row>
    <row r="177" spans="1:22" x14ac:dyDescent="0.3">
      <c r="A177" s="179"/>
      <c r="B177" s="47" t="s">
        <v>58</v>
      </c>
      <c r="C177" s="100">
        <f>IFERROR(SR_demand_forecast!D62*Settings!$K$67,"-")</f>
        <v>120568.57044093739</v>
      </c>
      <c r="D177" s="100">
        <f>IFERROR(SR_demand_forecast!E62*Settings!$K$67,"-")</f>
        <v>128405.52751959831</v>
      </c>
      <c r="E177" s="100">
        <f>IFERROR(SR_demand_forecast!F62*Settings!$K$67,"-")</f>
        <v>136552.94866714464</v>
      </c>
      <c r="F177" s="100">
        <f>IFERROR(SR_demand_forecast!G62*Settings!$K$67,"-")</f>
        <v>145020.11766350036</v>
      </c>
      <c r="G177" s="100">
        <f>IFERROR(SR_demand_forecast!H62*Settings!$K$67,"-")</f>
        <v>156922.41785714583</v>
      </c>
      <c r="H177" s="100">
        <f>IFERROR(SR_demand_forecast!I62*Settings!$K$67,"-")</f>
        <v>166873.59933959617</v>
      </c>
      <c r="I177" s="100">
        <f>IFERROR(SR_demand_forecast!J62*Settings!$K$67,"-")</f>
        <v>177190.20125681188</v>
      </c>
      <c r="J177" s="100">
        <f>IFERROR(SR_demand_forecast!K62*Settings!$K$67,"-")</f>
        <v>187882.85995359058</v>
      </c>
      <c r="K177" s="100">
        <f>IFERROR(SR_demand_forecast!L62*Settings!$K$67,"-")</f>
        <v>198962.49106034799</v>
      </c>
      <c r="L177" s="100">
        <f>IFERROR(SR_demand_forecast!M62*Settings!$K$67,"-")</f>
        <v>210440.29641000449</v>
      </c>
      <c r="M177" s="100">
        <f>IFERROR(SR_demand_forecast!N62*Settings!$K$67,"-")</f>
        <v>213141.99520769287</v>
      </c>
      <c r="N177" s="100">
        <f>IFERROR(SR_demand_forecast!O62*Settings!$K$67,"-")</f>
        <v>215897.72798133499</v>
      </c>
      <c r="O177" s="100">
        <f>IFERROR(SR_demand_forecast!P62*Settings!$K$67,"-")</f>
        <v>218708.57541044999</v>
      </c>
      <c r="P177" s="100">
        <f>IFERROR(SR_demand_forecast!Q62*Settings!$K$67,"-")</f>
        <v>221575.63978814727</v>
      </c>
      <c r="Q177" s="100">
        <f>IFERROR(SR_demand_forecast!R62*Settings!$K$67,"-")</f>
        <v>224500.04545339849</v>
      </c>
      <c r="R177" s="100">
        <f>IFERROR(SR_demand_forecast!S62*Settings!$K$67,"-")</f>
        <v>227482.93923195472</v>
      </c>
      <c r="S177" s="100">
        <f>IFERROR(SR_demand_forecast!T62*Settings!$K$67,"-")</f>
        <v>230525.49088608212</v>
      </c>
      <c r="T177" s="100">
        <f>IFERROR(SR_demand_forecast!U62*Settings!$K$67,"-")</f>
        <v>233628.89357329207</v>
      </c>
      <c r="U177" s="100">
        <f>IFERROR(SR_demand_forecast!V62*Settings!$K$67,"-")</f>
        <v>236794.36431424617</v>
      </c>
      <c r="V177" s="100">
        <f>IFERROR(SR_demand_forecast!W62*Settings!$K$67,"-")</f>
        <v>240023.14447001938</v>
      </c>
    </row>
    <row r="178" spans="1:22" x14ac:dyDescent="0.3">
      <c r="A178" s="179"/>
      <c r="B178" s="47" t="s">
        <v>61</v>
      </c>
      <c r="C178" s="100">
        <f>IFERROR(SR_demand_forecast!D63*Settings!$K$67,"-")</f>
        <v>1717864.521803322</v>
      </c>
      <c r="D178" s="100">
        <f>IFERROR(SR_demand_forecast!E63*Settings!$K$67,"-")</f>
        <v>1786579.1026754552</v>
      </c>
      <c r="E178" s="100">
        <f>IFERROR(SR_demand_forecast!F63*Settings!$K$67,"-")</f>
        <v>1857798.4408503463</v>
      </c>
      <c r="F178" s="100">
        <f>IFERROR(SR_demand_forecast!G63*Settings!$K$67,"-")</f>
        <v>1931595.2407877573</v>
      </c>
      <c r="G178" s="100">
        <f>IFERROR(SR_demand_forecast!H63*Settings!$K$67,"-")</f>
        <v>2008044.1132229192</v>
      </c>
      <c r="H178" s="100">
        <f>IFERROR(SR_demand_forecast!I63*Settings!$K$67,"-")</f>
        <v>2144897.9833738552</v>
      </c>
      <c r="I178" s="100">
        <f>IFERROR(SR_demand_forecast!J63*Settings!$K$67,"-")</f>
        <v>2239119.2192181442</v>
      </c>
      <c r="J178" s="100">
        <f>IFERROR(SR_demand_forecast!K63*Settings!$K$67,"-")</f>
        <v>2336473.0052411514</v>
      </c>
      <c r="K178" s="100">
        <f>IFERROR(SR_demand_forecast!L63*Settings!$K$67,"-")</f>
        <v>2437046.9549556901</v>
      </c>
      <c r="L178" s="100">
        <f>IFERROR(SR_demand_forecast!M63*Settings!$K$67,"-")</f>
        <v>2540930.93339501</v>
      </c>
      <c r="M178" s="100">
        <f>IFERROR(SR_demand_forecast!N63*Settings!$K$67,"-")</f>
        <v>2580666.5551480502</v>
      </c>
      <c r="N178" s="100">
        <f>IFERROR(SR_demand_forecast!O63*Settings!$K$67,"-")</f>
        <v>2621196.8893361506</v>
      </c>
      <c r="O178" s="100">
        <f>IFERROR(SR_demand_forecast!P63*Settings!$K$67,"-")</f>
        <v>2662537.8302080142</v>
      </c>
      <c r="P178" s="100">
        <f>IFERROR(SR_demand_forecast!Q63*Settings!$K$67,"-")</f>
        <v>2704705.5898973141</v>
      </c>
      <c r="Q178" s="100">
        <f>IFERROR(SR_demand_forecast!R63*Settings!$K$67,"-")</f>
        <v>2747716.7047804007</v>
      </c>
      <c r="R178" s="100">
        <f>IFERROR(SR_demand_forecast!S63*Settings!$K$67,"-")</f>
        <v>2791588.0419611479</v>
      </c>
      <c r="S178" s="100">
        <f>IFERROR(SR_demand_forecast!T63*Settings!$K$67,"-")</f>
        <v>2836336.805885511</v>
      </c>
      <c r="T178" s="100">
        <f>IFERROR(SR_demand_forecast!U63*Settings!$K$67,"-")</f>
        <v>2881980.5450883615</v>
      </c>
      <c r="U178" s="100">
        <f>IFERROR(SR_demand_forecast!V63*Settings!$K$67,"-")</f>
        <v>2928537.1590752681</v>
      </c>
      <c r="V178" s="100">
        <f>IFERROR(SR_demand_forecast!W63*Settings!$K$67,"-")</f>
        <v>2976024.905341913</v>
      </c>
    </row>
    <row r="179" spans="1:22" x14ac:dyDescent="0.3">
      <c r="A179" s="179"/>
      <c r="B179" s="48" t="s">
        <v>104</v>
      </c>
      <c r="C179" s="176">
        <f>SUM(C171:C178)</f>
        <v>28445967.715982422</v>
      </c>
      <c r="D179" s="176">
        <f>SUM(D171:D178)</f>
        <v>28358732.329558574</v>
      </c>
      <c r="E179" s="176">
        <f>SUM(E171:E178)</f>
        <v>30590763.497541811</v>
      </c>
      <c r="F179" s="176">
        <f>SUM(F171:F178)</f>
        <v>31838065.762354895</v>
      </c>
      <c r="G179" s="176">
        <f>SUM(G171:G178)</f>
        <v>33855496.204228662</v>
      </c>
      <c r="H179" s="176">
        <f>SUM(H171:H178)</f>
        <v>35572658.603215814</v>
      </c>
      <c r="I179" s="176">
        <f>SUM(I171:I178)</f>
        <v>37436116.678709105</v>
      </c>
      <c r="J179" s="176">
        <f>SUM(J171:J178)</f>
        <v>39334358.340671904</v>
      </c>
      <c r="K179" s="176">
        <f>SUM(K171:K178)</f>
        <v>41009670.406424247</v>
      </c>
      <c r="L179" s="176">
        <f>SUM(L171:L178)</f>
        <v>42739970.138537772</v>
      </c>
      <c r="M179" s="176">
        <f>SUM(M171:M178)</f>
        <v>46122554.883214831</v>
      </c>
      <c r="N179" s="176">
        <f>SUM(N171:N178)</f>
        <v>46897296.105290495</v>
      </c>
      <c r="O179" s="176">
        <f>SUM(O171:O178)</f>
        <v>47687532.151807658</v>
      </c>
      <c r="P179" s="176">
        <f>SUM(P171:P178)</f>
        <v>48493572.919255182</v>
      </c>
      <c r="Q179" s="176">
        <f>SUM(Q171:Q178)</f>
        <v>49315734.502051637</v>
      </c>
      <c r="R179" s="176">
        <f>SUM(R171:R178)</f>
        <v>50154339.316504024</v>
      </c>
      <c r="S179" s="176">
        <f>SUM(S171:S178)</f>
        <v>51009716.227245472</v>
      </c>
      <c r="T179" s="176">
        <f>SUM(T171:T178)</f>
        <v>51882200.676201738</v>
      </c>
      <c r="U179" s="176">
        <f>SUM(U171:U178)</f>
        <v>52772134.814137124</v>
      </c>
      <c r="V179" s="176">
        <f>SUM(V171:V178)</f>
        <v>53679867.63483125</v>
      </c>
    </row>
    <row r="180" spans="1:22" x14ac:dyDescent="0.3">
      <c r="A180" s="179"/>
      <c r="B180" s="177"/>
      <c r="C180" s="178"/>
      <c r="D180" s="178"/>
      <c r="E180" s="178"/>
      <c r="F180" s="178"/>
      <c r="G180" s="178"/>
      <c r="H180" s="178"/>
      <c r="I180" s="178"/>
      <c r="J180" s="178"/>
      <c r="K180" s="178"/>
      <c r="L180" s="178"/>
      <c r="M180" s="178"/>
      <c r="N180" s="178"/>
      <c r="O180" s="178"/>
      <c r="P180" s="178"/>
      <c r="Q180" s="178"/>
      <c r="R180" s="178"/>
      <c r="S180" s="178"/>
      <c r="T180" s="178"/>
      <c r="U180" s="178"/>
      <c r="V180" s="178"/>
    </row>
    <row r="181" spans="1:22" x14ac:dyDescent="0.3">
      <c r="A181" s="179"/>
      <c r="B181" s="177"/>
      <c r="C181" s="178"/>
      <c r="D181" s="178"/>
      <c r="E181" s="178"/>
      <c r="F181" s="178"/>
      <c r="G181" s="178"/>
      <c r="H181" s="178"/>
      <c r="I181" s="178"/>
      <c r="J181" s="178"/>
      <c r="K181" s="178"/>
      <c r="L181" s="178"/>
      <c r="M181" s="178"/>
      <c r="N181" s="178"/>
      <c r="O181" s="178"/>
      <c r="P181" s="178"/>
      <c r="Q181" s="178"/>
      <c r="R181" s="178"/>
      <c r="S181" s="178"/>
      <c r="T181" s="178"/>
      <c r="U181" s="178"/>
      <c r="V181" s="178"/>
    </row>
    <row r="182" spans="1:22" x14ac:dyDescent="0.3">
      <c r="A182" s="179"/>
      <c r="B182" s="177"/>
      <c r="C182" s="178"/>
      <c r="D182" s="178"/>
      <c r="E182" s="178"/>
      <c r="F182" s="178"/>
      <c r="G182" s="178"/>
      <c r="H182" s="178"/>
      <c r="I182" s="178"/>
      <c r="J182" s="178"/>
      <c r="K182" s="178"/>
      <c r="L182" s="178"/>
      <c r="M182" s="178"/>
      <c r="N182" s="178"/>
      <c r="O182" s="178"/>
      <c r="P182" s="178"/>
      <c r="Q182" s="178"/>
      <c r="R182" s="178"/>
      <c r="S182" s="178"/>
      <c r="T182" s="178"/>
      <c r="U182" s="178"/>
      <c r="V182" s="178"/>
    </row>
    <row r="183" spans="1:22" x14ac:dyDescent="0.3">
      <c r="A183" s="179"/>
      <c r="B183" s="177"/>
      <c r="C183" s="178"/>
      <c r="D183" s="178"/>
      <c r="E183" s="178"/>
      <c r="F183" s="178"/>
      <c r="G183" s="178"/>
      <c r="H183" s="178"/>
      <c r="I183" s="178"/>
      <c r="J183" s="178"/>
      <c r="K183" s="178"/>
      <c r="L183" s="178"/>
      <c r="M183" s="178"/>
      <c r="N183" s="178"/>
      <c r="O183" s="178"/>
      <c r="P183" s="178"/>
      <c r="Q183" s="178"/>
      <c r="R183" s="178"/>
      <c r="S183" s="178"/>
      <c r="T183" s="178"/>
      <c r="U183" s="178"/>
      <c r="V183" s="178"/>
    </row>
    <row r="184" spans="1:22" x14ac:dyDescent="0.3">
      <c r="A184" s="179"/>
      <c r="B184" s="177"/>
      <c r="C184" s="178"/>
      <c r="D184" s="178"/>
      <c r="E184" s="178"/>
      <c r="F184" s="178"/>
      <c r="G184" s="178"/>
      <c r="H184" s="178"/>
      <c r="I184" s="178"/>
      <c r="J184" s="178"/>
      <c r="K184" s="178"/>
      <c r="L184" s="178"/>
      <c r="M184" s="178"/>
      <c r="N184" s="178"/>
      <c r="O184" s="178"/>
      <c r="P184" s="178"/>
      <c r="Q184" s="178"/>
      <c r="R184" s="178"/>
      <c r="S184" s="178"/>
      <c r="T184" s="178"/>
      <c r="U184" s="178"/>
      <c r="V184" s="178"/>
    </row>
    <row r="185" spans="1:22" x14ac:dyDescent="0.3">
      <c r="A185" s="179"/>
    </row>
    <row r="186" spans="1:22" x14ac:dyDescent="0.3">
      <c r="A186" s="179"/>
    </row>
    <row r="187" spans="1:22" x14ac:dyDescent="0.3">
      <c r="A187" s="179"/>
      <c r="B187" s="49" t="s">
        <v>226</v>
      </c>
      <c r="L187" s="34"/>
      <c r="M187" s="34"/>
    </row>
    <row r="188" spans="1:22" x14ac:dyDescent="0.3">
      <c r="A188" s="179"/>
      <c r="B188" s="97" t="s">
        <v>102</v>
      </c>
      <c r="C188" s="97">
        <v>2021</v>
      </c>
      <c r="D188" s="98">
        <v>2022</v>
      </c>
      <c r="E188" s="97">
        <v>2023</v>
      </c>
      <c r="F188" s="98">
        <v>2024</v>
      </c>
      <c r="G188" s="97">
        <v>2025</v>
      </c>
      <c r="H188" s="98">
        <v>2026</v>
      </c>
      <c r="I188" s="97">
        <v>2027</v>
      </c>
      <c r="J188" s="98">
        <v>2028</v>
      </c>
      <c r="K188" s="97">
        <v>2029</v>
      </c>
      <c r="L188" s="98">
        <v>2030</v>
      </c>
      <c r="M188" s="97">
        <v>2031</v>
      </c>
      <c r="N188" s="98">
        <v>2032</v>
      </c>
      <c r="O188" s="97">
        <v>2033</v>
      </c>
      <c r="P188" s="98">
        <v>2034</v>
      </c>
      <c r="Q188" s="97">
        <v>2035</v>
      </c>
      <c r="R188" s="98">
        <v>2036</v>
      </c>
      <c r="S188" s="97">
        <v>2037</v>
      </c>
      <c r="T188" s="98">
        <v>2038</v>
      </c>
      <c r="U188" s="97">
        <v>2039</v>
      </c>
      <c r="V188" s="98">
        <v>2040</v>
      </c>
    </row>
    <row r="189" spans="1:22" x14ac:dyDescent="0.3">
      <c r="A189" s="179"/>
      <c r="B189" s="47" t="s">
        <v>59</v>
      </c>
      <c r="C189" s="100">
        <f>IFERROR(SR_demand_forecast!D129*Settings!$K$67,"-")</f>
        <v>8302025.1111883661</v>
      </c>
      <c r="D189" s="100">
        <f>IFERROR(SR_demand_forecast!E129*Settings!$K$67,"-")</f>
        <v>9086943.8489734475</v>
      </c>
      <c r="E189" s="100">
        <f>IFERROR(SR_demand_forecast!F129*Settings!$K$67,"-")</f>
        <v>9902957.4444477092</v>
      </c>
      <c r="F189" s="100">
        <f>IFERROR(SR_demand_forecast!G129*Settings!$K$67,"-")</f>
        <v>10750995.7244236</v>
      </c>
      <c r="G189" s="100">
        <f>IFERROR(SR_demand_forecast!H129*Settings!$K$67,"-")</f>
        <v>11632013.270842997</v>
      </c>
      <c r="H189" s="100">
        <f>IFERROR(SR_demand_forecast!I129*Settings!$K$67,"-")</f>
        <v>12546990.039051652</v>
      </c>
      <c r="I189" s="100">
        <f>IFERROR(SR_demand_forecast!J129*Settings!$K$67,"-")</f>
        <v>13496931.990902569</v>
      </c>
      <c r="J189" s="100">
        <f>IFERROR(SR_demand_forecast!K129*Settings!$K$67,"-")</f>
        <v>14482871.743034147</v>
      </c>
      <c r="K189" s="100">
        <f>IFERROR(SR_demand_forecast!L129*Settings!$K$67,"-")</f>
        <v>15505869.23067688</v>
      </c>
      <c r="L189" s="100">
        <f>IFERROR(SR_demand_forecast!M129*Settings!$K$67,"-")</f>
        <v>16567012.38735036</v>
      </c>
      <c r="M189" s="100">
        <f>IFERROR(SR_demand_forecast!N129*Settings!$K$67,"-")</f>
        <v>19460638.419257939</v>
      </c>
      <c r="N189" s="100">
        <f>IFERROR(SR_demand_forecast!O129*Settings!$K$67,"-")</f>
        <v>19736641.754308708</v>
      </c>
      <c r="O189" s="100">
        <f>IFERROR(SR_demand_forecast!P129*Settings!$K$67,"-")</f>
        <v>20018165.156060494</v>
      </c>
      <c r="P189" s="100">
        <f>IFERROR(SR_demand_forecast!Q129*Settings!$K$67,"-")</f>
        <v>20305319.02584732</v>
      </c>
      <c r="Q189" s="100">
        <f>IFERROR(SR_demand_forecast!R129*Settings!$K$67,"-")</f>
        <v>20598215.973029882</v>
      </c>
      <c r="R189" s="100">
        <f>IFERROR(SR_demand_forecast!S129*Settings!$K$67,"-")</f>
        <v>20896970.859156083</v>
      </c>
      <c r="S189" s="100">
        <f>IFERROR(SR_demand_forecast!T129*Settings!$K$67,"-")</f>
        <v>21201700.843004823</v>
      </c>
      <c r="T189" s="100">
        <f>IFERROR(SR_demand_forecast!U129*Settings!$K$67,"-")</f>
        <v>21512525.426530536</v>
      </c>
      <c r="U189" s="100">
        <f>IFERROR(SR_demand_forecast!V129*Settings!$K$67,"-")</f>
        <v>21829566.501726758</v>
      </c>
      <c r="V189" s="100">
        <f>IFERROR(SR_demand_forecast!W129*Settings!$K$67,"-")</f>
        <v>22152948.398426905</v>
      </c>
    </row>
    <row r="190" spans="1:22" x14ac:dyDescent="0.3">
      <c r="A190" s="179"/>
      <c r="B190" s="47" t="s">
        <v>57</v>
      </c>
      <c r="C190" s="100">
        <f>IFERROR(SR_demand_forecast!D130*Settings!$K$67,"-")</f>
        <v>19616144.087470032</v>
      </c>
      <c r="D190" s="100">
        <f>IFERROR(SR_demand_forecast!E130*Settings!$K$67,"-")</f>
        <v>20159520.475050297</v>
      </c>
      <c r="E190" s="100">
        <f>IFERROR(SR_demand_forecast!F130*Settings!$K$67,"-")</f>
        <v>23002255.395623438</v>
      </c>
      <c r="F190" s="100">
        <f>IFERROR(SR_demand_forecast!G130*Settings!$K$67,"-")</f>
        <v>24928091.74131247</v>
      </c>
      <c r="G190" s="100">
        <f>IFERROR(SR_demand_forecast!H130*Settings!$K$67,"-")</f>
        <v>27646993.229324453</v>
      </c>
      <c r="H190" s="100">
        <f>IFERROR(SR_demand_forecast!I130*Settings!$K$67,"-")</f>
        <v>30038161.756468806</v>
      </c>
      <c r="I190" s="100">
        <f>IFERROR(SR_demand_forecast!J130*Settings!$K$67,"-")</f>
        <v>32649324.117538113</v>
      </c>
      <c r="J190" s="100">
        <f>IFERROR(SR_demand_forecast!K130*Settings!$K$67,"-")</f>
        <v>35324121.314935483</v>
      </c>
      <c r="K190" s="100">
        <f>IFERROR(SR_demand_forecast!L130*Settings!$K$67,"-")</f>
        <v>37805695.134261109</v>
      </c>
      <c r="L190" s="100">
        <f>IFERROR(SR_demand_forecast!M130*Settings!$K$67,"-")</f>
        <v>40372840.464597963</v>
      </c>
      <c r="M190" s="100">
        <f>IFERROR(SR_demand_forecast!N130*Settings!$K$67,"-")</f>
        <v>41158386.935681045</v>
      </c>
      <c r="N190" s="100">
        <f>IFERROR(SR_demand_forecast!O130*Settings!$K$67,"-")</f>
        <v>41959644.336185776</v>
      </c>
      <c r="O190" s="100">
        <f>IFERROR(SR_demand_forecast!P130*Settings!$K$67,"-")</f>
        <v>42776926.884700619</v>
      </c>
      <c r="P190" s="100">
        <f>IFERROR(SR_demand_forecast!Q130*Settings!$K$67,"-")</f>
        <v>43610555.084185749</v>
      </c>
      <c r="Q190" s="100">
        <f>IFERROR(SR_demand_forecast!R130*Settings!$K$67,"-")</f>
        <v>44460855.847660579</v>
      </c>
      <c r="R190" s="100">
        <f>IFERROR(SR_demand_forecast!S130*Settings!$K$67,"-")</f>
        <v>45328162.626404904</v>
      </c>
      <c r="S190" s="100">
        <f>IFERROR(SR_demand_forecast!T130*Settings!$K$67,"-")</f>
        <v>46212815.540724121</v>
      </c>
      <c r="T190" s="100">
        <f>IFERROR(SR_demand_forecast!U130*Settings!$K$67,"-")</f>
        <v>47115161.513329729</v>
      </c>
      <c r="U190" s="100">
        <f>IFERROR(SR_demand_forecast!V130*Settings!$K$67,"-")</f>
        <v>48035554.405387439</v>
      </c>
      <c r="V190" s="100">
        <f>IFERROR(SR_demand_forecast!W130*Settings!$K$67,"-")</f>
        <v>48974355.155286305</v>
      </c>
    </row>
    <row r="191" spans="1:22" x14ac:dyDescent="0.3">
      <c r="A191" s="179"/>
      <c r="B191" s="47" t="s">
        <v>56</v>
      </c>
      <c r="C191" s="100">
        <f>IFERROR(SR_demand_forecast!D131*Settings!$K$67,"-")</f>
        <v>135912.28754342263</v>
      </c>
      <c r="D191" s="100">
        <f>IFERROR(SR_demand_forecast!E131*Settings!$K$67,"-")</f>
        <v>156104.97026415973</v>
      </c>
      <c r="E191" s="100">
        <f>IFERROR(SR_demand_forecast!F131*Settings!$K$67,"-")</f>
        <v>222204.94050884939</v>
      </c>
      <c r="F191" s="100">
        <f>IFERROR(SR_demand_forecast!G131*Settings!$K$67,"-")</f>
        <v>247253.49743893789</v>
      </c>
      <c r="G191" s="100">
        <f>IFERROR(SR_demand_forecast!H131*Settings!$K$67,"-")</f>
        <v>273215.11467002641</v>
      </c>
      <c r="H191" s="100">
        <f>IFERROR(SR_demand_forecast!I131*Settings!$K$67,"-")</f>
        <v>300116.29519138287</v>
      </c>
      <c r="I191" s="100">
        <f>IFERROR(SR_demand_forecast!J131*Settings!$K$67,"-")</f>
        <v>327984.23688772548</v>
      </c>
      <c r="J191" s="100">
        <f>IFERROR(SR_demand_forecast!K131*Settings!$K$67,"-")</f>
        <v>356846.84973384527</v>
      </c>
      <c r="K191" s="100">
        <f>IFERROR(SR_demand_forecast!L131*Settings!$K$67,"-")</f>
        <v>386732.77339905489</v>
      </c>
      <c r="L191" s="100">
        <f>IFERROR(SR_demand_forecast!M131*Settings!$K$67,"-")</f>
        <v>417671.39527097926</v>
      </c>
      <c r="M191" s="100">
        <f>IFERROR(SR_demand_forecast!N131*Settings!$K$67,"-")</f>
        <v>426024.82317639882</v>
      </c>
      <c r="N191" s="100">
        <f>IFERROR(SR_demand_forecast!O131*Settings!$K$67,"-")</f>
        <v>434545.31963992672</v>
      </c>
      <c r="O191" s="100">
        <f>IFERROR(SR_demand_forecast!P131*Settings!$K$67,"-")</f>
        <v>443236.22603272536</v>
      </c>
      <c r="P191" s="100">
        <f>IFERROR(SR_demand_forecast!Q131*Settings!$K$67,"-")</f>
        <v>452100.95055337984</v>
      </c>
      <c r="Q191" s="100">
        <f>IFERROR(SR_demand_forecast!R131*Settings!$K$67,"-")</f>
        <v>461142.96956444747</v>
      </c>
      <c r="R191" s="100">
        <f>IFERROR(SR_demand_forecast!S131*Settings!$K$67,"-")</f>
        <v>470365.8289557363</v>
      </c>
      <c r="S191" s="100">
        <f>IFERROR(SR_demand_forecast!T131*Settings!$K$67,"-")</f>
        <v>479773.14553485112</v>
      </c>
      <c r="T191" s="100">
        <f>IFERROR(SR_demand_forecast!U131*Settings!$K$67,"-")</f>
        <v>489368.60844554816</v>
      </c>
      <c r="U191" s="100">
        <f>IFERROR(SR_demand_forecast!V131*Settings!$K$67,"-")</f>
        <v>499155.98061445908</v>
      </c>
      <c r="V191" s="100">
        <f>IFERROR(SR_demand_forecast!W131*Settings!$K$67,"-")</f>
        <v>509139.10022674821</v>
      </c>
    </row>
    <row r="192" spans="1:22" x14ac:dyDescent="0.3">
      <c r="A192" s="179"/>
      <c r="B192" s="47" t="s">
        <v>100</v>
      </c>
      <c r="C192" s="100">
        <f>IFERROR(SR_demand_forecast!D132*Settings!$K$67,"-")</f>
        <v>0</v>
      </c>
      <c r="D192" s="100">
        <f>IFERROR(SR_demand_forecast!E132*Settings!$K$67,"-")</f>
        <v>0</v>
      </c>
      <c r="E192" s="100">
        <f>IFERROR(SR_demand_forecast!F132*Settings!$K$67,"-")</f>
        <v>0</v>
      </c>
      <c r="F192" s="100">
        <f>IFERROR(SR_demand_forecast!G132*Settings!$K$67,"-")</f>
        <v>0</v>
      </c>
      <c r="G192" s="100">
        <f>IFERROR(SR_demand_forecast!H132*Settings!$K$67,"-")</f>
        <v>0</v>
      </c>
      <c r="H192" s="100">
        <f>IFERROR(SR_demand_forecast!I132*Settings!$K$67,"-")</f>
        <v>0</v>
      </c>
      <c r="I192" s="100">
        <f>IFERROR(SR_demand_forecast!J132*Settings!$K$67,"-")</f>
        <v>0</v>
      </c>
      <c r="J192" s="100">
        <f>IFERROR(SR_demand_forecast!K132*Settings!$K$67,"-")</f>
        <v>0</v>
      </c>
      <c r="K192" s="100">
        <f>IFERROR(SR_demand_forecast!L132*Settings!$K$67,"-")</f>
        <v>0</v>
      </c>
      <c r="L192" s="100">
        <f>IFERROR(SR_demand_forecast!M132*Settings!$K$67,"-")</f>
        <v>0</v>
      </c>
      <c r="M192" s="100">
        <f>IFERROR(SR_demand_forecast!N132*Settings!$K$67,"-")</f>
        <v>0</v>
      </c>
      <c r="N192" s="100">
        <f>IFERROR(SR_demand_forecast!O132*Settings!$K$67,"-")</f>
        <v>0</v>
      </c>
      <c r="O192" s="100">
        <f>IFERROR(SR_demand_forecast!P132*Settings!$K$67,"-")</f>
        <v>0</v>
      </c>
      <c r="P192" s="100">
        <f>IFERROR(SR_demand_forecast!Q132*Settings!$K$67,"-")</f>
        <v>0</v>
      </c>
      <c r="Q192" s="100">
        <f>IFERROR(SR_demand_forecast!R132*Settings!$K$67,"-")</f>
        <v>0</v>
      </c>
      <c r="R192" s="100">
        <f>IFERROR(SR_demand_forecast!S132*Settings!$K$67,"-")</f>
        <v>0</v>
      </c>
      <c r="S192" s="100">
        <f>IFERROR(SR_demand_forecast!T132*Settings!$K$67,"-")</f>
        <v>0</v>
      </c>
      <c r="T192" s="100">
        <f>IFERROR(SR_demand_forecast!U132*Settings!$K$67,"-")</f>
        <v>0</v>
      </c>
      <c r="U192" s="100">
        <f>IFERROR(SR_demand_forecast!V132*Settings!$K$67,"-")</f>
        <v>0</v>
      </c>
      <c r="V192" s="100">
        <f>IFERROR(SR_demand_forecast!W132*Settings!$K$67,"-")</f>
        <v>0</v>
      </c>
    </row>
    <row r="193" spans="1:22" x14ac:dyDescent="0.3">
      <c r="A193" s="179"/>
      <c r="B193" s="47" t="s">
        <v>60</v>
      </c>
      <c r="C193" s="100">
        <f>IFERROR(SR_demand_forecast!D133*Settings!$K$67,"-")</f>
        <v>8319.8029311324153</v>
      </c>
      <c r="D193" s="100">
        <f>IFERROR(SR_demand_forecast!E133*Settings!$K$67,"-")</f>
        <v>9106.4024809849343</v>
      </c>
      <c r="E193" s="100">
        <f>IFERROR(SR_demand_forecast!F133*Settings!$K$67,"-")</f>
        <v>9924.1634745431493</v>
      </c>
      <c r="F193" s="100">
        <f>IFERROR(SR_demand_forecast!G133*Settings!$K$67,"-")</f>
        <v>10774.017729735348</v>
      </c>
      <c r="G193" s="100">
        <f>IFERROR(SR_demand_forecast!H133*Settings!$K$67,"-")</f>
        <v>12280.393987527259</v>
      </c>
      <c r="H193" s="100">
        <f>IFERROR(SR_demand_forecast!I133*Settings!$K$67,"-")</f>
        <v>13361.06865842966</v>
      </c>
      <c r="I193" s="100">
        <f>IFERROR(SR_demand_forecast!J133*Settings!$K$67,"-")</f>
        <v>14480.058158573145</v>
      </c>
      <c r="J193" s="100">
        <f>IFERROR(SR_demand_forecast!K133*Settings!$K$67,"-")</f>
        <v>15638.462811258989</v>
      </c>
      <c r="K193" s="100">
        <f>IFERROR(SR_demand_forecast!L133*Settings!$K$67,"-")</f>
        <v>16837.411626788849</v>
      </c>
      <c r="L193" s="100">
        <f>IFERROR(SR_demand_forecast!M133*Settings!$K$67,"-")</f>
        <v>18078.063009815396</v>
      </c>
      <c r="M193" s="100">
        <f>IFERROR(SR_demand_forecast!N133*Settings!$K$67,"-")</f>
        <v>18439.624270011707</v>
      </c>
      <c r="N193" s="100">
        <f>IFERROR(SR_demand_forecast!O133*Settings!$K$67,"-")</f>
        <v>18808.416755411938</v>
      </c>
      <c r="O193" s="100">
        <f>IFERROR(SR_demand_forecast!P133*Settings!$K$67,"-")</f>
        <v>19184.585090520177</v>
      </c>
      <c r="P193" s="100">
        <f>IFERROR(SR_demand_forecast!Q133*Settings!$K$67,"-")</f>
        <v>19568.27679233058</v>
      </c>
      <c r="Q193" s="100">
        <f>IFERROR(SR_demand_forecast!R133*Settings!$K$67,"-")</f>
        <v>19959.642328177193</v>
      </c>
      <c r="R193" s="100">
        <f>IFERROR(SR_demand_forecast!S133*Settings!$K$67,"-")</f>
        <v>20358.835174740732</v>
      </c>
      <c r="S193" s="100">
        <f>IFERROR(SR_demand_forecast!T133*Settings!$K$67,"-")</f>
        <v>20766.011878235549</v>
      </c>
      <c r="T193" s="100">
        <f>IFERROR(SR_demand_forecast!U133*Settings!$K$67,"-")</f>
        <v>21181.332115800265</v>
      </c>
      <c r="U193" s="100">
        <f>IFERROR(SR_demand_forecast!V133*Settings!$K$67,"-")</f>
        <v>21604.958758116267</v>
      </c>
      <c r="V193" s="100">
        <f>IFERROR(SR_demand_forecast!W133*Settings!$K$67,"-")</f>
        <v>22037.057933278589</v>
      </c>
    </row>
    <row r="194" spans="1:22" x14ac:dyDescent="0.3">
      <c r="A194" s="179"/>
      <c r="B194" s="47" t="s">
        <v>101</v>
      </c>
      <c r="C194" s="100">
        <f>IFERROR(SR_demand_forecast!D134*Settings!$K$67,"-")</f>
        <v>0</v>
      </c>
      <c r="D194" s="100">
        <f>IFERROR(SR_demand_forecast!E134*Settings!$K$67,"-")</f>
        <v>0</v>
      </c>
      <c r="E194" s="100">
        <f>IFERROR(SR_demand_forecast!F134*Settings!$K$67,"-")</f>
        <v>0</v>
      </c>
      <c r="F194" s="100">
        <f>IFERROR(SR_demand_forecast!G134*Settings!$K$67,"-")</f>
        <v>0</v>
      </c>
      <c r="G194" s="100">
        <f>IFERROR(SR_demand_forecast!H134*Settings!$K$67,"-")</f>
        <v>0</v>
      </c>
      <c r="H194" s="100">
        <f>IFERROR(SR_demand_forecast!I134*Settings!$K$67,"-")</f>
        <v>0</v>
      </c>
      <c r="I194" s="100">
        <f>IFERROR(SR_demand_forecast!J134*Settings!$K$67,"-")</f>
        <v>0</v>
      </c>
      <c r="J194" s="100">
        <f>IFERROR(SR_demand_forecast!K134*Settings!$K$67,"-")</f>
        <v>0</v>
      </c>
      <c r="K194" s="100">
        <f>IFERROR(SR_demand_forecast!L134*Settings!$K$67,"-")</f>
        <v>0</v>
      </c>
      <c r="L194" s="100">
        <f>IFERROR(SR_demand_forecast!M134*Settings!$K$67,"-")</f>
        <v>0</v>
      </c>
      <c r="M194" s="100">
        <f>IFERROR(SR_demand_forecast!N134*Settings!$K$67,"-")</f>
        <v>0</v>
      </c>
      <c r="N194" s="100">
        <f>IFERROR(SR_demand_forecast!O134*Settings!$K$67,"-")</f>
        <v>0</v>
      </c>
      <c r="O194" s="100">
        <f>IFERROR(SR_demand_forecast!P134*Settings!$K$67,"-")</f>
        <v>0</v>
      </c>
      <c r="P194" s="100">
        <f>IFERROR(SR_demand_forecast!Q134*Settings!$K$67,"-")</f>
        <v>0</v>
      </c>
      <c r="Q194" s="100">
        <f>IFERROR(SR_demand_forecast!R134*Settings!$K$67,"-")</f>
        <v>0</v>
      </c>
      <c r="R194" s="100">
        <f>IFERROR(SR_demand_forecast!S134*Settings!$K$67,"-")</f>
        <v>0</v>
      </c>
      <c r="S194" s="100">
        <f>IFERROR(SR_demand_forecast!T134*Settings!$K$67,"-")</f>
        <v>0</v>
      </c>
      <c r="T194" s="100">
        <f>IFERROR(SR_demand_forecast!U134*Settings!$K$67,"-")</f>
        <v>0</v>
      </c>
      <c r="U194" s="100">
        <f>IFERROR(SR_demand_forecast!V134*Settings!$K$67,"-")</f>
        <v>0</v>
      </c>
      <c r="V194" s="100">
        <f>IFERROR(SR_demand_forecast!W134*Settings!$K$67,"-")</f>
        <v>0</v>
      </c>
    </row>
    <row r="195" spans="1:22" x14ac:dyDescent="0.3">
      <c r="A195" s="179"/>
      <c r="B195" s="47" t="s">
        <v>58</v>
      </c>
      <c r="C195" s="100">
        <f>IFERROR(SR_demand_forecast!D135*Settings!$K$67,"-")</f>
        <v>128104.10609349597</v>
      </c>
      <c r="D195" s="100">
        <f>IFERROR(SR_demand_forecast!E135*Settings!$K$67,"-")</f>
        <v>143778.02025081782</v>
      </c>
      <c r="E195" s="100">
        <f>IFERROR(SR_demand_forecast!F135*Settings!$K$67,"-")</f>
        <v>160072.8625459105</v>
      </c>
      <c r="F195" s="100">
        <f>IFERROR(SR_demand_forecast!G135*Settings!$K$67,"-")</f>
        <v>177007.20053862192</v>
      </c>
      <c r="G195" s="100">
        <f>IFERROR(SR_demand_forecast!H135*Settings!$K$67,"-")</f>
        <v>197705.94852292587</v>
      </c>
      <c r="H195" s="100">
        <f>IFERROR(SR_demand_forecast!I135*Settings!$K$67,"-")</f>
        <v>216792.64087451089</v>
      </c>
      <c r="I195" s="100">
        <f>IFERROR(SR_demand_forecast!J135*Settings!$K$67,"-")</f>
        <v>236593.8606833604</v>
      </c>
      <c r="J195" s="100">
        <f>IFERROR(SR_demand_forecast!K135*Settings!$K$67,"-")</f>
        <v>257130.55437082431</v>
      </c>
      <c r="K195" s="100">
        <f>IFERROR(SR_demand_forecast!L135*Settings!$K$67,"-")</f>
        <v>278424.22040412371</v>
      </c>
      <c r="L195" s="100">
        <f>IFERROR(SR_demand_forecast!M135*Settings!$K$67,"-")</f>
        <v>300496.92299961689</v>
      </c>
      <c r="M195" s="100">
        <f>IFERROR(SR_demand_forecast!N135*Settings!$K$67,"-")</f>
        <v>304999.75432909757</v>
      </c>
      <c r="N195" s="100">
        <f>IFERROR(SR_demand_forecast!O135*Settings!$K$67,"-")</f>
        <v>309592.64228516776</v>
      </c>
      <c r="O195" s="100">
        <f>IFERROR(SR_demand_forecast!P135*Settings!$K$67,"-")</f>
        <v>314277.38800035947</v>
      </c>
      <c r="P195" s="100">
        <f>IFERROR(SR_demand_forecast!Q135*Settings!$K$67,"-")</f>
        <v>319055.82862985489</v>
      </c>
      <c r="Q195" s="100">
        <f>IFERROR(SR_demand_forecast!R135*Settings!$K$67,"-")</f>
        <v>323929.83807194029</v>
      </c>
      <c r="R195" s="100">
        <f>IFERROR(SR_demand_forecast!S135*Settings!$K$67,"-")</f>
        <v>328901.32770286733</v>
      </c>
      <c r="S195" s="100">
        <f>IFERROR(SR_demand_forecast!T135*Settings!$K$67,"-")</f>
        <v>333972.24712641293</v>
      </c>
      <c r="T195" s="100">
        <f>IFERROR(SR_demand_forecast!U135*Settings!$K$67,"-")</f>
        <v>339144.58493842947</v>
      </c>
      <c r="U195" s="100">
        <f>IFERROR(SR_demand_forecast!V135*Settings!$K$67,"-")</f>
        <v>344420.3695066864</v>
      </c>
      <c r="V195" s="100">
        <f>IFERROR(SR_demand_forecast!W135*Settings!$K$67,"-")</f>
        <v>349801.66976630833</v>
      </c>
    </row>
    <row r="196" spans="1:22" x14ac:dyDescent="0.3">
      <c r="A196" s="179"/>
      <c r="B196" s="47" t="s">
        <v>61</v>
      </c>
      <c r="C196" s="100">
        <f>IFERROR(SR_demand_forecast!D136*Settings!$K$67,"-")</f>
        <v>1773279.5063776227</v>
      </c>
      <c r="D196" s="100">
        <f>IFERROR(SR_demand_forecast!E136*Settings!$K$67,"-")</f>
        <v>1899625.6712070284</v>
      </c>
      <c r="E196" s="100">
        <f>IFERROR(SR_demand_forecast!F136*Settings!$K$67,"-")</f>
        <v>2030759.6907036537</v>
      </c>
      <c r="F196" s="100">
        <f>IFERROR(SR_demand_forecast!G136*Settings!$K$67,"-")</f>
        <v>2166822.5405882555</v>
      </c>
      <c r="G196" s="100">
        <f>IFERROR(SR_demand_forecast!H136*Settings!$K$67,"-")</f>
        <v>2307958.9204685539</v>
      </c>
      <c r="H196" s="100">
        <f>IFERROR(SR_demand_forecast!I136*Settings!$K$67,"-")</f>
        <v>2511993.7074425127</v>
      </c>
      <c r="I196" s="100">
        <f>IFERROR(SR_demand_forecast!J136*Settings!$K$67,"-")</f>
        <v>2675963.1308598462</v>
      </c>
      <c r="J196" s="100">
        <f>IFERROR(SR_demand_forecast!K136*Settings!$K$67,"-")</f>
        <v>2845708.1936691925</v>
      </c>
      <c r="K196" s="100">
        <f>IFERROR(SR_demand_forecast!L136*Settings!$K$67,"-")</f>
        <v>3021394.3336768672</v>
      </c>
      <c r="L196" s="100">
        <f>IFERROR(SR_demand_forecast!M136*Settings!$K$67,"-")</f>
        <v>3203191.2959456784</v>
      </c>
      <c r="M196" s="100">
        <f>IFERROR(SR_demand_forecast!N136*Settings!$K$67,"-")</f>
        <v>3256172.1249497319</v>
      </c>
      <c r="N196" s="100">
        <f>IFERROR(SR_demand_forecast!O136*Settings!$K$67,"-")</f>
        <v>3310212.5705338656</v>
      </c>
      <c r="O196" s="100">
        <f>IFERROR(SR_demand_forecast!P136*Settings!$K$67,"-")</f>
        <v>3365333.8250296833</v>
      </c>
      <c r="P196" s="100">
        <f>IFERROR(SR_demand_forecast!Q136*Settings!$K$67,"-")</f>
        <v>3421557.5046154168</v>
      </c>
      <c r="Q196" s="100">
        <f>IFERROR(SR_demand_forecast!R136*Settings!$K$67,"-")</f>
        <v>3478905.6577928653</v>
      </c>
      <c r="R196" s="100">
        <f>IFERROR(SR_demand_forecast!S136*Settings!$K$67,"-")</f>
        <v>3537400.7740338617</v>
      </c>
      <c r="S196" s="100">
        <f>IFERROR(SR_demand_forecast!T136*Settings!$K$67,"-")</f>
        <v>3597065.792599679</v>
      </c>
      <c r="T196" s="100">
        <f>IFERROR(SR_demand_forecast!U136*Settings!$K$67,"-")</f>
        <v>3657924.1115368125</v>
      </c>
      <c r="U196" s="100">
        <f>IFERROR(SR_demand_forecast!V136*Settings!$K$67,"-")</f>
        <v>3719999.5968526886</v>
      </c>
      <c r="V196" s="100">
        <f>IFERROR(SR_demand_forecast!W136*Settings!$K$67,"-")</f>
        <v>3783316.5918748821</v>
      </c>
    </row>
    <row r="197" spans="1:22" x14ac:dyDescent="0.3">
      <c r="A197" s="179"/>
      <c r="B197" s="47" t="s">
        <v>104</v>
      </c>
      <c r="C197" s="176">
        <f>SUM(C189:C196)</f>
        <v>29963784.901604075</v>
      </c>
      <c r="D197" s="176">
        <f>SUM(D189:D196)</f>
        <v>31455079.38822674</v>
      </c>
      <c r="E197" s="176">
        <f>SUM(E189:E196)</f>
        <v>35328174.497304112</v>
      </c>
      <c r="F197" s="176">
        <f>SUM(F189:F196)</f>
        <v>38280944.722031616</v>
      </c>
      <c r="G197" s="176">
        <f>SUM(G189:G196)</f>
        <v>42070166.877816483</v>
      </c>
      <c r="H197" s="176">
        <f>SUM(H189:H196)</f>
        <v>45627415.507687293</v>
      </c>
      <c r="I197" s="176">
        <f>SUM(I189:I196)</f>
        <v>49401277.395030186</v>
      </c>
      <c r="J197" s="176">
        <f>SUM(J189:J196)</f>
        <v>53282317.118554756</v>
      </c>
      <c r="K197" s="176">
        <f>SUM(K189:K196)</f>
        <v>57014953.104044825</v>
      </c>
      <c r="L197" s="176">
        <f>SUM(L189:L196)</f>
        <v>60879290.529174417</v>
      </c>
      <c r="M197" s="176">
        <f>SUM(M189:M196)</f>
        <v>64624661.681664228</v>
      </c>
      <c r="N197" s="176">
        <f>SUM(N189:N196)</f>
        <v>65769445.03970886</v>
      </c>
      <c r="O197" s="176">
        <f>SUM(O189:O196)</f>
        <v>66937124.064914405</v>
      </c>
      <c r="P197" s="176">
        <f>SUM(P189:P196)</f>
        <v>68128156.670624048</v>
      </c>
      <c r="Q197" s="176">
        <f>SUM(Q189:Q196)</f>
        <v>69343009.928447887</v>
      </c>
      <c r="R197" s="176">
        <f>SUM(R189:R196)</f>
        <v>70582160.251428187</v>
      </c>
      <c r="S197" s="176">
        <f>SUM(S189:S196)</f>
        <v>71846093.58086814</v>
      </c>
      <c r="T197" s="176">
        <f>SUM(T189:T196)</f>
        <v>73135305.576896876</v>
      </c>
      <c r="U197" s="176">
        <f>SUM(U189:U196)</f>
        <v>74450301.812846139</v>
      </c>
      <c r="V197" s="176">
        <f>SUM(V189:V196)</f>
        <v>75791597.973514423</v>
      </c>
    </row>
    <row r="198" spans="1:22" x14ac:dyDescent="0.3">
      <c r="A198" s="179"/>
    </row>
    <row r="199" spans="1:22" x14ac:dyDescent="0.3">
      <c r="A199" s="179"/>
    </row>
    <row r="200" spans="1:22" x14ac:dyDescent="0.3">
      <c r="A200" s="179"/>
    </row>
    <row r="201" spans="1:22" x14ac:dyDescent="0.3">
      <c r="A201" s="179"/>
    </row>
    <row r="202" spans="1:22" x14ac:dyDescent="0.3">
      <c r="A202" s="179"/>
    </row>
    <row r="203" spans="1:22" x14ac:dyDescent="0.3">
      <c r="A203" s="179"/>
    </row>
    <row r="204" spans="1:22" x14ac:dyDescent="0.3">
      <c r="A204" s="179"/>
    </row>
    <row r="205" spans="1:22" x14ac:dyDescent="0.3">
      <c r="A205" s="179"/>
      <c r="B205" s="49" t="s">
        <v>227</v>
      </c>
      <c r="L205" s="34"/>
      <c r="M205" s="34"/>
    </row>
    <row r="206" spans="1:22" x14ac:dyDescent="0.3">
      <c r="A206" s="179"/>
      <c r="B206" s="97" t="s">
        <v>102</v>
      </c>
      <c r="C206" s="97">
        <v>2021</v>
      </c>
      <c r="D206" s="98">
        <v>2022</v>
      </c>
      <c r="E206" s="97">
        <v>2023</v>
      </c>
      <c r="F206" s="98">
        <v>2024</v>
      </c>
      <c r="G206" s="97">
        <v>2025</v>
      </c>
      <c r="H206" s="98">
        <v>2026</v>
      </c>
      <c r="I206" s="97">
        <v>2027</v>
      </c>
      <c r="J206" s="98">
        <v>2028</v>
      </c>
      <c r="K206" s="97">
        <v>2029</v>
      </c>
      <c r="L206" s="98">
        <v>2030</v>
      </c>
      <c r="M206" s="97">
        <v>2031</v>
      </c>
      <c r="N206" s="98">
        <v>2032</v>
      </c>
      <c r="O206" s="97">
        <v>2033</v>
      </c>
      <c r="P206" s="98">
        <v>2034</v>
      </c>
      <c r="Q206" s="97">
        <v>2035</v>
      </c>
      <c r="R206" s="98">
        <v>2036</v>
      </c>
      <c r="S206" s="97">
        <v>2037</v>
      </c>
      <c r="T206" s="98">
        <v>2038</v>
      </c>
      <c r="U206" s="97">
        <v>2039</v>
      </c>
      <c r="V206" s="98">
        <v>2040</v>
      </c>
    </row>
    <row r="207" spans="1:22" x14ac:dyDescent="0.3">
      <c r="A207" s="179"/>
      <c r="B207" s="47" t="s">
        <v>59</v>
      </c>
      <c r="C207" s="100">
        <f>IFERROR(SR_demand_forecast!D202*Settings!$K$67,"-")</f>
        <v>8679389.8889696561</v>
      </c>
      <c r="D207" s="100">
        <f>IFERROR(SR_demand_forecast!E202*Settings!$K$67,"-")</f>
        <v>9856767.9956472777</v>
      </c>
      <c r="E207" s="100">
        <f>IFERROR(SR_demand_forecast!F202*Settings!$K$67,"-")</f>
        <v>11080788.388858669</v>
      </c>
      <c r="F207" s="100">
        <f>IFERROR(SR_demand_forecast!G202*Settings!$K$67,"-")</f>
        <v>12352845.808822503</v>
      </c>
      <c r="G207" s="100">
        <f>IFERROR(SR_demand_forecast!H202*Settings!$K$67,"-")</f>
        <v>13674372.128451603</v>
      </c>
      <c r="H207" s="100">
        <f>IFERROR(SR_demand_forecast!I202*Settings!$K$67,"-")</f>
        <v>15046837.280764587</v>
      </c>
      <c r="I207" s="100">
        <f>IFERROR(SR_demand_forecast!J202*Settings!$K$67,"-")</f>
        <v>16471750.208540959</v>
      </c>
      <c r="J207" s="100">
        <f>IFERROR(SR_demand_forecast!K202*Settings!$K$67,"-")</f>
        <v>17950659.836738326</v>
      </c>
      <c r="K207" s="100">
        <f>IFERROR(SR_demand_forecast!L202*Settings!$K$67,"-")</f>
        <v>19485156.068202429</v>
      </c>
      <c r="L207" s="100">
        <f>IFERROR(SR_demand_forecast!M202*Settings!$K$67,"-")</f>
        <v>21076870.803212646</v>
      </c>
      <c r="M207" s="100">
        <f>IFERROR(SR_demand_forecast!N202*Settings!$K$67,"-")</f>
        <v>24060694.003437467</v>
      </c>
      <c r="N207" s="100">
        <f>IFERROR(SR_demand_forecast!O202*Settings!$K$67,"-")</f>
        <v>24428698.450171825</v>
      </c>
      <c r="O207" s="100">
        <f>IFERROR(SR_demand_forecast!P202*Settings!$K$67,"-")</f>
        <v>24804062.985840879</v>
      </c>
      <c r="P207" s="100">
        <f>IFERROR(SR_demand_forecast!Q202*Settings!$K$67,"-")</f>
        <v>25186934.812223308</v>
      </c>
      <c r="Q207" s="100">
        <f>IFERROR(SR_demand_forecast!R202*Settings!$K$67,"-")</f>
        <v>25577464.075133391</v>
      </c>
      <c r="R207" s="100">
        <f>IFERROR(SR_demand_forecast!S202*Settings!$K$67,"-")</f>
        <v>25975803.923301667</v>
      </c>
      <c r="S207" s="100">
        <f>IFERROR(SR_demand_forecast!T202*Settings!$K$67,"-")</f>
        <v>26382110.568433318</v>
      </c>
      <c r="T207" s="100">
        <f>IFERROR(SR_demand_forecast!U202*Settings!$K$67,"-")</f>
        <v>26796543.346467599</v>
      </c>
      <c r="U207" s="100">
        <f>IFERROR(SR_demand_forecast!V202*Settings!$K$67,"-")</f>
        <v>27219264.78006256</v>
      </c>
      <c r="V207" s="100">
        <f>IFERROR(SR_demand_forecast!W202*Settings!$K$67,"-")</f>
        <v>27650440.642329425</v>
      </c>
    </row>
    <row r="208" spans="1:22" x14ac:dyDescent="0.3">
      <c r="A208" s="179"/>
      <c r="B208" s="47" t="s">
        <v>57</v>
      </c>
      <c r="C208" s="100">
        <f>IFERROR(SR_demand_forecast!D203*Settings!$K$67,"-")</f>
        <v>20492557.615825299</v>
      </c>
      <c r="D208" s="100">
        <f>IFERROR(SR_demand_forecast!E203*Settings!$K$67,"-")</f>
        <v>21947404.072895039</v>
      </c>
      <c r="E208" s="100">
        <f>IFERROR(SR_demand_forecast!F203*Settings!$K$67,"-")</f>
        <v>25737717.300325893</v>
      </c>
      <c r="F208" s="100">
        <f>IFERROR(SR_demand_forecast!G203*Settings!$K$67,"-")</f>
        <v>28648319.931707811</v>
      </c>
      <c r="G208" s="100">
        <f>IFERROR(SR_demand_forecast!H203*Settings!$K$67,"-")</f>
        <v>32390284.172078509</v>
      </c>
      <c r="H208" s="100">
        <f>IFERROR(SR_demand_forecast!I203*Settings!$K$67,"-")</f>
        <v>35843949.870399773</v>
      </c>
      <c r="I208" s="100">
        <f>IFERROR(SR_demand_forecast!J203*Settings!$K$67,"-")</f>
        <v>39558211.973115958</v>
      </c>
      <c r="J208" s="100">
        <f>IFERROR(SR_demand_forecast!K203*Settings!$K$67,"-")</f>
        <v>43377910.586580507</v>
      </c>
      <c r="K208" s="100">
        <f>IFERROR(SR_demand_forecast!L203*Settings!$K$67,"-")</f>
        <v>47047418.323473789</v>
      </c>
      <c r="L208" s="100">
        <f>IFERROR(SR_demand_forecast!M203*Settings!$K$67,"-")</f>
        <v>50846793.412372336</v>
      </c>
      <c r="M208" s="100">
        <f>IFERROR(SR_demand_forecast!N203*Settings!$K$67,"-")</f>
        <v>51841818.942410901</v>
      </c>
      <c r="N208" s="100">
        <f>IFERROR(SR_demand_forecast!O203*Settings!$K$67,"-")</f>
        <v>52856744.983050227</v>
      </c>
      <c r="O208" s="100">
        <f>IFERROR(SR_demand_forecast!P203*Settings!$K$67,"-")</f>
        <v>53891969.544502363</v>
      </c>
      <c r="P208" s="100">
        <f>IFERROR(SR_demand_forecast!Q203*Settings!$K$67,"-")</f>
        <v>54947898.597183526</v>
      </c>
      <c r="Q208" s="100">
        <f>IFERROR(SR_demand_forecast!R203*Settings!$K$67,"-")</f>
        <v>56024946.230918318</v>
      </c>
      <c r="R208" s="100">
        <f>IFERROR(SR_demand_forecast!S203*Settings!$K$67,"-")</f>
        <v>57123534.81732779</v>
      </c>
      <c r="S208" s="100">
        <f>IFERROR(SR_demand_forecast!T203*Settings!$K$67,"-")</f>
        <v>58244095.175465472</v>
      </c>
      <c r="T208" s="100">
        <f>IFERROR(SR_demand_forecast!U203*Settings!$K$67,"-")</f>
        <v>59387066.740765907</v>
      </c>
      <c r="U208" s="100">
        <f>IFERROR(SR_demand_forecast!V203*Settings!$K$67,"-")</f>
        <v>60552897.737372331</v>
      </c>
      <c r="V208" s="100">
        <f>IFERROR(SR_demand_forecast!W203*Settings!$K$67,"-")</f>
        <v>61742045.353910893</v>
      </c>
    </row>
    <row r="209" spans="1:22" x14ac:dyDescent="0.3">
      <c r="A209" s="179"/>
      <c r="B209" s="47" t="s">
        <v>56</v>
      </c>
      <c r="C209" s="100">
        <f>IFERROR(SR_demand_forecast!D204*Settings!$K$67,"-")</f>
        <v>151445.12040552808</v>
      </c>
      <c r="D209" s="100">
        <f>IFERROR(SR_demand_forecast!E204*Settings!$K$67,"-")</f>
        <v>187791.94930285483</v>
      </c>
      <c r="E209" s="100">
        <f>IFERROR(SR_demand_forecast!F204*Settings!$K$67,"-")</f>
        <v>270686.01843805297</v>
      </c>
      <c r="F209" s="100">
        <f>IFERROR(SR_demand_forecast!G204*Settings!$K$67,"-")</f>
        <v>313187.76342265465</v>
      </c>
      <c r="G209" s="100">
        <f>IFERROR(SR_demand_forecast!H204*Settings!$K$67,"-")</f>
        <v>357281.30379926524</v>
      </c>
      <c r="H209" s="100">
        <f>IFERROR(SR_demand_forecast!I204*Settings!$K$67,"-")</f>
        <v>403013.31068557117</v>
      </c>
      <c r="I209" s="100">
        <f>IFERROR(SR_demand_forecast!J204*Settings!$K$67,"-")</f>
        <v>450431.68532580975</v>
      </c>
      <c r="J209" s="100">
        <f>IFERROR(SR_demand_forecast!K204*Settings!$K$67,"-")</f>
        <v>499585.58962738339</v>
      </c>
      <c r="K209" s="100">
        <f>IFERROR(SR_demand_forecast!L204*Settings!$K$67,"-")</f>
        <v>550525.47742688982</v>
      </c>
      <c r="L209" s="100">
        <f>IFERROR(SR_demand_forecast!M204*Settings!$K$67,"-")</f>
        <v>603303.12650252564</v>
      </c>
      <c r="M209" s="100">
        <f>IFERROR(SR_demand_forecast!N204*Settings!$K$67,"-")</f>
        <v>615369.18903257628</v>
      </c>
      <c r="N209" s="100">
        <f>IFERROR(SR_demand_forecast!O204*Settings!$K$67,"-")</f>
        <v>627676.57281322766</v>
      </c>
      <c r="O209" s="100">
        <f>IFERROR(SR_demand_forecast!P204*Settings!$K$67,"-")</f>
        <v>640230.10426949232</v>
      </c>
      <c r="P209" s="100">
        <f>IFERROR(SR_demand_forecast!Q204*Settings!$K$67,"-")</f>
        <v>653034.7063548821</v>
      </c>
      <c r="Q209" s="100">
        <f>IFERROR(SR_demand_forecast!R204*Settings!$K$67,"-")</f>
        <v>666095.40048197983</v>
      </c>
      <c r="R209" s="100">
        <f>IFERROR(SR_demand_forecast!S204*Settings!$K$67,"-")</f>
        <v>679417.3084916193</v>
      </c>
      <c r="S209" s="100">
        <f>IFERROR(SR_demand_forecast!T204*Settings!$K$67,"-")</f>
        <v>693005.6546614517</v>
      </c>
      <c r="T209" s="100">
        <f>IFERROR(SR_demand_forecast!U204*Settings!$K$67,"-")</f>
        <v>706865.76775468083</v>
      </c>
      <c r="U209" s="100">
        <f>IFERROR(SR_demand_forecast!V204*Settings!$K$67,"-")</f>
        <v>721003.08310977428</v>
      </c>
      <c r="V209" s="100">
        <f>IFERROR(SR_demand_forecast!W204*Settings!$K$67,"-")</f>
        <v>735423.14477196988</v>
      </c>
    </row>
    <row r="210" spans="1:22" x14ac:dyDescent="0.3">
      <c r="A210" s="179"/>
      <c r="B210" s="47" t="s">
        <v>100</v>
      </c>
      <c r="C210" s="100">
        <f>IFERROR(SR_demand_forecast!D205*Settings!$K$67,"-")</f>
        <v>0</v>
      </c>
      <c r="D210" s="100">
        <f>IFERROR(SR_demand_forecast!E205*Settings!$K$67,"-")</f>
        <v>0</v>
      </c>
      <c r="E210" s="100">
        <f>IFERROR(SR_demand_forecast!F205*Settings!$K$67,"-")</f>
        <v>0</v>
      </c>
      <c r="F210" s="100">
        <f>IFERROR(SR_demand_forecast!G205*Settings!$K$67,"-")</f>
        <v>0</v>
      </c>
      <c r="G210" s="100">
        <f>IFERROR(SR_demand_forecast!H205*Settings!$K$67,"-")</f>
        <v>0</v>
      </c>
      <c r="H210" s="100">
        <f>IFERROR(SR_demand_forecast!I205*Settings!$K$67,"-")</f>
        <v>0</v>
      </c>
      <c r="I210" s="100">
        <f>IFERROR(SR_demand_forecast!J205*Settings!$K$67,"-")</f>
        <v>0</v>
      </c>
      <c r="J210" s="100">
        <f>IFERROR(SR_demand_forecast!K205*Settings!$K$67,"-")</f>
        <v>0</v>
      </c>
      <c r="K210" s="100">
        <f>IFERROR(SR_demand_forecast!L205*Settings!$K$67,"-")</f>
        <v>0</v>
      </c>
      <c r="L210" s="100">
        <f>IFERROR(SR_demand_forecast!M205*Settings!$K$67,"-")</f>
        <v>0</v>
      </c>
      <c r="M210" s="100">
        <f>IFERROR(SR_demand_forecast!N205*Settings!$K$67,"-")</f>
        <v>0</v>
      </c>
      <c r="N210" s="100">
        <f>IFERROR(SR_demand_forecast!O205*Settings!$K$67,"-")</f>
        <v>0</v>
      </c>
      <c r="O210" s="100">
        <f>IFERROR(SR_demand_forecast!P205*Settings!$K$67,"-")</f>
        <v>0</v>
      </c>
      <c r="P210" s="100">
        <f>IFERROR(SR_demand_forecast!Q205*Settings!$K$67,"-")</f>
        <v>0</v>
      </c>
      <c r="Q210" s="100">
        <f>IFERROR(SR_demand_forecast!R205*Settings!$K$67,"-")</f>
        <v>0</v>
      </c>
      <c r="R210" s="100">
        <f>IFERROR(SR_demand_forecast!S205*Settings!$K$67,"-")</f>
        <v>0</v>
      </c>
      <c r="S210" s="100">
        <f>IFERROR(SR_demand_forecast!T205*Settings!$K$67,"-")</f>
        <v>0</v>
      </c>
      <c r="T210" s="100">
        <f>IFERROR(SR_demand_forecast!U205*Settings!$K$67,"-")</f>
        <v>0</v>
      </c>
      <c r="U210" s="100">
        <f>IFERROR(SR_demand_forecast!V205*Settings!$K$67,"-")</f>
        <v>0</v>
      </c>
      <c r="V210" s="100">
        <f>IFERROR(SR_demand_forecast!W205*Settings!$K$67,"-")</f>
        <v>0</v>
      </c>
    </row>
    <row r="211" spans="1:22" x14ac:dyDescent="0.3">
      <c r="A211" s="179"/>
      <c r="B211" s="47" t="s">
        <v>60</v>
      </c>
      <c r="C211" s="100">
        <f>IFERROR(SR_demand_forecast!D206*Settings!$K$67,"-")</f>
        <v>9076.1486521444531</v>
      </c>
      <c r="D211" s="100">
        <f>IFERROR(SR_demand_forecast!E206*Settings!$K$67,"-")</f>
        <v>10649.347751849491</v>
      </c>
      <c r="E211" s="100">
        <f>IFERROR(SR_demand_forecast!F206*Settings!$K$67,"-")</f>
        <v>12284.869738965921</v>
      </c>
      <c r="F211" s="100">
        <f>IFERROR(SR_demand_forecast!G206*Settings!$K$67,"-")</f>
        <v>13984.578249350317</v>
      </c>
      <c r="G211" s="100">
        <f>IFERROR(SR_demand_forecast!H206*Settings!$K$67,"-")</f>
        <v>16373.858650036347</v>
      </c>
      <c r="H211" s="100">
        <f>IFERROR(SR_demand_forecast!I206*Settings!$K$67,"-")</f>
        <v>18371.469405340784</v>
      </c>
      <c r="I211" s="100">
        <f>IFERROR(SR_demand_forecast!J206*Settings!$K$67,"-")</f>
        <v>20442.435047397383</v>
      </c>
      <c r="J211" s="100">
        <f>IFERROR(SR_demand_forecast!K206*Settings!$K$67,"-")</f>
        <v>22588.890727374095</v>
      </c>
      <c r="K211" s="100">
        <f>IFERROR(SR_demand_forecast!L206*Settings!$K$67,"-")</f>
        <v>24813.027660530934</v>
      </c>
      <c r="L211" s="100">
        <f>IFERROR(SR_demand_forecast!M206*Settings!$K$67,"-")</f>
        <v>27117.094514723096</v>
      </c>
      <c r="M211" s="100">
        <f>IFERROR(SR_demand_forecast!N206*Settings!$K$67,"-")</f>
        <v>27659.436405017557</v>
      </c>
      <c r="N211" s="100">
        <f>IFERROR(SR_demand_forecast!O206*Settings!$K$67,"-")</f>
        <v>28212.625133117905</v>
      </c>
      <c r="O211" s="100">
        <f>IFERROR(SR_demand_forecast!P206*Settings!$K$67,"-")</f>
        <v>28776.877635780267</v>
      </c>
      <c r="P211" s="100">
        <f>IFERROR(SR_demand_forecast!Q206*Settings!$K$67,"-")</f>
        <v>29352.41518849587</v>
      </c>
      <c r="Q211" s="100">
        <f>IFERROR(SR_demand_forecast!R206*Settings!$K$67,"-")</f>
        <v>29939.46349226579</v>
      </c>
      <c r="R211" s="100">
        <f>IFERROR(SR_demand_forecast!S206*Settings!$K$67,"-")</f>
        <v>30538.252762111097</v>
      </c>
      <c r="S211" s="100">
        <f>IFERROR(SR_demand_forecast!T206*Settings!$K$67,"-")</f>
        <v>31149.017817353324</v>
      </c>
      <c r="T211" s="100">
        <f>IFERROR(SR_demand_forecast!U206*Settings!$K$67,"-")</f>
        <v>31771.998173700395</v>
      </c>
      <c r="U211" s="100">
        <f>IFERROR(SR_demand_forecast!V206*Settings!$K$67,"-")</f>
        <v>32407.438137174398</v>
      </c>
      <c r="V211" s="100">
        <f>IFERROR(SR_demand_forecast!W206*Settings!$K$67,"-")</f>
        <v>33055.586899917886</v>
      </c>
    </row>
    <row r="212" spans="1:22" x14ac:dyDescent="0.3">
      <c r="A212" s="179"/>
      <c r="B212" s="47" t="s">
        <v>101</v>
      </c>
      <c r="C212" s="100">
        <f>IFERROR(SR_demand_forecast!D207*Settings!$K$67,"-")</f>
        <v>0</v>
      </c>
      <c r="D212" s="100">
        <f>IFERROR(SR_demand_forecast!E207*Settings!$K$67,"-")</f>
        <v>0</v>
      </c>
      <c r="E212" s="100">
        <f>IFERROR(SR_demand_forecast!F207*Settings!$K$67,"-")</f>
        <v>0</v>
      </c>
      <c r="F212" s="100">
        <f>IFERROR(SR_demand_forecast!G207*Settings!$K$67,"-")</f>
        <v>0</v>
      </c>
      <c r="G212" s="100">
        <f>IFERROR(SR_demand_forecast!H207*Settings!$K$67,"-")</f>
        <v>0</v>
      </c>
      <c r="H212" s="100">
        <f>IFERROR(SR_demand_forecast!I207*Settings!$K$67,"-")</f>
        <v>0</v>
      </c>
      <c r="I212" s="100">
        <f>IFERROR(SR_demand_forecast!J207*Settings!$K$67,"-")</f>
        <v>0</v>
      </c>
      <c r="J212" s="100">
        <f>IFERROR(SR_demand_forecast!K207*Settings!$K$67,"-")</f>
        <v>0</v>
      </c>
      <c r="K212" s="100">
        <f>IFERROR(SR_demand_forecast!L207*Settings!$K$67,"-")</f>
        <v>0</v>
      </c>
      <c r="L212" s="100">
        <f>IFERROR(SR_demand_forecast!M207*Settings!$K$67,"-")</f>
        <v>0</v>
      </c>
      <c r="M212" s="100">
        <f>IFERROR(SR_demand_forecast!N207*Settings!$K$67,"-")</f>
        <v>0</v>
      </c>
      <c r="N212" s="100">
        <f>IFERROR(SR_demand_forecast!O207*Settings!$K$67,"-")</f>
        <v>0</v>
      </c>
      <c r="O212" s="100">
        <f>IFERROR(SR_demand_forecast!P207*Settings!$K$67,"-")</f>
        <v>0</v>
      </c>
      <c r="P212" s="100">
        <f>IFERROR(SR_demand_forecast!Q207*Settings!$K$67,"-")</f>
        <v>0</v>
      </c>
      <c r="Q212" s="100">
        <f>IFERROR(SR_demand_forecast!R207*Settings!$K$67,"-")</f>
        <v>0</v>
      </c>
      <c r="R212" s="100">
        <f>IFERROR(SR_demand_forecast!S207*Settings!$K$67,"-")</f>
        <v>0</v>
      </c>
      <c r="S212" s="100">
        <f>IFERROR(SR_demand_forecast!T207*Settings!$K$67,"-")</f>
        <v>0</v>
      </c>
      <c r="T212" s="100">
        <f>IFERROR(SR_demand_forecast!U207*Settings!$K$67,"-")</f>
        <v>0</v>
      </c>
      <c r="U212" s="100">
        <f>IFERROR(SR_demand_forecast!V207*Settings!$K$67,"-")</f>
        <v>0</v>
      </c>
      <c r="V212" s="100">
        <f>IFERROR(SR_demand_forecast!W207*Settings!$K$67,"-")</f>
        <v>0</v>
      </c>
    </row>
    <row r="213" spans="1:22" x14ac:dyDescent="0.3">
      <c r="A213" s="179"/>
      <c r="B213" s="47" t="s">
        <v>58</v>
      </c>
      <c r="C213" s="100">
        <f>IFERROR(SR_demand_forecast!D208*Settings!$K$67,"-")</f>
        <v>131871.87391977527</v>
      </c>
      <c r="D213" s="100">
        <f>IFERROR(SR_demand_forecast!E208*Settings!$K$67,"-")</f>
        <v>151464.2666164276</v>
      </c>
      <c r="E213" s="100">
        <f>IFERROR(SR_demand_forecast!F208*Settings!$K$67,"-")</f>
        <v>171832.81948529344</v>
      </c>
      <c r="F213" s="100">
        <f>IFERROR(SR_demand_forecast!G208*Settings!$K$67,"-")</f>
        <v>193000.7419761827</v>
      </c>
      <c r="G213" s="100">
        <f>IFERROR(SR_demand_forecast!H208*Settings!$K$67,"-")</f>
        <v>218097.71385581588</v>
      </c>
      <c r="H213" s="100">
        <f>IFERROR(SR_demand_forecast!I208*Settings!$K$67,"-")</f>
        <v>241752.16164196824</v>
      </c>
      <c r="I213" s="100">
        <f>IFERROR(SR_demand_forecast!J208*Settings!$K$67,"-")</f>
        <v>266295.69039663469</v>
      </c>
      <c r="J213" s="100">
        <f>IFERROR(SR_demand_forecast!K208*Settings!$K$67,"-")</f>
        <v>291754.40157944115</v>
      </c>
      <c r="K213" s="100">
        <f>IFERROR(SR_demand_forecast!L208*Settings!$K$67,"-")</f>
        <v>318155.08507601148</v>
      </c>
      <c r="L213" s="100">
        <f>IFERROR(SR_demand_forecast!M208*Settings!$K$67,"-")</f>
        <v>345525.23629442311</v>
      </c>
      <c r="M213" s="100">
        <f>IFERROR(SR_demand_forecast!N208*Settings!$K$67,"-")</f>
        <v>350928.63388979988</v>
      </c>
      <c r="N213" s="100">
        <f>IFERROR(SR_demand_forecast!O208*Settings!$K$67,"-")</f>
        <v>356440.09943708411</v>
      </c>
      <c r="O213" s="100">
        <f>IFERROR(SR_demand_forecast!P208*Settings!$K$67,"-")</f>
        <v>362061.79429531412</v>
      </c>
      <c r="P213" s="100">
        <f>IFERROR(SR_demand_forecast!Q208*Settings!$K$67,"-")</f>
        <v>367795.92305070866</v>
      </c>
      <c r="Q213" s="100">
        <f>IFERROR(SR_demand_forecast!R208*Settings!$K$67,"-")</f>
        <v>373644.73438121111</v>
      </c>
      <c r="R213" s="100">
        <f>IFERROR(SR_demand_forecast!S208*Settings!$K$67,"-")</f>
        <v>379610.52193832357</v>
      </c>
      <c r="S213" s="100">
        <f>IFERROR(SR_demand_forecast!T208*Settings!$K$67,"-")</f>
        <v>385695.62524657836</v>
      </c>
      <c r="T213" s="100">
        <f>IFERROR(SR_demand_forecast!U208*Settings!$K$67,"-")</f>
        <v>391902.43062099832</v>
      </c>
      <c r="U213" s="100">
        <f>IFERROR(SR_demand_forecast!V208*Settings!$K$67,"-")</f>
        <v>398233.37210290646</v>
      </c>
      <c r="V213" s="100">
        <f>IFERROR(SR_demand_forecast!W208*Settings!$K$67,"-")</f>
        <v>404690.93241445289</v>
      </c>
    </row>
    <row r="214" spans="1:22" x14ac:dyDescent="0.3">
      <c r="A214" s="179"/>
      <c r="B214" s="47" t="s">
        <v>61</v>
      </c>
      <c r="C214" s="100">
        <f>IFERROR(SR_demand_forecast!D209*Settings!$K$67,"-")</f>
        <v>1828694.4909519234</v>
      </c>
      <c r="D214" s="100">
        <f>IFERROR(SR_demand_forecast!E209*Settings!$K$67,"-")</f>
        <v>2012672.2397386022</v>
      </c>
      <c r="E214" s="100">
        <f>IFERROR(SR_demand_forecast!F209*Settings!$K$67,"-")</f>
        <v>2203720.9405569606</v>
      </c>
      <c r="F214" s="100">
        <f>IFERROR(SR_demand_forecast!G209*Settings!$K$67,"-")</f>
        <v>2402049.8403887535</v>
      </c>
      <c r="G214" s="100">
        <f>IFERROR(SR_demand_forecast!H209*Settings!$K$67,"-")</f>
        <v>2607873.7277141893</v>
      </c>
      <c r="H214" s="100">
        <f>IFERROR(SR_demand_forecast!I209*Settings!$K$67,"-")</f>
        <v>2879089.4315111702</v>
      </c>
      <c r="I214" s="100">
        <f>IFERROR(SR_demand_forecast!J209*Settings!$K$67,"-")</f>
        <v>3112807.0425015478</v>
      </c>
      <c r="J214" s="100">
        <f>IFERROR(SR_demand_forecast!K209*Settings!$K$67,"-")</f>
        <v>3354943.382097234</v>
      </c>
      <c r="K214" s="100">
        <f>IFERROR(SR_demand_forecast!L209*Settings!$K$67,"-")</f>
        <v>3605741.7123980448</v>
      </c>
      <c r="L214" s="100">
        <f>IFERROR(SR_demand_forecast!M209*Settings!$K$67,"-")</f>
        <v>3865451.6584963463</v>
      </c>
      <c r="M214" s="100">
        <f>IFERROR(SR_demand_forecast!N209*Settings!$K$67,"-")</f>
        <v>3931677.6947514131</v>
      </c>
      <c r="N214" s="100">
        <f>IFERROR(SR_demand_forecast!O209*Settings!$K$67,"-")</f>
        <v>3999228.2517315801</v>
      </c>
      <c r="O214" s="100">
        <f>IFERROR(SR_demand_forecast!P209*Settings!$K$67,"-")</f>
        <v>4068129.8198513524</v>
      </c>
      <c r="P214" s="100">
        <f>IFERROR(SR_demand_forecast!Q209*Settings!$K$67,"-")</f>
        <v>4138409.4193335194</v>
      </c>
      <c r="Q214" s="100">
        <f>IFERROR(SR_demand_forecast!R209*Settings!$K$67,"-")</f>
        <v>4210094.6108053299</v>
      </c>
      <c r="R214" s="100">
        <f>IFERROR(SR_demand_forecast!S209*Settings!$K$67,"-")</f>
        <v>4283213.506106575</v>
      </c>
      <c r="S214" s="100">
        <f>IFERROR(SR_demand_forecast!T209*Settings!$K$67,"-")</f>
        <v>4357794.7793138474</v>
      </c>
      <c r="T214" s="100">
        <f>IFERROR(SR_demand_forecast!U209*Settings!$K$67,"-")</f>
        <v>4433867.677985264</v>
      </c>
      <c r="U214" s="100">
        <f>IFERROR(SR_demand_forecast!V209*Settings!$K$67,"-")</f>
        <v>4511462.0346301096</v>
      </c>
      <c r="V214" s="100">
        <f>IFERROR(SR_demand_forecast!W209*Settings!$K$67,"-")</f>
        <v>4590608.2784078512</v>
      </c>
    </row>
    <row r="215" spans="1:22" x14ac:dyDescent="0.3">
      <c r="A215" s="179"/>
      <c r="B215" s="47" t="s">
        <v>104</v>
      </c>
      <c r="C215" s="176">
        <f>SUM(C207:C214)</f>
        <v>31293035.138724323</v>
      </c>
      <c r="D215" s="176">
        <f>SUM(D207:D214)</f>
        <v>34166749.871952049</v>
      </c>
      <c r="E215" s="176">
        <f>SUM(E207:E214)</f>
        <v>39477030.337403834</v>
      </c>
      <c r="F215" s="176">
        <f>SUM(F207:F214)</f>
        <v>43923388.664567247</v>
      </c>
      <c r="G215" s="176">
        <f>SUM(G207:G214)</f>
        <v>49264282.90454942</v>
      </c>
      <c r="H215" s="176">
        <f>SUM(H207:H214)</f>
        <v>54433013.524408408</v>
      </c>
      <c r="I215" s="176">
        <f>SUM(I207:I214)</f>
        <v>59879939.034928307</v>
      </c>
      <c r="J215" s="176">
        <f>SUM(J207:J214)</f>
        <v>65497442.687350266</v>
      </c>
      <c r="K215" s="176">
        <f>SUM(K207:K214)</f>
        <v>71031809.694237679</v>
      </c>
      <c r="L215" s="176">
        <f>SUM(L207:L214)</f>
        <v>76765061.331393003</v>
      </c>
      <c r="M215" s="176">
        <f>SUM(M207:M214)</f>
        <v>80828147.899927169</v>
      </c>
      <c r="N215" s="176">
        <f>SUM(N207:N214)</f>
        <v>82297000.982337058</v>
      </c>
      <c r="O215" s="176">
        <f>SUM(O207:O214)</f>
        <v>83795231.126395166</v>
      </c>
      <c r="P215" s="176">
        <f>SUM(P207:P214)</f>
        <v>85323425.873334438</v>
      </c>
      <c r="Q215" s="176">
        <f>SUM(Q207:Q214)</f>
        <v>86882184.515212491</v>
      </c>
      <c r="R215" s="176">
        <f>SUM(R207:R214)</f>
        <v>88472118.329928085</v>
      </c>
      <c r="S215" s="176">
        <f>SUM(S207:S214)</f>
        <v>90093850.820938021</v>
      </c>
      <c r="T215" s="176">
        <f>SUM(T207:T214)</f>
        <v>91748017.96176815</v>
      </c>
      <c r="U215" s="176">
        <f>SUM(U207:U214)</f>
        <v>93435268.445414856</v>
      </c>
      <c r="V215" s="176">
        <f>SUM(V207:V214)</f>
        <v>95156263.938734517</v>
      </c>
    </row>
    <row r="216" spans="1:22" x14ac:dyDescent="0.3">
      <c r="A216" s="179"/>
    </row>
    <row r="217" spans="1:22" x14ac:dyDescent="0.3">
      <c r="A217" s="179"/>
    </row>
    <row r="218" spans="1:22" x14ac:dyDescent="0.3">
      <c r="A218" s="179"/>
    </row>
    <row r="219" spans="1:22" x14ac:dyDescent="0.3">
      <c r="A219" s="179"/>
    </row>
    <row r="220" spans="1:22" x14ac:dyDescent="0.3">
      <c r="A220" s="179"/>
    </row>
    <row r="221" spans="1:22" x14ac:dyDescent="0.3">
      <c r="A221" s="179"/>
    </row>
    <row r="222" spans="1:22" x14ac:dyDescent="0.3">
      <c r="A222" s="179"/>
    </row>
    <row r="223" spans="1:22" x14ac:dyDescent="0.3">
      <c r="A223" s="179"/>
    </row>
    <row r="224" spans="1:22" x14ac:dyDescent="0.3">
      <c r="A224" s="179"/>
    </row>
  </sheetData>
  <mergeCells count="4">
    <mergeCell ref="A1:A56"/>
    <mergeCell ref="A57:A112"/>
    <mergeCell ref="A113:A168"/>
    <mergeCell ref="A169:A224"/>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BD12-77F9-4841-8B34-835DE85B165A}">
  <sheetPr>
    <tabColor rgb="FF105BD8"/>
  </sheetPr>
  <dimension ref="A1"/>
  <sheetViews>
    <sheetView zoomScaleNormal="100" workbookViewId="0">
      <selection activeCell="AD23" sqref="AD23"/>
    </sheetView>
  </sheetViews>
  <sheetFormatPr defaultRowHeight="14.4" x14ac:dyDescent="0.3"/>
  <cols>
    <col min="1" max="16384" width="8.88671875" style="1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2121"/>
  </sheetPr>
  <dimension ref="A1:AZ998"/>
  <sheetViews>
    <sheetView showGridLines="0" zoomScale="70" zoomScaleNormal="70" workbookViewId="0">
      <selection activeCell="D13" sqref="D13"/>
    </sheetView>
  </sheetViews>
  <sheetFormatPr defaultColWidth="8.88671875" defaultRowHeight="13.8" x14ac:dyDescent="0.25"/>
  <cols>
    <col min="1" max="16384" width="8.88671875" style="3"/>
  </cols>
  <sheetData>
    <row r="1" spans="1:52" ht="14.4" customHeight="1" x14ac:dyDescent="0.25">
      <c r="A1" s="159" t="s">
        <v>3</v>
      </c>
      <c r="B1" s="159"/>
      <c r="C1" s="159"/>
      <c r="D1" s="159"/>
      <c r="E1" s="159"/>
      <c r="F1" s="159"/>
      <c r="G1" s="159"/>
      <c r="H1" s="159"/>
      <c r="I1" s="159"/>
      <c r="J1" s="159"/>
      <c r="K1" s="159"/>
      <c r="L1" s="159"/>
      <c r="M1" s="159"/>
      <c r="N1" s="159"/>
      <c r="O1" s="159"/>
      <c r="P1" s="159"/>
      <c r="Q1" s="159"/>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13.8" customHeight="1" x14ac:dyDescent="0.25">
      <c r="A2" s="159"/>
      <c r="B2" s="159"/>
      <c r="C2" s="159"/>
      <c r="D2" s="159"/>
      <c r="E2" s="159"/>
      <c r="F2" s="159"/>
      <c r="G2" s="159"/>
      <c r="H2" s="159"/>
      <c r="I2" s="159"/>
      <c r="J2" s="159"/>
      <c r="K2" s="159"/>
      <c r="L2" s="159"/>
      <c r="M2" s="159"/>
      <c r="N2" s="159"/>
      <c r="O2" s="159"/>
      <c r="P2" s="159"/>
      <c r="Q2" s="159"/>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8" customHeight="1" x14ac:dyDescent="0.25">
      <c r="A3" s="159"/>
      <c r="B3" s="159"/>
      <c r="C3" s="159"/>
      <c r="D3" s="159"/>
      <c r="E3" s="159"/>
      <c r="F3" s="159"/>
      <c r="G3" s="159"/>
      <c r="H3" s="159"/>
      <c r="I3" s="159"/>
      <c r="J3" s="159"/>
      <c r="K3" s="159"/>
      <c r="L3" s="159"/>
      <c r="M3" s="159"/>
      <c r="N3" s="159"/>
      <c r="O3" s="159"/>
      <c r="P3" s="159"/>
      <c r="Q3" s="159"/>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52" ht="13.8" customHeight="1" x14ac:dyDescent="0.25">
      <c r="A4" s="159"/>
      <c r="B4" s="159"/>
      <c r="C4" s="159"/>
      <c r="D4" s="159"/>
      <c r="E4" s="159"/>
      <c r="F4" s="159"/>
      <c r="G4" s="159"/>
      <c r="H4" s="159"/>
      <c r="I4" s="159"/>
      <c r="J4" s="159"/>
      <c r="K4" s="159"/>
      <c r="L4" s="159"/>
      <c r="M4" s="159"/>
      <c r="N4" s="159"/>
      <c r="O4" s="159"/>
      <c r="P4" s="159"/>
      <c r="Q4" s="159"/>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2" x14ac:dyDescent="0.25">
      <c r="A5" s="159"/>
      <c r="B5" s="159"/>
      <c r="C5" s="159"/>
      <c r="D5" s="159"/>
      <c r="E5" s="159"/>
      <c r="F5" s="159"/>
      <c r="G5" s="159"/>
      <c r="H5" s="159"/>
      <c r="I5" s="159"/>
      <c r="J5" s="159"/>
      <c r="K5" s="159"/>
      <c r="L5" s="159"/>
      <c r="M5" s="159"/>
      <c r="N5" s="159"/>
      <c r="O5" s="159"/>
      <c r="P5" s="159"/>
      <c r="Q5" s="159"/>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2" x14ac:dyDescent="0.25">
      <c r="A6" s="159"/>
      <c r="B6" s="159"/>
      <c r="C6" s="159"/>
      <c r="D6" s="159"/>
      <c r="E6" s="159"/>
      <c r="F6" s="159"/>
      <c r="G6" s="159"/>
      <c r="H6" s="159"/>
      <c r="I6" s="159"/>
      <c r="J6" s="159"/>
      <c r="K6" s="159"/>
      <c r="L6" s="159"/>
      <c r="M6" s="159"/>
      <c r="N6" s="159"/>
      <c r="O6" s="159"/>
      <c r="P6" s="159"/>
      <c r="Q6" s="159"/>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2"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2" x14ac:dyDescent="0.25">
      <c r="A8" s="2"/>
      <c r="B8" s="4" t="s">
        <v>4</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2" x14ac:dyDescent="0.25">
      <c r="A9" s="2"/>
      <c r="B9" s="5" t="s">
        <v>26</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2"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x14ac:dyDescent="0.25">
      <c r="A11" s="2"/>
      <c r="B11" s="4" t="s">
        <v>5</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x14ac:dyDescent="0.25">
      <c r="A12" s="2"/>
      <c r="B12" s="5" t="s">
        <v>27</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x14ac:dyDescent="0.25">
      <c r="A13" s="2"/>
      <c r="B13" s="5" t="s">
        <v>28</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x14ac:dyDescent="0.25">
      <c r="A14" s="2"/>
      <c r="B14" s="5" t="s">
        <v>29</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row>
    <row r="15" spans="1:52" x14ac:dyDescent="0.25">
      <c r="A15" s="2"/>
      <c r="B15" s="5" t="s">
        <v>30</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row>
    <row r="17" spans="1:52" x14ac:dyDescent="0.25">
      <c r="A17" s="2"/>
      <c r="B17" s="4" t="s">
        <v>31</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row>
    <row r="19" spans="1:52"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row>
    <row r="21" spans="1:52"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row>
    <row r="23" spans="1:52"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row>
    <row r="25" spans="1:52" ht="14.4" x14ac:dyDescent="0.3">
      <c r="A25" s="2"/>
      <c r="B25" s="2"/>
      <c r="C25" s="2"/>
      <c r="D25" s="2"/>
      <c r="E25" s="2"/>
      <c r="F25" s="2"/>
      <c r="G25" s="2"/>
      <c r="H25" s="2"/>
      <c r="I25" s="2"/>
      <c r="J25" s="2"/>
      <c r="K25" s="2"/>
      <c r="L25" s="2"/>
      <c r="M25" s="2"/>
      <c r="N25" s="2"/>
      <c r="O25" s="2"/>
      <c r="P25" s="2"/>
      <c r="Q25" s="2"/>
      <c r="R25" s="2"/>
      <c r="S25" s="2"/>
      <c r="T25"/>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row>
    <row r="27" spans="1:5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row>
    <row r="31" spans="1:5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row>
    <row r="33" spans="1:5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row>
    <row r="35" spans="1:5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row>
    <row r="37" spans="1:5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row>
    <row r="38" spans="1:5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1:5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row>
    <row r="46" spans="1:5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row>
    <row r="48" spans="1:5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row>
    <row r="49" spans="1:5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row>
    <row r="51" spans="1:5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row>
    <row r="53" spans="1:5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row>
    <row r="55" spans="1:5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row>
    <row r="59" spans="1:5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row>
    <row r="61" spans="1:5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row>
    <row r="63" spans="1:5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row>
    <row r="65" spans="1:5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row>
    <row r="66" spans="1:5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row>
    <row r="67" spans="1:5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row>
    <row r="69" spans="1:5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row>
    <row r="73" spans="1:5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row>
    <row r="75" spans="1:5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row>
    <row r="77" spans="1:5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row>
    <row r="79" spans="1:5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sheetData>
  <mergeCells count="1">
    <mergeCell ref="A1:Q6"/>
  </mergeCells>
  <pageMargins left="0.75" right="0.75" top="1" bottom="1" header="0.5" footer="0.5"/>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5D62-ECFF-4D13-9E28-0520ACBBFDDD}">
  <sheetPr>
    <tabColor rgb="FF105BD8"/>
  </sheetPr>
  <dimension ref="B84"/>
  <sheetViews>
    <sheetView zoomScaleNormal="100" workbookViewId="0">
      <selection sqref="A1:A1048576"/>
    </sheetView>
  </sheetViews>
  <sheetFormatPr defaultRowHeight="14.4" x14ac:dyDescent="0.3"/>
  <cols>
    <col min="1" max="16384" width="8.88671875" style="13"/>
  </cols>
  <sheetData>
    <row r="84" spans="2:2" x14ac:dyDescent="0.3">
      <c r="B84" s="43" t="s">
        <v>140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66AB-7AF2-4BB0-9DB1-A51154AD5216}">
  <sheetPr>
    <tabColor rgb="FF105BD8"/>
  </sheetPr>
  <dimension ref="B84"/>
  <sheetViews>
    <sheetView zoomScaleNormal="100" workbookViewId="0">
      <selection sqref="A1:A1048576"/>
    </sheetView>
  </sheetViews>
  <sheetFormatPr defaultRowHeight="14.4" x14ac:dyDescent="0.3"/>
  <cols>
    <col min="1" max="16384" width="8.88671875" style="13"/>
  </cols>
  <sheetData>
    <row r="84" spans="2:2" x14ac:dyDescent="0.3">
      <c r="B84" s="43" t="s">
        <v>140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DC3-B6D7-4A53-8051-F94974E02BF0}">
  <sheetPr>
    <tabColor rgb="FF105BD8"/>
  </sheetPr>
  <dimension ref="A1"/>
  <sheetViews>
    <sheetView zoomScaleNormal="100" workbookViewId="0">
      <selection activeCell="AK66" sqref="AK66"/>
    </sheetView>
  </sheetViews>
  <sheetFormatPr defaultRowHeight="14.4" x14ac:dyDescent="0.3"/>
  <cols>
    <col min="1" max="16384" width="8.88671875" style="13"/>
  </cols>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FFC6-1F62-4147-80C1-5D5D4BF7602C}">
  <sheetPr>
    <tabColor rgb="FF105BD8"/>
  </sheetPr>
  <dimension ref="A1"/>
  <sheetViews>
    <sheetView zoomScaleNormal="100" workbookViewId="0">
      <selection activeCell="AS36" sqref="AS36"/>
    </sheetView>
  </sheetViews>
  <sheetFormatPr defaultRowHeight="14.4" x14ac:dyDescent="0.3"/>
  <cols>
    <col min="1" max="16384" width="8.88671875" style="13"/>
  </cols>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2771-5D64-4B3B-B1A1-E6BE3E4AD752}">
  <sheetPr>
    <tabColor rgb="FF105BD8"/>
  </sheetPr>
  <dimension ref="A1"/>
  <sheetViews>
    <sheetView zoomScaleNormal="100" workbookViewId="0">
      <selection activeCell="AE20" sqref="AE20"/>
    </sheetView>
  </sheetViews>
  <sheetFormatPr defaultRowHeight="14.4" x14ac:dyDescent="0.3"/>
  <cols>
    <col min="1" max="16384" width="8.88671875" style="1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90C1-FA82-4BEF-9A76-47396F05ACE3}">
  <sheetPr codeName="Sheet6">
    <tabColor rgb="FF212121"/>
  </sheetPr>
  <dimension ref="A1:S88"/>
  <sheetViews>
    <sheetView showGridLines="0" zoomScale="40" zoomScaleNormal="40" workbookViewId="0">
      <selection activeCell="U1" sqref="U1:AG1048576"/>
    </sheetView>
  </sheetViews>
  <sheetFormatPr defaultColWidth="8.88671875" defaultRowHeight="13.8" x14ac:dyDescent="0.25"/>
  <cols>
    <col min="1" max="1" width="35.88671875" style="184" customWidth="1"/>
    <col min="2" max="2" width="27.88671875" style="184" bestFit="1" customWidth="1"/>
    <col min="3" max="3" width="19.44140625" style="184" customWidth="1"/>
    <col min="4" max="4" width="12.33203125" style="184" bestFit="1" customWidth="1"/>
    <col min="5" max="5" width="16.21875" style="184" customWidth="1"/>
    <col min="6" max="6" width="11" style="184" customWidth="1"/>
    <col min="7" max="7" width="11.88671875" style="184" customWidth="1"/>
    <col min="8" max="8" width="11.88671875" style="184" bestFit="1" customWidth="1"/>
    <col min="9" max="9" width="9.21875" style="184" customWidth="1"/>
    <col min="10" max="10" width="24.109375" style="184" customWidth="1"/>
    <col min="11" max="11" width="14.77734375" style="184" bestFit="1" customWidth="1"/>
    <col min="12" max="12" width="8.88671875" style="184"/>
    <col min="13" max="13" width="64.5546875" style="184" bestFit="1" customWidth="1"/>
    <col min="14" max="14" width="6.77734375" style="184" bestFit="1" customWidth="1"/>
    <col min="15" max="15" width="6.6640625" style="184" bestFit="1" customWidth="1"/>
    <col min="16" max="16" width="6.5546875" style="184" bestFit="1" customWidth="1"/>
    <col min="17" max="17" width="9.77734375" style="184" bestFit="1" customWidth="1"/>
    <col min="18" max="18" width="5.88671875" style="184" bestFit="1" customWidth="1"/>
    <col min="19" max="19" width="6.6640625" style="184" customWidth="1"/>
    <col min="20" max="20" width="8.88671875" style="184"/>
    <col min="21" max="21" width="9.6640625" style="184" customWidth="1"/>
    <col min="22" max="22" width="8.5546875" style="184" customWidth="1"/>
    <col min="23" max="16384" width="8.88671875" style="184"/>
  </cols>
  <sheetData>
    <row r="1" spans="1:19" s="181" customFormat="1" x14ac:dyDescent="0.25">
      <c r="A1" s="194"/>
      <c r="B1" s="18"/>
      <c r="C1" s="194"/>
      <c r="D1" s="194"/>
      <c r="E1" s="194"/>
      <c r="F1" s="194"/>
      <c r="G1" s="195"/>
      <c r="H1" s="194"/>
      <c r="I1" s="194"/>
      <c r="J1" s="194"/>
      <c r="K1" s="194"/>
      <c r="M1" s="194"/>
      <c r="N1" s="194"/>
      <c r="O1" s="194"/>
      <c r="P1" s="194"/>
      <c r="Q1" s="194"/>
      <c r="R1" s="194"/>
    </row>
    <row r="2" spans="1:19" s="182" customFormat="1" x14ac:dyDescent="0.25">
      <c r="B2" s="236"/>
      <c r="G2" s="237"/>
    </row>
    <row r="3" spans="1:19" ht="14.4" thickBot="1" x14ac:dyDescent="0.3">
      <c r="A3" s="189" t="s">
        <v>231</v>
      </c>
      <c r="M3" s="189" t="s">
        <v>232</v>
      </c>
    </row>
    <row r="4" spans="1:19" s="183" customFormat="1" ht="14.4" customHeight="1" x14ac:dyDescent="0.25">
      <c r="A4" s="212" t="s">
        <v>90</v>
      </c>
      <c r="B4" s="213"/>
      <c r="C4" s="207" t="s">
        <v>91</v>
      </c>
      <c r="D4" s="208"/>
      <c r="E4" s="213"/>
      <c r="F4" s="207" t="s">
        <v>92</v>
      </c>
      <c r="G4" s="208"/>
      <c r="H4" s="213"/>
      <c r="I4" s="207" t="s">
        <v>92</v>
      </c>
      <c r="J4" s="208"/>
      <c r="K4" s="209"/>
      <c r="M4" s="206" t="s">
        <v>111</v>
      </c>
      <c r="N4" s="207" t="s">
        <v>113</v>
      </c>
      <c r="O4" s="208"/>
      <c r="P4" s="208"/>
      <c r="Q4" s="208"/>
      <c r="R4" s="209"/>
    </row>
    <row r="5" spans="1:19" s="182" customFormat="1" x14ac:dyDescent="0.25">
      <c r="A5" s="214"/>
      <c r="B5" s="215"/>
      <c r="C5" s="152" t="s">
        <v>8</v>
      </c>
      <c r="D5" s="152" t="s">
        <v>95</v>
      </c>
      <c r="E5" s="152" t="s">
        <v>7</v>
      </c>
      <c r="F5" s="152" t="s">
        <v>8</v>
      </c>
      <c r="G5" s="152" t="s">
        <v>95</v>
      </c>
      <c r="H5" s="152" t="s">
        <v>7</v>
      </c>
      <c r="I5" s="152" t="s">
        <v>8</v>
      </c>
      <c r="J5" s="152" t="s">
        <v>95</v>
      </c>
      <c r="K5" s="216" t="s">
        <v>7</v>
      </c>
      <c r="M5" s="210" t="str">
        <f>Current!F1</f>
        <v>Use Case</v>
      </c>
      <c r="N5" s="197" t="str">
        <f>Current!G1</f>
        <v>Count</v>
      </c>
      <c r="O5" s="197" t="str">
        <f>Current!H1</f>
        <v>Share</v>
      </c>
      <c r="P5" s="197" t="s">
        <v>8</v>
      </c>
      <c r="Q5" s="197" t="s">
        <v>95</v>
      </c>
      <c r="R5" s="203" t="s">
        <v>7</v>
      </c>
      <c r="S5" s="183"/>
    </row>
    <row r="6" spans="1:19" x14ac:dyDescent="0.25">
      <c r="A6" s="35" t="s">
        <v>93</v>
      </c>
      <c r="B6" s="148" t="s">
        <v>94</v>
      </c>
      <c r="C6" s="23">
        <v>22</v>
      </c>
      <c r="D6" s="23">
        <v>24</v>
      </c>
      <c r="E6" s="23">
        <v>26</v>
      </c>
      <c r="F6" s="23">
        <v>49</v>
      </c>
      <c r="G6" s="23">
        <v>67</v>
      </c>
      <c r="H6" s="23">
        <v>85</v>
      </c>
      <c r="I6" s="198">
        <f>(F6-$N$14)/$N$14</f>
        <v>0.1951219512195122</v>
      </c>
      <c r="J6" s="198">
        <f>(G6-$N$14)/$N$14</f>
        <v>0.63414634146341464</v>
      </c>
      <c r="K6" s="62">
        <f>(H6-$N$14)/$N$14</f>
        <v>1.0731707317073171</v>
      </c>
      <c r="M6" s="147" t="str">
        <f>Current!F2</f>
        <v>Human Space Flight</v>
      </c>
      <c r="N6" s="23">
        <f>Current!G2</f>
        <v>6</v>
      </c>
      <c r="O6" s="29">
        <f>Current!H2</f>
        <v>0.14634146341463414</v>
      </c>
      <c r="P6" s="30">
        <f>ROUND($N6*(1+I$6),0)</f>
        <v>7</v>
      </c>
      <c r="Q6" s="30">
        <f>ROUND($N6*(1+J$6),0)</f>
        <v>10</v>
      </c>
      <c r="R6" s="31">
        <f>ROUND($N6*(1+K$6),0)</f>
        <v>12</v>
      </c>
      <c r="S6" s="186"/>
    </row>
    <row r="7" spans="1:19" x14ac:dyDescent="0.25">
      <c r="A7" s="35"/>
      <c r="B7" s="148" t="s">
        <v>96</v>
      </c>
      <c r="C7" s="23">
        <v>19</v>
      </c>
      <c r="D7" s="23">
        <v>21</v>
      </c>
      <c r="E7" s="23">
        <v>23</v>
      </c>
      <c r="F7" s="23">
        <v>49</v>
      </c>
      <c r="G7" s="23">
        <v>67</v>
      </c>
      <c r="H7" s="23">
        <v>85</v>
      </c>
      <c r="I7" s="198">
        <f>(F7-$N$14)/$N$14</f>
        <v>0.1951219512195122</v>
      </c>
      <c r="J7" s="198">
        <f>(G7-$N$14)/$N$14</f>
        <v>0.63414634146341464</v>
      </c>
      <c r="K7" s="62">
        <f>(H7-$N$14)/$N$14</f>
        <v>1.0731707317073171</v>
      </c>
      <c r="M7" s="147" t="str">
        <f>Current!F3</f>
        <v>Near Earth Robotic - LEO Science</v>
      </c>
      <c r="N7" s="23">
        <f>Current!G3</f>
        <v>19</v>
      </c>
      <c r="O7" s="29">
        <f>Current!H3</f>
        <v>0.46341463414634149</v>
      </c>
      <c r="P7" s="30">
        <f>ROUND($N7*(1+I$6),0)</f>
        <v>23</v>
      </c>
      <c r="Q7" s="30">
        <f>ROUND($N7*(1+J$6),0)</f>
        <v>31</v>
      </c>
      <c r="R7" s="31">
        <f>ROUND($N7*(1+K$6),0)</f>
        <v>39</v>
      </c>
      <c r="S7" s="186"/>
    </row>
    <row r="8" spans="1:19" x14ac:dyDescent="0.25">
      <c r="A8" s="35"/>
      <c r="B8" s="148" t="s">
        <v>58</v>
      </c>
      <c r="C8" s="23">
        <v>33</v>
      </c>
      <c r="D8" s="23">
        <v>39</v>
      </c>
      <c r="E8" s="23">
        <v>45</v>
      </c>
      <c r="F8" s="23">
        <v>20</v>
      </c>
      <c r="G8" s="23">
        <v>32</v>
      </c>
      <c r="H8" s="23">
        <v>45</v>
      </c>
      <c r="I8" s="23"/>
      <c r="J8" s="23"/>
      <c r="K8" s="24"/>
      <c r="M8" s="147" t="str">
        <f>Current!F4</f>
        <v>Near Earth Robotic - GEO and Near Earth</v>
      </c>
      <c r="N8" s="23">
        <f>Current!G4</f>
        <v>8</v>
      </c>
      <c r="O8" s="29">
        <f>Current!H4</f>
        <v>0.1951219512195122</v>
      </c>
      <c r="P8" s="30">
        <f>ROUND($N8*(1+I$6),0)</f>
        <v>10</v>
      </c>
      <c r="Q8" s="30">
        <f>ROUND($N8*(1+J$6),0)</f>
        <v>13</v>
      </c>
      <c r="R8" s="31">
        <f>ROUND($N8*(1+K$6),0)</f>
        <v>17</v>
      </c>
      <c r="S8" s="186"/>
    </row>
    <row r="9" spans="1:19" x14ac:dyDescent="0.25">
      <c r="A9" s="21" t="s">
        <v>97</v>
      </c>
      <c r="B9" s="148"/>
      <c r="C9" s="23">
        <v>1</v>
      </c>
      <c r="D9" s="23">
        <v>8</v>
      </c>
      <c r="E9" s="23">
        <v>16</v>
      </c>
      <c r="F9" s="23">
        <v>1</v>
      </c>
      <c r="G9" s="23">
        <v>8</v>
      </c>
      <c r="H9" s="23">
        <v>16</v>
      </c>
      <c r="I9" s="23"/>
      <c r="J9" s="23"/>
      <c r="K9" s="24"/>
      <c r="M9" s="147" t="str">
        <f>Current!F5</f>
        <v>Deep Space Robotic</v>
      </c>
      <c r="N9" s="23">
        <f>Current!G5</f>
        <v>0</v>
      </c>
      <c r="O9" s="29">
        <f>Current!H5</f>
        <v>0</v>
      </c>
      <c r="P9" s="30">
        <f>ROUND($N9*(1+I$6),0)</f>
        <v>0</v>
      </c>
      <c r="Q9" s="30">
        <f>ROUND($N9*(1+J$6),0)</f>
        <v>0</v>
      </c>
      <c r="R9" s="31">
        <f>ROUND($N9*(1+K$6),0)</f>
        <v>0</v>
      </c>
      <c r="S9" s="186"/>
    </row>
    <row r="10" spans="1:19" ht="14.4" thickBot="1" x14ac:dyDescent="0.3">
      <c r="A10" s="199" t="s">
        <v>98</v>
      </c>
      <c r="B10" s="200"/>
      <c r="C10" s="201">
        <v>702</v>
      </c>
      <c r="D10" s="201">
        <v>250000</v>
      </c>
      <c r="E10" s="201">
        <v>525600</v>
      </c>
      <c r="F10" s="201">
        <v>525600</v>
      </c>
      <c r="G10" s="201">
        <v>750000</v>
      </c>
      <c r="H10" s="201">
        <v>1000000</v>
      </c>
      <c r="I10" s="201"/>
      <c r="J10" s="201"/>
      <c r="K10" s="202"/>
      <c r="M10" s="147" t="str">
        <f>Current!F6</f>
        <v>Near Earth Robotic - Low Latency &amp; Complex Needs</v>
      </c>
      <c r="N10" s="23">
        <f>Current!G6</f>
        <v>1</v>
      </c>
      <c r="O10" s="29">
        <f>Current!H6</f>
        <v>2.4390243902439025E-2</v>
      </c>
      <c r="P10" s="30">
        <f t="shared" ref="P10:Q13" si="0">ROUND($N10*(1+I$6),0)</f>
        <v>1</v>
      </c>
      <c r="Q10" s="30">
        <f t="shared" si="0"/>
        <v>2</v>
      </c>
      <c r="R10" s="31">
        <f>ROUNDUP($N10*(1+K$6),0)</f>
        <v>3</v>
      </c>
      <c r="S10" s="186"/>
    </row>
    <row r="11" spans="1:19" x14ac:dyDescent="0.25">
      <c r="M11" s="147" t="str">
        <f>Current!F7</f>
        <v>Mission Operations</v>
      </c>
      <c r="N11" s="23">
        <f>Current!G7</f>
        <v>0</v>
      </c>
      <c r="O11" s="29">
        <f>Current!H7</f>
        <v>0</v>
      </c>
      <c r="P11" s="30">
        <f t="shared" si="0"/>
        <v>0</v>
      </c>
      <c r="Q11" s="30">
        <f t="shared" si="0"/>
        <v>0</v>
      </c>
      <c r="R11" s="31">
        <f>ROUND($N11*(1+K$6),0)</f>
        <v>0</v>
      </c>
      <c r="S11" s="186"/>
    </row>
    <row r="12" spans="1:19" x14ac:dyDescent="0.25">
      <c r="M12" s="147" t="str">
        <f>Current!F8</f>
        <v>Launch Events</v>
      </c>
      <c r="N12" s="23">
        <f>Current!G8</f>
        <v>4</v>
      </c>
      <c r="O12" s="29">
        <f>Current!H8</f>
        <v>9.7560975609756101E-2</v>
      </c>
      <c r="P12" s="30">
        <f t="shared" si="0"/>
        <v>5</v>
      </c>
      <c r="Q12" s="30">
        <f t="shared" si="0"/>
        <v>7</v>
      </c>
      <c r="R12" s="31">
        <f>ROUND($N12*(1+K$6),0)</f>
        <v>8</v>
      </c>
      <c r="S12" s="186"/>
    </row>
    <row r="13" spans="1:19" x14ac:dyDescent="0.25">
      <c r="M13" s="147" t="str">
        <f>Current!F9</f>
        <v>Terrestrial &amp; Aerial</v>
      </c>
      <c r="N13" s="23">
        <f>Current!G9</f>
        <v>3</v>
      </c>
      <c r="O13" s="29">
        <f>Current!H9</f>
        <v>7.3170731707317069E-2</v>
      </c>
      <c r="P13" s="30">
        <f t="shared" si="0"/>
        <v>4</v>
      </c>
      <c r="Q13" s="30">
        <f t="shared" si="0"/>
        <v>5</v>
      </c>
      <c r="R13" s="31">
        <f>ROUND($N13*(1+K$6),0)</f>
        <v>6</v>
      </c>
      <c r="S13" s="186"/>
    </row>
    <row r="14" spans="1:19" ht="14.4" thickBot="1" x14ac:dyDescent="0.3">
      <c r="M14" s="211" t="str">
        <f>Current!F11</f>
        <v>Total</v>
      </c>
      <c r="N14" s="28">
        <f>Current!G11</f>
        <v>41</v>
      </c>
      <c r="O14" s="32">
        <f>Current!H11</f>
        <v>1</v>
      </c>
      <c r="P14" s="204">
        <f>SUM(P6:P13)</f>
        <v>50</v>
      </c>
      <c r="Q14" s="204">
        <f>SUM(Q6:Q13)</f>
        <v>68</v>
      </c>
      <c r="R14" s="205">
        <f>SUM(R6:R13)</f>
        <v>85</v>
      </c>
      <c r="S14" s="185"/>
    </row>
    <row r="15" spans="1:19" x14ac:dyDescent="0.25">
      <c r="S15" s="185"/>
    </row>
    <row r="16" spans="1:19" ht="14.4" thickBot="1" x14ac:dyDescent="0.3">
      <c r="A16" s="196" t="s">
        <v>230</v>
      </c>
    </row>
    <row r="17" spans="1:8" x14ac:dyDescent="0.25">
      <c r="A17" s="223" t="s">
        <v>99</v>
      </c>
      <c r="B17" s="224"/>
      <c r="C17" s="224"/>
      <c r="D17" s="224"/>
      <c r="E17" s="224"/>
      <c r="F17" s="224"/>
      <c r="G17" s="224"/>
      <c r="H17" s="225"/>
    </row>
    <row r="18" spans="1:8" x14ac:dyDescent="0.25">
      <c r="A18" s="226"/>
      <c r="B18" s="221"/>
      <c r="C18" s="218" t="s">
        <v>91</v>
      </c>
      <c r="D18" s="218"/>
      <c r="E18" s="218"/>
      <c r="F18" s="218" t="s">
        <v>92</v>
      </c>
      <c r="G18" s="218"/>
      <c r="H18" s="227"/>
    </row>
    <row r="19" spans="1:8" x14ac:dyDescent="0.25">
      <c r="A19" s="228"/>
      <c r="B19" s="222"/>
      <c r="C19" s="148" t="s">
        <v>8</v>
      </c>
      <c r="D19" s="148" t="s">
        <v>95</v>
      </c>
      <c r="E19" s="148" t="s">
        <v>7</v>
      </c>
      <c r="F19" s="148" t="s">
        <v>8</v>
      </c>
      <c r="G19" s="148" t="s">
        <v>95</v>
      </c>
      <c r="H19" s="149" t="s">
        <v>7</v>
      </c>
    </row>
    <row r="20" spans="1:8" ht="14.4" customHeight="1" x14ac:dyDescent="0.25">
      <c r="A20" s="229" t="s">
        <v>93</v>
      </c>
      <c r="B20" s="152" t="s">
        <v>94</v>
      </c>
      <c r="C20" s="23">
        <v>20</v>
      </c>
      <c r="D20" s="23">
        <v>22</v>
      </c>
      <c r="E20" s="23">
        <v>24</v>
      </c>
      <c r="F20" s="23">
        <v>40</v>
      </c>
      <c r="G20" s="23">
        <v>58</v>
      </c>
      <c r="H20" s="24">
        <v>76</v>
      </c>
    </row>
    <row r="21" spans="1:8" x14ac:dyDescent="0.25">
      <c r="A21" s="229"/>
      <c r="B21" s="220" t="s">
        <v>96</v>
      </c>
      <c r="C21" s="22">
        <v>12</v>
      </c>
      <c r="D21" s="22">
        <v>14</v>
      </c>
      <c r="E21" s="22">
        <v>16</v>
      </c>
      <c r="F21" s="23">
        <v>40</v>
      </c>
      <c r="G21" s="23">
        <v>58</v>
      </c>
      <c r="H21" s="24">
        <v>76</v>
      </c>
    </row>
    <row r="22" spans="1:8" x14ac:dyDescent="0.25">
      <c r="A22" s="230" t="s">
        <v>97</v>
      </c>
      <c r="B22" s="217"/>
      <c r="C22" s="22">
        <v>1</v>
      </c>
      <c r="D22" s="22">
        <v>12</v>
      </c>
      <c r="E22" s="22">
        <v>25</v>
      </c>
      <c r="F22" s="22">
        <v>1</v>
      </c>
      <c r="G22" s="22">
        <v>12</v>
      </c>
      <c r="H22" s="25">
        <v>25</v>
      </c>
    </row>
    <row r="23" spans="1:8" ht="14.4" thickBot="1" x14ac:dyDescent="0.3">
      <c r="A23" s="231" t="s">
        <v>98</v>
      </c>
      <c r="B23" s="232"/>
      <c r="C23" s="26">
        <v>89840</v>
      </c>
      <c r="D23" s="26">
        <v>250000</v>
      </c>
      <c r="E23" s="26">
        <v>525600</v>
      </c>
      <c r="F23" s="26">
        <v>525600</v>
      </c>
      <c r="G23" s="26">
        <v>750000</v>
      </c>
      <c r="H23" s="27">
        <v>1000000</v>
      </c>
    </row>
    <row r="24" spans="1:8" x14ac:dyDescent="0.25">
      <c r="A24" s="187"/>
      <c r="B24" s="187"/>
      <c r="C24" s="188"/>
      <c r="D24" s="188"/>
      <c r="E24" s="188"/>
      <c r="F24" s="188"/>
      <c r="G24" s="188"/>
      <c r="H24" s="188"/>
    </row>
    <row r="25" spans="1:8" x14ac:dyDescent="0.25">
      <c r="A25" s="187"/>
      <c r="B25" s="187"/>
      <c r="C25" s="188"/>
      <c r="D25" s="188"/>
      <c r="E25" s="188"/>
      <c r="F25" s="188"/>
      <c r="G25" s="188"/>
      <c r="H25" s="188"/>
    </row>
    <row r="28" spans="1:8" ht="14.4" thickBot="1" x14ac:dyDescent="0.3">
      <c r="A28" s="189" t="s">
        <v>233</v>
      </c>
    </row>
    <row r="29" spans="1:8" x14ac:dyDescent="0.25">
      <c r="A29" s="233" t="s">
        <v>234</v>
      </c>
      <c r="B29" s="234"/>
      <c r="C29" s="234"/>
      <c r="D29" s="235"/>
      <c r="E29" s="78"/>
    </row>
    <row r="30" spans="1:8" x14ac:dyDescent="0.25">
      <c r="A30" s="210" t="s">
        <v>6</v>
      </c>
      <c r="B30" s="219" t="s">
        <v>9</v>
      </c>
      <c r="C30" s="219" t="s">
        <v>10</v>
      </c>
      <c r="D30" s="216" t="s">
        <v>118</v>
      </c>
    </row>
    <row r="31" spans="1:8" ht="15" customHeight="1" x14ac:dyDescent="0.25">
      <c r="A31" s="147" t="s">
        <v>109</v>
      </c>
      <c r="B31" s="23" t="s">
        <v>110</v>
      </c>
      <c r="C31" s="23">
        <v>2</v>
      </c>
      <c r="D31" s="24" t="s">
        <v>119</v>
      </c>
    </row>
    <row r="32" spans="1:8" x14ac:dyDescent="0.25">
      <c r="A32" s="147" t="s">
        <v>117</v>
      </c>
      <c r="B32" s="23" t="s">
        <v>110</v>
      </c>
      <c r="C32" s="23">
        <v>63.7</v>
      </c>
      <c r="D32" s="24" t="s">
        <v>120</v>
      </c>
    </row>
    <row r="33" spans="1:11" x14ac:dyDescent="0.25">
      <c r="A33" s="147" t="s">
        <v>196</v>
      </c>
      <c r="B33" s="23" t="s">
        <v>121</v>
      </c>
      <c r="C33" s="23">
        <v>500</v>
      </c>
      <c r="D33" s="24" t="s">
        <v>119</v>
      </c>
    </row>
    <row r="34" spans="1:11" ht="16.2" thickBot="1" x14ac:dyDescent="0.3">
      <c r="A34" s="211" t="s">
        <v>197</v>
      </c>
      <c r="B34" s="28" t="s">
        <v>110</v>
      </c>
      <c r="C34" s="238">
        <v>0.5</v>
      </c>
      <c r="D34" s="239" t="s">
        <v>119</v>
      </c>
    </row>
    <row r="35" spans="1:11" ht="14.4" customHeight="1" x14ac:dyDescent="0.3">
      <c r="D35" s="190"/>
    </row>
    <row r="38" spans="1:11" ht="14.4" customHeight="1" x14ac:dyDescent="0.25">
      <c r="A38" s="189" t="s">
        <v>229</v>
      </c>
      <c r="J38" s="189" t="s">
        <v>235</v>
      </c>
    </row>
    <row r="39" spans="1:11" ht="27.6" x14ac:dyDescent="0.25">
      <c r="A39" s="152" t="s">
        <v>190</v>
      </c>
      <c r="B39" s="152" t="s">
        <v>10</v>
      </c>
      <c r="C39" s="152" t="s">
        <v>9</v>
      </c>
      <c r="D39" s="152" t="s">
        <v>179</v>
      </c>
      <c r="E39" s="155" t="s">
        <v>187</v>
      </c>
      <c r="F39" s="156" t="s">
        <v>188</v>
      </c>
      <c r="G39" s="156" t="s">
        <v>189</v>
      </c>
      <c r="H39" s="156" t="s">
        <v>118</v>
      </c>
      <c r="J39" s="155" t="s">
        <v>203</v>
      </c>
      <c r="K39" s="155" t="s">
        <v>187</v>
      </c>
    </row>
    <row r="40" spans="1:11" x14ac:dyDescent="0.25">
      <c r="A40" s="152" t="s">
        <v>165</v>
      </c>
      <c r="B40" s="59">
        <v>20000000</v>
      </c>
      <c r="C40" s="144" t="s">
        <v>180</v>
      </c>
      <c r="D40" s="144">
        <v>5</v>
      </c>
      <c r="E40" s="145">
        <f>B40*D40</f>
        <v>100000000</v>
      </c>
      <c r="F40" s="144" t="s">
        <v>181</v>
      </c>
      <c r="G40" s="144" t="s">
        <v>182</v>
      </c>
      <c r="H40" s="144" t="s">
        <v>119</v>
      </c>
      <c r="J40" s="20" t="s">
        <v>200</v>
      </c>
      <c r="K40" s="167">
        <f>Costs!X15</f>
        <v>323124097.47309846</v>
      </c>
    </row>
    <row r="41" spans="1:11" x14ac:dyDescent="0.25">
      <c r="A41" s="152" t="s">
        <v>166</v>
      </c>
      <c r="B41" s="146">
        <v>200000</v>
      </c>
      <c r="C41" s="144" t="s">
        <v>180</v>
      </c>
      <c r="D41" s="144">
        <v>5</v>
      </c>
      <c r="E41" s="145">
        <f t="shared" ref="E41:E51" si="1">B41*D41</f>
        <v>1000000</v>
      </c>
      <c r="F41" s="144" t="s">
        <v>181</v>
      </c>
      <c r="G41" s="144" t="s">
        <v>182</v>
      </c>
      <c r="H41" s="144" t="s">
        <v>119</v>
      </c>
      <c r="J41" s="20" t="s">
        <v>201</v>
      </c>
      <c r="K41" s="168">
        <f>K40/(60*24*364.25*D40*Settings!B53)</f>
        <v>6.1603770585125153</v>
      </c>
    </row>
    <row r="42" spans="1:11" ht="14.4" customHeight="1" x14ac:dyDescent="0.25">
      <c r="A42" s="155" t="s">
        <v>167</v>
      </c>
      <c r="B42" s="146">
        <v>1000000</v>
      </c>
      <c r="C42" s="144" t="s">
        <v>180</v>
      </c>
      <c r="D42" s="144">
        <v>1</v>
      </c>
      <c r="E42" s="145">
        <f t="shared" si="1"/>
        <v>1000000</v>
      </c>
      <c r="F42" s="144" t="s">
        <v>181</v>
      </c>
      <c r="G42" s="144" t="s">
        <v>182</v>
      </c>
      <c r="H42" s="144" t="s">
        <v>119</v>
      </c>
      <c r="J42" s="20" t="s">
        <v>202</v>
      </c>
      <c r="K42" s="168">
        <f>$K$41*1.1</f>
        <v>6.7764147643637678</v>
      </c>
    </row>
    <row r="43" spans="1:11" x14ac:dyDescent="0.25">
      <c r="A43" s="156" t="s">
        <v>168</v>
      </c>
      <c r="B43" s="144">
        <v>150</v>
      </c>
      <c r="C43" s="144" t="s">
        <v>192</v>
      </c>
      <c r="D43" s="144">
        <v>450</v>
      </c>
      <c r="E43" s="145">
        <f t="shared" si="1"/>
        <v>67500</v>
      </c>
      <c r="F43" s="144" t="s">
        <v>181</v>
      </c>
      <c r="G43" s="144" t="s">
        <v>182</v>
      </c>
      <c r="H43" s="144" t="s">
        <v>119</v>
      </c>
      <c r="J43" s="20" t="s">
        <v>204</v>
      </c>
      <c r="K43" s="168">
        <f>$K$41*1.2</f>
        <v>7.3924524702150176</v>
      </c>
    </row>
    <row r="44" spans="1:11" x14ac:dyDescent="0.25">
      <c r="A44" s="156" t="s">
        <v>169</v>
      </c>
      <c r="B44" s="146">
        <v>20000</v>
      </c>
      <c r="C44" s="144" t="s">
        <v>193</v>
      </c>
      <c r="D44" s="144">
        <v>10</v>
      </c>
      <c r="E44" s="145">
        <f t="shared" si="1"/>
        <v>200000</v>
      </c>
      <c r="F44" s="144" t="s">
        <v>181</v>
      </c>
      <c r="G44" s="144" t="s">
        <v>182</v>
      </c>
      <c r="H44" s="144" t="s">
        <v>119</v>
      </c>
      <c r="I44" s="191"/>
      <c r="J44" s="20" t="s">
        <v>205</v>
      </c>
      <c r="K44" s="168">
        <f>$K$41*1.3</f>
        <v>8.008490176066271</v>
      </c>
    </row>
    <row r="45" spans="1:11" x14ac:dyDescent="0.25">
      <c r="A45" s="156" t="s">
        <v>217</v>
      </c>
      <c r="B45" s="146">
        <v>500000</v>
      </c>
      <c r="C45" s="144" t="s">
        <v>218</v>
      </c>
      <c r="D45" s="171">
        <v>7</v>
      </c>
      <c r="E45" s="169">
        <f>B45*D45</f>
        <v>3500000</v>
      </c>
      <c r="F45" s="144" t="s">
        <v>181</v>
      </c>
      <c r="G45" s="144" t="s">
        <v>216</v>
      </c>
      <c r="H45" s="144" t="s">
        <v>119</v>
      </c>
      <c r="I45" s="191"/>
      <c r="J45" s="20" t="s">
        <v>206</v>
      </c>
      <c r="K45" s="168">
        <f>$K$41*1.4</f>
        <v>8.6245278819175208</v>
      </c>
    </row>
    <row r="46" spans="1:11" x14ac:dyDescent="0.25">
      <c r="A46" s="156" t="s">
        <v>172</v>
      </c>
      <c r="B46" s="146">
        <v>100000</v>
      </c>
      <c r="C46" s="144" t="s">
        <v>180</v>
      </c>
      <c r="D46" s="144">
        <v>10</v>
      </c>
      <c r="E46" s="145">
        <f t="shared" si="1"/>
        <v>1000000</v>
      </c>
      <c r="F46" s="144" t="s">
        <v>184</v>
      </c>
      <c r="G46" s="144" t="s">
        <v>182</v>
      </c>
      <c r="H46" s="144" t="s">
        <v>119</v>
      </c>
      <c r="J46" s="20" t="s">
        <v>207</v>
      </c>
      <c r="K46" s="168">
        <f>$K$41*1.5</f>
        <v>9.2405655877687725</v>
      </c>
    </row>
    <row r="47" spans="1:11" x14ac:dyDescent="0.25">
      <c r="A47" s="156" t="s">
        <v>173</v>
      </c>
      <c r="B47" s="144">
        <v>0.3</v>
      </c>
      <c r="C47" s="144" t="s">
        <v>194</v>
      </c>
      <c r="D47" s="146">
        <v>25000</v>
      </c>
      <c r="E47" s="145">
        <f t="shared" si="1"/>
        <v>7500</v>
      </c>
      <c r="F47" s="144" t="s">
        <v>184</v>
      </c>
      <c r="G47" s="144" t="s">
        <v>182</v>
      </c>
      <c r="H47" s="144" t="s">
        <v>119</v>
      </c>
      <c r="J47" s="20" t="s">
        <v>208</v>
      </c>
      <c r="K47" s="168">
        <f>$K$41*1.6</f>
        <v>9.8566032936200259</v>
      </c>
    </row>
    <row r="48" spans="1:11" x14ac:dyDescent="0.25">
      <c r="A48" s="156" t="s">
        <v>213</v>
      </c>
      <c r="B48" s="144">
        <v>10</v>
      </c>
      <c r="C48" s="144" t="s">
        <v>214</v>
      </c>
      <c r="D48" s="170">
        <v>1</v>
      </c>
      <c r="E48" s="169" t="s">
        <v>11</v>
      </c>
      <c r="F48" s="144" t="s">
        <v>184</v>
      </c>
      <c r="G48" s="144" t="s">
        <v>182</v>
      </c>
      <c r="H48" s="144" t="s">
        <v>119</v>
      </c>
      <c r="J48" s="20" t="s">
        <v>209</v>
      </c>
      <c r="K48" s="168">
        <f>$K$41*1.7</f>
        <v>10.472640999471276</v>
      </c>
    </row>
    <row r="49" spans="1:13" x14ac:dyDescent="0.25">
      <c r="A49" s="156" t="s">
        <v>174</v>
      </c>
      <c r="B49" s="146">
        <v>500000</v>
      </c>
      <c r="C49" s="144" t="s">
        <v>180</v>
      </c>
      <c r="D49" s="144">
        <v>1</v>
      </c>
      <c r="E49" s="145">
        <f t="shared" si="1"/>
        <v>500000</v>
      </c>
      <c r="F49" s="144" t="s">
        <v>184</v>
      </c>
      <c r="G49" s="144" t="s">
        <v>182</v>
      </c>
      <c r="H49" s="144" t="s">
        <v>119</v>
      </c>
      <c r="J49" s="20" t="s">
        <v>210</v>
      </c>
      <c r="K49" s="168">
        <f>$K$41*1.8</f>
        <v>11.088678705322527</v>
      </c>
    </row>
    <row r="50" spans="1:13" x14ac:dyDescent="0.25">
      <c r="A50" s="156" t="s">
        <v>175</v>
      </c>
      <c r="B50" s="146">
        <v>100000</v>
      </c>
      <c r="C50" s="144" t="s">
        <v>180</v>
      </c>
      <c r="D50" s="144">
        <v>1</v>
      </c>
      <c r="E50" s="145">
        <f t="shared" si="1"/>
        <v>100000</v>
      </c>
      <c r="F50" s="144" t="s">
        <v>184</v>
      </c>
      <c r="G50" s="144" t="s">
        <v>182</v>
      </c>
      <c r="H50" s="144" t="s">
        <v>119</v>
      </c>
      <c r="J50" s="20" t="s">
        <v>211</v>
      </c>
      <c r="K50" s="168">
        <f>$K$41*1.9</f>
        <v>11.704716411173779</v>
      </c>
    </row>
    <row r="51" spans="1:13" ht="14.4" customHeight="1" x14ac:dyDescent="0.25">
      <c r="A51" s="156" t="s">
        <v>219</v>
      </c>
      <c r="B51" s="146">
        <v>2000000</v>
      </c>
      <c r="C51" s="144" t="s">
        <v>180</v>
      </c>
      <c r="D51" s="144">
        <v>1</v>
      </c>
      <c r="E51" s="145">
        <f t="shared" si="1"/>
        <v>2000000</v>
      </c>
      <c r="F51" s="144" t="s">
        <v>184</v>
      </c>
      <c r="G51" s="144" t="s">
        <v>183</v>
      </c>
      <c r="H51" s="144" t="s">
        <v>119</v>
      </c>
      <c r="J51" s="20" t="s">
        <v>212</v>
      </c>
      <c r="K51" s="168">
        <f>$K$41*2</f>
        <v>12.320754117025031</v>
      </c>
    </row>
    <row r="52" spans="1:13" x14ac:dyDescent="0.25">
      <c r="A52" s="156" t="s">
        <v>177</v>
      </c>
      <c r="B52" s="144">
        <v>3</v>
      </c>
      <c r="C52" s="144" t="s">
        <v>185</v>
      </c>
      <c r="D52" s="144" t="s">
        <v>11</v>
      </c>
      <c r="E52" s="144" t="s">
        <v>11</v>
      </c>
      <c r="F52" s="144" t="s">
        <v>6</v>
      </c>
      <c r="G52" s="144" t="s">
        <v>11</v>
      </c>
      <c r="H52" s="144" t="s">
        <v>119</v>
      </c>
      <c r="J52" s="20" t="s">
        <v>220</v>
      </c>
      <c r="K52" s="168">
        <f>$K$41*2.1</f>
        <v>12.936791822876282</v>
      </c>
    </row>
    <row r="53" spans="1:13" x14ac:dyDescent="0.25">
      <c r="A53" s="156" t="s">
        <v>178</v>
      </c>
      <c r="B53" s="144">
        <v>20</v>
      </c>
      <c r="C53" s="144" t="s">
        <v>186</v>
      </c>
      <c r="D53" s="144" t="s">
        <v>11</v>
      </c>
      <c r="E53" s="144" t="s">
        <v>11</v>
      </c>
      <c r="F53" s="144" t="s">
        <v>6</v>
      </c>
      <c r="G53" s="144" t="s">
        <v>11</v>
      </c>
      <c r="H53" s="144" t="s">
        <v>119</v>
      </c>
      <c r="J53" s="20" t="s">
        <v>221</v>
      </c>
      <c r="K53" s="168">
        <f>$K$41*2.2</f>
        <v>13.552829528727536</v>
      </c>
      <c r="L53" s="192"/>
      <c r="M53" s="192"/>
    </row>
    <row r="56" spans="1:13" ht="14.4" x14ac:dyDescent="0.3">
      <c r="A56" s="189" t="s">
        <v>228</v>
      </c>
      <c r="B56" s="193"/>
      <c r="C56" s="193"/>
      <c r="D56" s="193"/>
      <c r="E56" s="193"/>
      <c r="F56" s="193"/>
      <c r="G56" s="193"/>
      <c r="H56" s="193"/>
      <c r="I56" s="193"/>
      <c r="J56" s="189" t="s">
        <v>235</v>
      </c>
      <c r="K56" s="193"/>
    </row>
    <row r="57" spans="1:13" ht="27.6" x14ac:dyDescent="0.3">
      <c r="A57" s="152" t="s">
        <v>191</v>
      </c>
      <c r="B57" s="152" t="s">
        <v>10</v>
      </c>
      <c r="C57" s="152" t="s">
        <v>9</v>
      </c>
      <c r="D57" s="152" t="s">
        <v>179</v>
      </c>
      <c r="E57" s="155" t="s">
        <v>187</v>
      </c>
      <c r="F57" s="156" t="s">
        <v>188</v>
      </c>
      <c r="G57" s="156" t="s">
        <v>189</v>
      </c>
      <c r="H57" s="156" t="s">
        <v>118</v>
      </c>
      <c r="I57" s="193"/>
      <c r="J57" s="155" t="s">
        <v>203</v>
      </c>
      <c r="K57" s="155" t="s">
        <v>187</v>
      </c>
    </row>
    <row r="58" spans="1:13" ht="14.4" x14ac:dyDescent="0.3">
      <c r="A58" s="152" t="s">
        <v>165</v>
      </c>
      <c r="B58" s="59">
        <v>20000000</v>
      </c>
      <c r="C58" s="144" t="s">
        <v>180</v>
      </c>
      <c r="D58" s="144">
        <v>5</v>
      </c>
      <c r="E58" s="145">
        <f>B58*D58</f>
        <v>100000000</v>
      </c>
      <c r="F58" s="144" t="s">
        <v>181</v>
      </c>
      <c r="G58" s="144" t="s">
        <v>182</v>
      </c>
      <c r="H58" s="144" t="s">
        <v>119</v>
      </c>
      <c r="I58" s="193"/>
      <c r="J58" s="20" t="s">
        <v>200</v>
      </c>
      <c r="K58" s="167">
        <f>Costs!X31</f>
        <v>478608345.50034267</v>
      </c>
    </row>
    <row r="59" spans="1:13" ht="14.4" x14ac:dyDescent="0.3">
      <c r="A59" s="152" t="s">
        <v>166</v>
      </c>
      <c r="B59" s="146">
        <v>200000</v>
      </c>
      <c r="C59" s="144" t="s">
        <v>180</v>
      </c>
      <c r="D59" s="144">
        <v>5</v>
      </c>
      <c r="E59" s="145">
        <f t="shared" ref="E59:E69" si="2">B59*D59</f>
        <v>1000000</v>
      </c>
      <c r="F59" s="144" t="s">
        <v>181</v>
      </c>
      <c r="G59" s="144" t="s">
        <v>182</v>
      </c>
      <c r="H59" s="144" t="s">
        <v>119</v>
      </c>
      <c r="I59" s="193"/>
      <c r="J59" s="20" t="s">
        <v>201</v>
      </c>
      <c r="K59" s="168">
        <f>K58/(60*24*364.25*D58*Settings!B71)</f>
        <v>9.1246920136571088</v>
      </c>
    </row>
    <row r="60" spans="1:13" ht="14.4" x14ac:dyDescent="0.3">
      <c r="A60" s="155" t="s">
        <v>167</v>
      </c>
      <c r="B60" s="146">
        <v>1000000</v>
      </c>
      <c r="C60" s="144" t="s">
        <v>180</v>
      </c>
      <c r="D60" s="144">
        <v>1</v>
      </c>
      <c r="E60" s="145">
        <f t="shared" si="2"/>
        <v>1000000</v>
      </c>
      <c r="F60" s="144" t="s">
        <v>181</v>
      </c>
      <c r="G60" s="144" t="s">
        <v>182</v>
      </c>
      <c r="H60" s="144" t="s">
        <v>119</v>
      </c>
      <c r="I60" s="193"/>
      <c r="J60" s="20" t="s">
        <v>202</v>
      </c>
      <c r="K60" s="168">
        <f>$K$59*1.1</f>
        <v>10.03716121502282</v>
      </c>
    </row>
    <row r="61" spans="1:13" ht="14.4" x14ac:dyDescent="0.3">
      <c r="A61" s="156" t="s">
        <v>168</v>
      </c>
      <c r="B61" s="144">
        <v>150</v>
      </c>
      <c r="C61" s="144" t="s">
        <v>192</v>
      </c>
      <c r="D61" s="144">
        <v>450</v>
      </c>
      <c r="E61" s="145">
        <f t="shared" si="2"/>
        <v>67500</v>
      </c>
      <c r="F61" s="144" t="s">
        <v>181</v>
      </c>
      <c r="G61" s="144" t="s">
        <v>182</v>
      </c>
      <c r="H61" s="144" t="s">
        <v>119</v>
      </c>
      <c r="I61" s="193"/>
      <c r="J61" s="20" t="s">
        <v>204</v>
      </c>
      <c r="K61" s="168">
        <f>$K$59*1.2</f>
        <v>10.94963041638853</v>
      </c>
    </row>
    <row r="62" spans="1:13" ht="14.4" x14ac:dyDescent="0.3">
      <c r="A62" s="156" t="s">
        <v>169</v>
      </c>
      <c r="B62" s="146">
        <v>20000</v>
      </c>
      <c r="C62" s="144" t="s">
        <v>193</v>
      </c>
      <c r="D62" s="144">
        <v>10</v>
      </c>
      <c r="E62" s="145">
        <f t="shared" si="2"/>
        <v>200000</v>
      </c>
      <c r="F62" s="144" t="s">
        <v>181</v>
      </c>
      <c r="G62" s="144" t="s">
        <v>182</v>
      </c>
      <c r="H62" s="144" t="s">
        <v>119</v>
      </c>
      <c r="I62" s="193"/>
      <c r="J62" s="20" t="s">
        <v>205</v>
      </c>
      <c r="K62" s="168">
        <f>$K$59*1.3</f>
        <v>11.862099617754241</v>
      </c>
    </row>
    <row r="63" spans="1:13" ht="14.4" x14ac:dyDescent="0.3">
      <c r="A63" s="156" t="s">
        <v>170</v>
      </c>
      <c r="B63" s="146">
        <v>250000</v>
      </c>
      <c r="C63" s="144" t="s">
        <v>180</v>
      </c>
      <c r="D63" s="144">
        <v>100</v>
      </c>
      <c r="E63" s="145">
        <f t="shared" si="2"/>
        <v>25000000</v>
      </c>
      <c r="F63" s="144" t="s">
        <v>181</v>
      </c>
      <c r="G63" s="144" t="s">
        <v>183</v>
      </c>
      <c r="H63" s="144" t="s">
        <v>119</v>
      </c>
      <c r="I63" s="193"/>
      <c r="J63" s="20" t="s">
        <v>206</v>
      </c>
      <c r="K63" s="168">
        <f>$K$59*1.4</f>
        <v>12.774568819119951</v>
      </c>
    </row>
    <row r="64" spans="1:13" ht="14.4" x14ac:dyDescent="0.3">
      <c r="A64" s="156" t="s">
        <v>171</v>
      </c>
      <c r="B64" s="146">
        <v>50000</v>
      </c>
      <c r="C64" s="144" t="s">
        <v>180</v>
      </c>
      <c r="D64" s="144">
        <v>100</v>
      </c>
      <c r="E64" s="145">
        <f t="shared" si="2"/>
        <v>5000000</v>
      </c>
      <c r="F64" s="144" t="s">
        <v>181</v>
      </c>
      <c r="G64" s="144" t="s">
        <v>183</v>
      </c>
      <c r="H64" s="144" t="s">
        <v>119</v>
      </c>
      <c r="I64" s="193"/>
      <c r="J64" s="20" t="s">
        <v>207</v>
      </c>
      <c r="K64" s="168">
        <f>$K$59*1.5</f>
        <v>13.687038020485662</v>
      </c>
    </row>
    <row r="65" spans="1:11" ht="14.4" x14ac:dyDescent="0.3">
      <c r="A65" s="156" t="s">
        <v>172</v>
      </c>
      <c r="B65" s="146">
        <v>100000</v>
      </c>
      <c r="C65" s="144" t="s">
        <v>180</v>
      </c>
      <c r="D65" s="144">
        <v>200</v>
      </c>
      <c r="E65" s="145">
        <f t="shared" si="2"/>
        <v>20000000</v>
      </c>
      <c r="F65" s="144" t="s">
        <v>184</v>
      </c>
      <c r="G65" s="144" t="s">
        <v>182</v>
      </c>
      <c r="H65" s="144" t="s">
        <v>119</v>
      </c>
      <c r="I65" s="193"/>
      <c r="J65" s="20" t="s">
        <v>208</v>
      </c>
      <c r="K65" s="168">
        <f>$K$59*1.6</f>
        <v>14.599507221851376</v>
      </c>
    </row>
    <row r="66" spans="1:11" ht="14.4" x14ac:dyDescent="0.3">
      <c r="A66" s="156" t="s">
        <v>173</v>
      </c>
      <c r="B66" s="144">
        <v>0.3</v>
      </c>
      <c r="C66" s="144" t="s">
        <v>194</v>
      </c>
      <c r="D66" s="146">
        <v>5000</v>
      </c>
      <c r="E66" s="145">
        <f t="shared" si="2"/>
        <v>1500</v>
      </c>
      <c r="F66" s="144" t="s">
        <v>184</v>
      </c>
      <c r="G66" s="144" t="s">
        <v>182</v>
      </c>
      <c r="H66" s="144" t="s">
        <v>119</v>
      </c>
      <c r="I66" s="193"/>
      <c r="J66" s="20" t="s">
        <v>209</v>
      </c>
      <c r="K66" s="168">
        <f>$K$59*1.7</f>
        <v>15.511976423217085</v>
      </c>
    </row>
    <row r="67" spans="1:11" ht="14.4" x14ac:dyDescent="0.3">
      <c r="A67" s="156" t="s">
        <v>174</v>
      </c>
      <c r="B67" s="146">
        <v>500000</v>
      </c>
      <c r="C67" s="144" t="s">
        <v>180</v>
      </c>
      <c r="D67" s="144">
        <v>1</v>
      </c>
      <c r="E67" s="145">
        <f t="shared" si="2"/>
        <v>500000</v>
      </c>
      <c r="F67" s="144" t="s">
        <v>184</v>
      </c>
      <c r="G67" s="144" t="s">
        <v>182</v>
      </c>
      <c r="H67" s="144" t="s">
        <v>119</v>
      </c>
      <c r="I67" s="193"/>
      <c r="J67" s="20" t="s">
        <v>210</v>
      </c>
      <c r="K67" s="168">
        <f>$K$59*1.8</f>
        <v>16.424445624582795</v>
      </c>
    </row>
    <row r="68" spans="1:11" ht="14.4" x14ac:dyDescent="0.3">
      <c r="A68" s="156" t="s">
        <v>175</v>
      </c>
      <c r="B68" s="146">
        <v>100000</v>
      </c>
      <c r="C68" s="144" t="s">
        <v>180</v>
      </c>
      <c r="D68" s="144">
        <v>1</v>
      </c>
      <c r="E68" s="145">
        <f t="shared" si="2"/>
        <v>100000</v>
      </c>
      <c r="F68" s="144" t="s">
        <v>184</v>
      </c>
      <c r="G68" s="144" t="s">
        <v>182</v>
      </c>
      <c r="H68" s="144" t="s">
        <v>119</v>
      </c>
      <c r="I68" s="193"/>
      <c r="J68" s="20" t="s">
        <v>211</v>
      </c>
      <c r="K68" s="168">
        <f>$K$59*1.9</f>
        <v>17.336914825948504</v>
      </c>
    </row>
    <row r="69" spans="1:11" ht="14.4" x14ac:dyDescent="0.3">
      <c r="A69" s="156" t="s">
        <v>176</v>
      </c>
      <c r="B69" s="146">
        <v>2000000</v>
      </c>
      <c r="C69" s="144" t="s">
        <v>180</v>
      </c>
      <c r="D69" s="144">
        <v>1</v>
      </c>
      <c r="E69" s="145">
        <f t="shared" si="2"/>
        <v>2000000</v>
      </c>
      <c r="F69" s="144" t="s">
        <v>184</v>
      </c>
      <c r="G69" s="144" t="s">
        <v>183</v>
      </c>
      <c r="H69" s="144" t="s">
        <v>119</v>
      </c>
      <c r="I69" s="193"/>
      <c r="J69" s="20" t="s">
        <v>212</v>
      </c>
      <c r="K69" s="168">
        <f>$K$59*2</f>
        <v>18.249384027314218</v>
      </c>
    </row>
    <row r="70" spans="1:11" ht="14.4" x14ac:dyDescent="0.3">
      <c r="A70" s="156" t="s">
        <v>177</v>
      </c>
      <c r="B70" s="144">
        <v>3</v>
      </c>
      <c r="C70" s="144" t="s">
        <v>185</v>
      </c>
      <c r="D70" s="144" t="s">
        <v>11</v>
      </c>
      <c r="E70" s="144" t="s">
        <v>11</v>
      </c>
      <c r="F70" s="144" t="s">
        <v>6</v>
      </c>
      <c r="G70" s="144" t="s">
        <v>11</v>
      </c>
      <c r="H70" s="144" t="s">
        <v>119</v>
      </c>
      <c r="I70" s="193"/>
      <c r="J70" s="20" t="s">
        <v>220</v>
      </c>
      <c r="K70" s="168">
        <f>$K$59*2.1</f>
        <v>19.161853228679931</v>
      </c>
    </row>
    <row r="71" spans="1:11" ht="14.4" x14ac:dyDescent="0.3">
      <c r="A71" s="156" t="s">
        <v>178</v>
      </c>
      <c r="B71" s="144">
        <v>20</v>
      </c>
      <c r="C71" s="144" t="s">
        <v>186</v>
      </c>
      <c r="D71" s="144" t="s">
        <v>11</v>
      </c>
      <c r="E71" s="144" t="s">
        <v>11</v>
      </c>
      <c r="F71" s="144" t="s">
        <v>6</v>
      </c>
      <c r="G71" s="144" t="s">
        <v>11</v>
      </c>
      <c r="H71" s="144" t="s">
        <v>119</v>
      </c>
      <c r="I71" s="193"/>
      <c r="J71" s="20" t="s">
        <v>221</v>
      </c>
      <c r="K71" s="168">
        <f>$K$59*2.2</f>
        <v>20.07432243004564</v>
      </c>
    </row>
    <row r="72" spans="1:11" ht="14.4" x14ac:dyDescent="0.3">
      <c r="A72" s="193"/>
      <c r="B72" s="193"/>
      <c r="C72" s="193"/>
      <c r="D72" s="193"/>
      <c r="E72" s="193"/>
      <c r="F72" s="193"/>
      <c r="G72" s="193"/>
      <c r="H72" s="193"/>
      <c r="I72" s="193"/>
      <c r="J72" s="193"/>
      <c r="K72" s="193"/>
    </row>
    <row r="73" spans="1:11" ht="14.4" customHeight="1" x14ac:dyDescent="0.3">
      <c r="A73" s="193"/>
      <c r="B73" s="193"/>
      <c r="C73" s="193"/>
      <c r="D73" s="193"/>
      <c r="E73" s="193"/>
      <c r="F73" s="193"/>
      <c r="G73" s="193"/>
      <c r="H73" s="193"/>
      <c r="I73" s="193"/>
      <c r="J73" s="193"/>
      <c r="K73" s="193"/>
    </row>
    <row r="88" ht="14.4" customHeight="1" x14ac:dyDescent="0.25"/>
  </sheetData>
  <mergeCells count="14">
    <mergeCell ref="I4:K4"/>
    <mergeCell ref="C4:E4"/>
    <mergeCell ref="A4:B4"/>
    <mergeCell ref="N4:R4"/>
    <mergeCell ref="F4:H4"/>
    <mergeCell ref="A22:B22"/>
    <mergeCell ref="A23:B23"/>
    <mergeCell ref="A20:A21"/>
    <mergeCell ref="A10:B10"/>
    <mergeCell ref="A17:H17"/>
    <mergeCell ref="C18:E18"/>
    <mergeCell ref="F18:H18"/>
    <mergeCell ref="A18:B19"/>
    <mergeCell ref="A29:D29"/>
  </mergeCell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25A8-AB89-44E0-B717-CEC3AD143104}">
  <sheetPr codeName="Sheet7" filterMode="1">
    <tabColor rgb="FF92D050"/>
  </sheetPr>
  <dimension ref="A1:L92"/>
  <sheetViews>
    <sheetView zoomScaleNormal="100" workbookViewId="0">
      <selection activeCell="B34" sqref="B34"/>
    </sheetView>
  </sheetViews>
  <sheetFormatPr defaultRowHeight="13.8" x14ac:dyDescent="0.25"/>
  <cols>
    <col min="1" max="1" width="11.21875" style="3" customWidth="1"/>
    <col min="2" max="2" width="51.88671875" style="3" bestFit="1" customWidth="1"/>
    <col min="3" max="5" width="8.88671875" style="3"/>
    <col min="6" max="6" width="55.21875" style="3" customWidth="1"/>
    <col min="7" max="11" width="8.88671875" style="3"/>
    <col min="12" max="12" width="50.5546875" style="3" customWidth="1"/>
    <col min="13" max="16384" width="8.88671875" style="3"/>
  </cols>
  <sheetData>
    <row r="1" spans="1:8" s="12" customFormat="1" x14ac:dyDescent="0.25">
      <c r="A1" s="44" t="s">
        <v>32</v>
      </c>
      <c r="B1" s="44" t="s">
        <v>102</v>
      </c>
      <c r="C1" s="45" t="s">
        <v>88</v>
      </c>
      <c r="F1" s="61" t="s">
        <v>102</v>
      </c>
      <c r="G1" s="61" t="s">
        <v>103</v>
      </c>
      <c r="H1" s="61" t="s">
        <v>112</v>
      </c>
    </row>
    <row r="2" spans="1:8" x14ac:dyDescent="0.25">
      <c r="A2" s="46" t="s">
        <v>63</v>
      </c>
      <c r="B2" s="47" t="s">
        <v>57</v>
      </c>
      <c r="C2" s="59"/>
      <c r="F2" s="50" t="s">
        <v>59</v>
      </c>
      <c r="G2" s="51">
        <f>COUNTIF($B$2:$B$48,F2)</f>
        <v>6</v>
      </c>
      <c r="H2" s="62">
        <f>G2/$G$11</f>
        <v>0.14634146341463414</v>
      </c>
    </row>
    <row r="3" spans="1:8" x14ac:dyDescent="0.25">
      <c r="A3" s="46" t="s">
        <v>33</v>
      </c>
      <c r="B3" s="47" t="s">
        <v>57</v>
      </c>
      <c r="C3" s="59" t="s">
        <v>89</v>
      </c>
      <c r="F3" s="50" t="s">
        <v>57</v>
      </c>
      <c r="G3" s="51">
        <f t="shared" ref="G3:G9" si="0">COUNTIF($B$2:$B$48,F3)</f>
        <v>19</v>
      </c>
      <c r="H3" s="62">
        <f t="shared" ref="H3:H9" si="1">G3/$G$11</f>
        <v>0.46341463414634149</v>
      </c>
    </row>
    <row r="4" spans="1:8" x14ac:dyDescent="0.25">
      <c r="A4" s="46" t="s">
        <v>65</v>
      </c>
      <c r="B4" s="47" t="s">
        <v>57</v>
      </c>
      <c r="C4" s="59" t="s">
        <v>89</v>
      </c>
      <c r="F4" s="50" t="s">
        <v>56</v>
      </c>
      <c r="G4" s="51">
        <f t="shared" si="0"/>
        <v>8</v>
      </c>
      <c r="H4" s="62">
        <f t="shared" si="1"/>
        <v>0.1951219512195122</v>
      </c>
    </row>
    <row r="5" spans="1:8" x14ac:dyDescent="0.25">
      <c r="A5" s="46" t="s">
        <v>66</v>
      </c>
      <c r="B5" s="53" t="s">
        <v>59</v>
      </c>
      <c r="C5" s="59"/>
      <c r="F5" s="50" t="s">
        <v>100</v>
      </c>
      <c r="G5" s="51">
        <f t="shared" si="0"/>
        <v>0</v>
      </c>
      <c r="H5" s="62">
        <f t="shared" si="1"/>
        <v>0</v>
      </c>
    </row>
    <row r="6" spans="1:8" x14ac:dyDescent="0.25">
      <c r="A6" s="46" t="s">
        <v>67</v>
      </c>
      <c r="B6" s="54" t="s">
        <v>58</v>
      </c>
      <c r="C6" s="59" t="s">
        <v>89</v>
      </c>
      <c r="F6" s="50" t="s">
        <v>60</v>
      </c>
      <c r="G6" s="51">
        <f t="shared" si="0"/>
        <v>1</v>
      </c>
      <c r="H6" s="62">
        <f t="shared" si="1"/>
        <v>2.4390243902439025E-2</v>
      </c>
    </row>
    <row r="7" spans="1:8" x14ac:dyDescent="0.25">
      <c r="A7" s="46" t="s">
        <v>68</v>
      </c>
      <c r="B7" s="47" t="s">
        <v>57</v>
      </c>
      <c r="C7" s="59" t="s">
        <v>89</v>
      </c>
      <c r="F7" s="50" t="s">
        <v>101</v>
      </c>
      <c r="G7" s="51">
        <f t="shared" si="0"/>
        <v>0</v>
      </c>
      <c r="H7" s="62">
        <f t="shared" si="1"/>
        <v>0</v>
      </c>
    </row>
    <row r="8" spans="1:8" x14ac:dyDescent="0.25">
      <c r="A8" s="46" t="s">
        <v>34</v>
      </c>
      <c r="B8" s="55" t="s">
        <v>64</v>
      </c>
      <c r="C8" s="59" t="s">
        <v>89</v>
      </c>
      <c r="F8" s="50" t="s">
        <v>58</v>
      </c>
      <c r="G8" s="51">
        <f t="shared" si="0"/>
        <v>4</v>
      </c>
      <c r="H8" s="62">
        <f t="shared" si="1"/>
        <v>9.7560975609756101E-2</v>
      </c>
    </row>
    <row r="9" spans="1:8" ht="14.4" thickBot="1" x14ac:dyDescent="0.3">
      <c r="A9" s="46" t="s">
        <v>69</v>
      </c>
      <c r="B9" s="47" t="s">
        <v>57</v>
      </c>
      <c r="C9" s="59"/>
      <c r="F9" s="56" t="s">
        <v>61</v>
      </c>
      <c r="G9" s="57">
        <f t="shared" si="0"/>
        <v>3</v>
      </c>
      <c r="H9" s="63">
        <f t="shared" si="1"/>
        <v>7.3170731707317069E-2</v>
      </c>
    </row>
    <row r="10" spans="1:8" x14ac:dyDescent="0.25">
      <c r="A10" s="46" t="s">
        <v>70</v>
      </c>
      <c r="B10" s="54" t="s">
        <v>59</v>
      </c>
      <c r="C10" s="59" t="s">
        <v>89</v>
      </c>
    </row>
    <row r="11" spans="1:8" x14ac:dyDescent="0.25">
      <c r="A11" s="46" t="s">
        <v>71</v>
      </c>
      <c r="B11" s="54" t="s">
        <v>58</v>
      </c>
      <c r="C11" s="59"/>
      <c r="F11" s="58" t="s">
        <v>104</v>
      </c>
      <c r="G11" s="51">
        <f>SUM(G2:G9)</f>
        <v>41</v>
      </c>
      <c r="H11" s="29">
        <f>SUM(H2:H9)</f>
        <v>1</v>
      </c>
    </row>
    <row r="12" spans="1:8" x14ac:dyDescent="0.25">
      <c r="A12" s="46" t="s">
        <v>72</v>
      </c>
      <c r="B12" s="53" t="s">
        <v>59</v>
      </c>
      <c r="C12" s="59"/>
    </row>
    <row r="13" spans="1:8" x14ac:dyDescent="0.25">
      <c r="A13" s="46" t="s">
        <v>82</v>
      </c>
      <c r="B13" s="55" t="s">
        <v>64</v>
      </c>
      <c r="C13" s="59"/>
    </row>
    <row r="14" spans="1:8" x14ac:dyDescent="0.25">
      <c r="A14" s="46" t="s">
        <v>35</v>
      </c>
      <c r="B14" s="47" t="s">
        <v>57</v>
      </c>
      <c r="C14" s="59" t="s">
        <v>89</v>
      </c>
    </row>
    <row r="15" spans="1:8" x14ac:dyDescent="0.25">
      <c r="A15" s="59" t="s">
        <v>83</v>
      </c>
      <c r="B15" s="47" t="s">
        <v>56</v>
      </c>
      <c r="C15" s="59"/>
    </row>
    <row r="16" spans="1:8" x14ac:dyDescent="0.25">
      <c r="A16" s="59" t="s">
        <v>84</v>
      </c>
      <c r="B16" s="47" t="s">
        <v>56</v>
      </c>
      <c r="C16" s="59"/>
    </row>
    <row r="17" spans="1:3" x14ac:dyDescent="0.25">
      <c r="A17" s="59" t="s">
        <v>85</v>
      </c>
      <c r="B17" s="47" t="s">
        <v>56</v>
      </c>
      <c r="C17" s="59"/>
    </row>
    <row r="18" spans="1:3" x14ac:dyDescent="0.25">
      <c r="A18" s="59" t="s">
        <v>86</v>
      </c>
      <c r="B18" s="47" t="s">
        <v>56</v>
      </c>
      <c r="C18" s="59"/>
    </row>
    <row r="19" spans="1:3" x14ac:dyDescent="0.25">
      <c r="A19" s="46" t="s">
        <v>36</v>
      </c>
      <c r="B19" s="47" t="s">
        <v>57</v>
      </c>
      <c r="C19" s="59" t="s">
        <v>89</v>
      </c>
    </row>
    <row r="20" spans="1:3" x14ac:dyDescent="0.25">
      <c r="A20" s="46" t="s">
        <v>37</v>
      </c>
      <c r="B20" s="47" t="s">
        <v>57</v>
      </c>
      <c r="C20" s="59" t="s">
        <v>89</v>
      </c>
    </row>
    <row r="21" spans="1:3" x14ac:dyDescent="0.25">
      <c r="A21" s="46" t="s">
        <v>40</v>
      </c>
      <c r="B21" s="60" t="s">
        <v>58</v>
      </c>
      <c r="C21" s="59"/>
    </row>
    <row r="22" spans="1:3" x14ac:dyDescent="0.25">
      <c r="A22" s="46" t="s">
        <v>73</v>
      </c>
      <c r="B22" s="47" t="s">
        <v>57</v>
      </c>
      <c r="C22" s="59"/>
    </row>
    <row r="23" spans="1:3" x14ac:dyDescent="0.25">
      <c r="A23" s="46" t="s">
        <v>38</v>
      </c>
      <c r="B23" s="47" t="s">
        <v>57</v>
      </c>
      <c r="C23" s="59" t="s">
        <v>89</v>
      </c>
    </row>
    <row r="24" spans="1:3" x14ac:dyDescent="0.25">
      <c r="A24" s="46" t="s">
        <v>39</v>
      </c>
      <c r="B24" s="54" t="s">
        <v>59</v>
      </c>
      <c r="C24" s="59" t="s">
        <v>89</v>
      </c>
    </row>
    <row r="25" spans="1:3" x14ac:dyDescent="0.25">
      <c r="A25" s="46" t="s">
        <v>41</v>
      </c>
      <c r="B25" s="47" t="s">
        <v>60</v>
      </c>
      <c r="C25" s="59"/>
    </row>
    <row r="26" spans="1:3" ht="27.6" x14ac:dyDescent="0.25">
      <c r="A26" s="46" t="s">
        <v>74</v>
      </c>
      <c r="B26" s="47" t="s">
        <v>57</v>
      </c>
      <c r="C26" s="59"/>
    </row>
    <row r="27" spans="1:3" ht="27.6" x14ac:dyDescent="0.25">
      <c r="A27" s="46" t="s">
        <v>75</v>
      </c>
      <c r="B27" s="47" t="s">
        <v>57</v>
      </c>
      <c r="C27" s="59"/>
    </row>
    <row r="28" spans="1:3" ht="27.6" x14ac:dyDescent="0.25">
      <c r="A28" s="46" t="s">
        <v>76</v>
      </c>
      <c r="B28" s="47" t="s">
        <v>57</v>
      </c>
      <c r="C28" s="59"/>
    </row>
    <row r="29" spans="1:3" x14ac:dyDescent="0.25">
      <c r="A29" s="46" t="s">
        <v>42</v>
      </c>
      <c r="B29" s="54" t="s">
        <v>61</v>
      </c>
      <c r="C29" s="59"/>
    </row>
    <row r="30" spans="1:3" ht="27.6" x14ac:dyDescent="0.25">
      <c r="A30" s="46" t="s">
        <v>77</v>
      </c>
      <c r="B30" s="54" t="s">
        <v>58</v>
      </c>
      <c r="C30" s="59"/>
    </row>
    <row r="31" spans="1:3" x14ac:dyDescent="0.25">
      <c r="A31" s="46" t="s">
        <v>87</v>
      </c>
      <c r="B31" s="47" t="s">
        <v>56</v>
      </c>
      <c r="C31" s="59" t="s">
        <v>89</v>
      </c>
    </row>
    <row r="32" spans="1:3" x14ac:dyDescent="0.25">
      <c r="A32" s="46" t="s">
        <v>43</v>
      </c>
      <c r="B32" s="54" t="s">
        <v>61</v>
      </c>
      <c r="C32" s="59" t="s">
        <v>89</v>
      </c>
    </row>
    <row r="33" spans="1:3" x14ac:dyDescent="0.25">
      <c r="A33" s="46" t="s">
        <v>55</v>
      </c>
      <c r="B33" s="47" t="s">
        <v>57</v>
      </c>
      <c r="C33" s="59" t="s">
        <v>89</v>
      </c>
    </row>
    <row r="34" spans="1:3" x14ac:dyDescent="0.25">
      <c r="A34" s="46" t="s">
        <v>44</v>
      </c>
      <c r="B34" s="46"/>
      <c r="C34" s="59"/>
    </row>
    <row r="35" spans="1:3" x14ac:dyDescent="0.25">
      <c r="A35" s="46" t="s">
        <v>78</v>
      </c>
      <c r="B35" s="47" t="s">
        <v>57</v>
      </c>
      <c r="C35" s="59" t="s">
        <v>89</v>
      </c>
    </row>
    <row r="36" spans="1:3" x14ac:dyDescent="0.25">
      <c r="A36" s="46" t="s">
        <v>45</v>
      </c>
      <c r="B36" s="47" t="s">
        <v>57</v>
      </c>
      <c r="C36" s="59"/>
    </row>
    <row r="37" spans="1:3" x14ac:dyDescent="0.25">
      <c r="A37" s="46" t="s">
        <v>46</v>
      </c>
      <c r="B37" s="54" t="s">
        <v>59</v>
      </c>
      <c r="C37" s="59"/>
    </row>
    <row r="38" spans="1:3" x14ac:dyDescent="0.25">
      <c r="A38" s="46" t="s">
        <v>47</v>
      </c>
      <c r="B38" s="55" t="s">
        <v>64</v>
      </c>
      <c r="C38" s="59"/>
    </row>
    <row r="39" spans="1:3" x14ac:dyDescent="0.25">
      <c r="A39" s="46" t="s">
        <v>48</v>
      </c>
      <c r="B39" s="55" t="s">
        <v>64</v>
      </c>
      <c r="C39" s="59"/>
    </row>
    <row r="40" spans="1:3" x14ac:dyDescent="0.25">
      <c r="A40" s="46" t="s">
        <v>49</v>
      </c>
      <c r="B40" s="47" t="s">
        <v>57</v>
      </c>
      <c r="C40" s="59" t="s">
        <v>89</v>
      </c>
    </row>
    <row r="41" spans="1:3" x14ac:dyDescent="0.25">
      <c r="A41" s="46" t="s">
        <v>50</v>
      </c>
      <c r="B41" s="54" t="s">
        <v>61</v>
      </c>
      <c r="C41" s="59" t="s">
        <v>89</v>
      </c>
    </row>
    <row r="42" spans="1:3" ht="27.6" x14ac:dyDescent="0.25">
      <c r="A42" s="46" t="s">
        <v>79</v>
      </c>
      <c r="B42" s="54" t="s">
        <v>59</v>
      </c>
      <c r="C42" s="59"/>
    </row>
    <row r="43" spans="1:3" x14ac:dyDescent="0.25">
      <c r="A43" s="46" t="s">
        <v>80</v>
      </c>
      <c r="B43" s="47" t="s">
        <v>62</v>
      </c>
      <c r="C43" s="59"/>
    </row>
    <row r="44" spans="1:3" x14ac:dyDescent="0.25">
      <c r="A44" s="46" t="s">
        <v>81</v>
      </c>
      <c r="B44" s="47" t="s">
        <v>57</v>
      </c>
      <c r="C44" s="59" t="s">
        <v>89</v>
      </c>
    </row>
    <row r="45" spans="1:3" x14ac:dyDescent="0.25">
      <c r="A45" s="46" t="s">
        <v>51</v>
      </c>
      <c r="B45" s="47" t="s">
        <v>56</v>
      </c>
      <c r="C45" s="59"/>
    </row>
    <row r="46" spans="1:3" x14ac:dyDescent="0.25">
      <c r="A46" s="46" t="s">
        <v>52</v>
      </c>
      <c r="B46" s="47" t="s">
        <v>56</v>
      </c>
      <c r="C46" s="59"/>
    </row>
    <row r="47" spans="1:3" x14ac:dyDescent="0.25">
      <c r="A47" s="46" t="s">
        <v>53</v>
      </c>
      <c r="B47" s="47" t="s">
        <v>56</v>
      </c>
      <c r="C47" s="59"/>
    </row>
    <row r="48" spans="1:3" x14ac:dyDescent="0.25">
      <c r="A48" s="46" t="s">
        <v>54</v>
      </c>
      <c r="B48" s="47" t="s">
        <v>57</v>
      </c>
      <c r="C48" s="59"/>
    </row>
    <row r="50" spans="1:12" ht="14.4" x14ac:dyDescent="0.3">
      <c r="A50" s="64" t="s">
        <v>151</v>
      </c>
    </row>
    <row r="56" spans="1:12" s="13" customFormat="1" ht="14.4" hidden="1" x14ac:dyDescent="0.3">
      <c r="L56" s="14" t="s">
        <v>57</v>
      </c>
    </row>
    <row r="57" spans="1:12" s="13" customFormat="1" ht="14.4" hidden="1" x14ac:dyDescent="0.3">
      <c r="L57" s="14" t="s">
        <v>57</v>
      </c>
    </row>
    <row r="58" spans="1:12" s="13" customFormat="1" ht="14.4" hidden="1" x14ac:dyDescent="0.3">
      <c r="L58" s="14" t="s">
        <v>57</v>
      </c>
    </row>
    <row r="59" spans="1:12" s="13" customFormat="1" ht="14.4" hidden="1" x14ac:dyDescent="0.3">
      <c r="L59" s="16" t="s">
        <v>59</v>
      </c>
    </row>
    <row r="60" spans="1:12" s="13" customFormat="1" ht="14.4" hidden="1" x14ac:dyDescent="0.3">
      <c r="L60" s="16" t="s">
        <v>58</v>
      </c>
    </row>
    <row r="61" spans="1:12" s="13" customFormat="1" ht="14.4" hidden="1" x14ac:dyDescent="0.3">
      <c r="L61" s="15" t="s">
        <v>59</v>
      </c>
    </row>
    <row r="62" spans="1:12" s="13" customFormat="1" ht="14.4" hidden="1" x14ac:dyDescent="0.3">
      <c r="L62" s="19" t="s">
        <v>64</v>
      </c>
    </row>
    <row r="63" spans="1:12" s="13" customFormat="1" ht="14.4" hidden="1" x14ac:dyDescent="0.3">
      <c r="L63" s="14" t="s">
        <v>57</v>
      </c>
    </row>
    <row r="64" spans="1:12" s="13" customFormat="1" ht="14.4" hidden="1" x14ac:dyDescent="0.3">
      <c r="L64" s="14" t="s">
        <v>56</v>
      </c>
    </row>
    <row r="65" spans="12:12" s="13" customFormat="1" ht="14.4" hidden="1" x14ac:dyDescent="0.3">
      <c r="L65" s="14" t="s">
        <v>56</v>
      </c>
    </row>
    <row r="66" spans="12:12" s="13" customFormat="1" ht="14.4" hidden="1" x14ac:dyDescent="0.3">
      <c r="L66" s="14" t="s">
        <v>56</v>
      </c>
    </row>
    <row r="67" spans="12:12" s="13" customFormat="1" ht="14.4" hidden="1" x14ac:dyDescent="0.3">
      <c r="L67" s="14" t="s">
        <v>57</v>
      </c>
    </row>
    <row r="68" spans="12:12" s="13" customFormat="1" ht="14.4" hidden="1" x14ac:dyDescent="0.3">
      <c r="L68" s="14" t="s">
        <v>57</v>
      </c>
    </row>
    <row r="69" spans="12:12" s="13" customFormat="1" ht="14.4" hidden="1" x14ac:dyDescent="0.3">
      <c r="L69" s="17" t="s">
        <v>58</v>
      </c>
    </row>
    <row r="70" spans="12:12" s="13" customFormat="1" ht="14.4" hidden="1" x14ac:dyDescent="0.3">
      <c r="L70" s="14" t="s">
        <v>57</v>
      </c>
    </row>
    <row r="71" spans="12:12" s="13" customFormat="1" ht="14.4" hidden="1" x14ac:dyDescent="0.3">
      <c r="L71" s="14" t="s">
        <v>57</v>
      </c>
    </row>
    <row r="72" spans="12:12" s="13" customFormat="1" ht="14.4" hidden="1" x14ac:dyDescent="0.3">
      <c r="L72" s="16" t="s">
        <v>59</v>
      </c>
    </row>
    <row r="73" spans="12:12" s="13" customFormat="1" ht="14.4" hidden="1" x14ac:dyDescent="0.3">
      <c r="L73" s="14" t="s">
        <v>57</v>
      </c>
    </row>
    <row r="74" spans="12:12" s="13" customFormat="1" ht="14.4" hidden="1" x14ac:dyDescent="0.3">
      <c r="L74" s="14" t="s">
        <v>57</v>
      </c>
    </row>
    <row r="75" spans="12:12" s="13" customFormat="1" ht="14.4" hidden="1" x14ac:dyDescent="0.3">
      <c r="L75" s="14" t="s">
        <v>57</v>
      </c>
    </row>
    <row r="76" spans="12:12" s="13" customFormat="1" ht="14.4" hidden="1" x14ac:dyDescent="0.3">
      <c r="L76" s="16" t="s">
        <v>58</v>
      </c>
    </row>
    <row r="77" spans="12:12" s="13" customFormat="1" ht="14.4" hidden="1" x14ac:dyDescent="0.3">
      <c r="L77" s="14" t="s">
        <v>56</v>
      </c>
    </row>
    <row r="78" spans="12:12" s="13" customFormat="1" ht="14.4" hidden="1" x14ac:dyDescent="0.3">
      <c r="L78" s="16" t="s">
        <v>61</v>
      </c>
    </row>
    <row r="79" spans="12:12" s="13" customFormat="1" ht="14.4" hidden="1" x14ac:dyDescent="0.3">
      <c r="L79" s="14" t="s">
        <v>57</v>
      </c>
    </row>
    <row r="80" spans="12:12" s="13" customFormat="1" ht="14.4" hidden="1" x14ac:dyDescent="0.3">
      <c r="L80" s="14" t="s">
        <v>57</v>
      </c>
    </row>
    <row r="81" spans="12:12" s="13" customFormat="1" ht="14.4" hidden="1" x14ac:dyDescent="0.3">
      <c r="L81" s="14" t="s">
        <v>57</v>
      </c>
    </row>
    <row r="82" spans="12:12" s="13" customFormat="1" ht="14.4" hidden="1" x14ac:dyDescent="0.3">
      <c r="L82" s="16" t="s">
        <v>59</v>
      </c>
    </row>
    <row r="83" spans="12:12" s="13" customFormat="1" ht="14.4" hidden="1" x14ac:dyDescent="0.3">
      <c r="L83" s="19" t="s">
        <v>64</v>
      </c>
    </row>
    <row r="84" spans="12:12" s="13" customFormat="1" ht="14.4" hidden="1" x14ac:dyDescent="0.3">
      <c r="L84" s="19" t="s">
        <v>64</v>
      </c>
    </row>
    <row r="85" spans="12:12" s="13" customFormat="1" ht="14.4" hidden="1" x14ac:dyDescent="0.3">
      <c r="L85" s="14" t="s">
        <v>57</v>
      </c>
    </row>
    <row r="86" spans="12:12" s="13" customFormat="1" ht="14.4" hidden="1" x14ac:dyDescent="0.3">
      <c r="L86" s="16" t="s">
        <v>61</v>
      </c>
    </row>
    <row r="87" spans="12:12" s="13" customFormat="1" ht="14.4" hidden="1" x14ac:dyDescent="0.3">
      <c r="L87" s="16" t="s">
        <v>59</v>
      </c>
    </row>
    <row r="88" spans="12:12" s="13" customFormat="1" ht="14.4" hidden="1" x14ac:dyDescent="0.3">
      <c r="L88" s="14" t="s">
        <v>57</v>
      </c>
    </row>
    <row r="89" spans="12:12" s="13" customFormat="1" ht="14.4" hidden="1" x14ac:dyDescent="0.3">
      <c r="L89" s="14" t="s">
        <v>56</v>
      </c>
    </row>
    <row r="90" spans="12:12" s="13" customFormat="1" ht="14.4" hidden="1" x14ac:dyDescent="0.3">
      <c r="L90" s="14" t="s">
        <v>56</v>
      </c>
    </row>
    <row r="91" spans="12:12" s="13" customFormat="1" ht="14.4" hidden="1" x14ac:dyDescent="0.3">
      <c r="L91" s="14" t="s">
        <v>56</v>
      </c>
    </row>
    <row r="92" spans="12:12" s="13" customFormat="1" ht="14.4" hidden="1" x14ac:dyDescent="0.3">
      <c r="L92" s="14" t="s">
        <v>57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DBBC3-2F6E-4F74-9731-6A90B0FA0F89}">
  <sheetPr codeName="Sheet8">
    <tabColor rgb="FF92D050"/>
  </sheetPr>
  <dimension ref="A1:AB50"/>
  <sheetViews>
    <sheetView zoomScaleNormal="100" workbookViewId="0">
      <selection activeCell="I27" sqref="I27"/>
    </sheetView>
  </sheetViews>
  <sheetFormatPr defaultRowHeight="14.4" x14ac:dyDescent="0.3"/>
  <cols>
    <col min="1" max="1" width="15.21875" style="49" customWidth="1"/>
    <col min="2" max="2" width="51.88671875" style="49" bestFit="1" customWidth="1"/>
    <col min="3" max="3" width="8.88671875" style="49"/>
    <col min="4" max="23" width="9.44140625" style="73" customWidth="1"/>
    <col min="24" max="24" width="3.21875" style="49" customWidth="1"/>
    <col min="25" max="25" width="3.109375" style="49" customWidth="1"/>
    <col min="26" max="26" width="41.5546875" style="49" bestFit="1" customWidth="1"/>
    <col min="27" max="27" width="7.33203125" style="49" bestFit="1" customWidth="1"/>
    <col min="28" max="28" width="7" style="49" bestFit="1" customWidth="1"/>
    <col min="29" max="16384" width="8.88671875" style="49"/>
  </cols>
  <sheetData>
    <row r="1" spans="1:28" s="12" customFormat="1" ht="13.8" x14ac:dyDescent="0.25">
      <c r="A1" s="44" t="s">
        <v>32</v>
      </c>
      <c r="B1" s="44" t="s">
        <v>148</v>
      </c>
      <c r="C1" s="45" t="s">
        <v>88</v>
      </c>
      <c r="D1" s="44">
        <v>2021</v>
      </c>
      <c r="E1" s="45">
        <v>2022</v>
      </c>
      <c r="F1" s="44">
        <v>2023</v>
      </c>
      <c r="G1" s="45">
        <v>2024</v>
      </c>
      <c r="H1" s="44">
        <v>2025</v>
      </c>
      <c r="I1" s="45">
        <v>2026</v>
      </c>
      <c r="J1" s="44">
        <v>2027</v>
      </c>
      <c r="K1" s="45">
        <v>2028</v>
      </c>
      <c r="L1" s="44">
        <v>2029</v>
      </c>
      <c r="M1" s="45">
        <v>2030</v>
      </c>
      <c r="N1" s="44">
        <v>2031</v>
      </c>
      <c r="O1" s="45">
        <v>2032</v>
      </c>
      <c r="P1" s="44">
        <v>2033</v>
      </c>
      <c r="Q1" s="45">
        <v>2034</v>
      </c>
      <c r="R1" s="44">
        <v>2035</v>
      </c>
      <c r="S1" s="45">
        <v>2036</v>
      </c>
      <c r="T1" s="44">
        <v>2037</v>
      </c>
      <c r="U1" s="45">
        <v>2038</v>
      </c>
      <c r="V1" s="44">
        <v>2039</v>
      </c>
      <c r="W1" s="45">
        <v>2040</v>
      </c>
    </row>
    <row r="2" spans="1:28" x14ac:dyDescent="0.3">
      <c r="A2" s="46" t="s">
        <v>63</v>
      </c>
      <c r="B2" s="47" t="s">
        <v>57</v>
      </c>
      <c r="C2" s="48"/>
      <c r="D2" s="55">
        <v>1</v>
      </c>
      <c r="E2" s="55">
        <v>1</v>
      </c>
      <c r="F2" s="55">
        <v>0</v>
      </c>
      <c r="G2" s="55">
        <v>0</v>
      </c>
      <c r="H2" s="55">
        <v>0</v>
      </c>
      <c r="I2" s="55">
        <v>0</v>
      </c>
      <c r="J2" s="55">
        <v>0</v>
      </c>
      <c r="K2" s="55">
        <v>0</v>
      </c>
      <c r="L2" s="55">
        <v>0</v>
      </c>
      <c r="M2" s="55">
        <v>0</v>
      </c>
      <c r="N2" s="55">
        <v>0</v>
      </c>
      <c r="O2" s="55">
        <v>0</v>
      </c>
      <c r="P2" s="55">
        <v>0</v>
      </c>
      <c r="Q2" s="55">
        <v>0</v>
      </c>
      <c r="R2" s="55">
        <v>0</v>
      </c>
      <c r="S2" s="55">
        <v>0</v>
      </c>
      <c r="T2" s="55">
        <v>0</v>
      </c>
      <c r="U2" s="55">
        <v>0</v>
      </c>
      <c r="V2" s="55">
        <v>0</v>
      </c>
      <c r="W2" s="55">
        <v>0</v>
      </c>
    </row>
    <row r="3" spans="1:28" x14ac:dyDescent="0.3">
      <c r="A3" s="46" t="s">
        <v>33</v>
      </c>
      <c r="B3" s="47" t="s">
        <v>57</v>
      </c>
      <c r="C3" s="48" t="s">
        <v>89</v>
      </c>
      <c r="D3" s="55">
        <v>1</v>
      </c>
      <c r="E3" s="55">
        <v>1</v>
      </c>
      <c r="F3" s="55">
        <v>1</v>
      </c>
      <c r="G3" s="55">
        <v>1</v>
      </c>
      <c r="H3" s="55">
        <v>0</v>
      </c>
      <c r="I3" s="55">
        <v>0</v>
      </c>
      <c r="J3" s="55">
        <v>0</v>
      </c>
      <c r="K3" s="55">
        <v>0</v>
      </c>
      <c r="L3" s="55">
        <v>0</v>
      </c>
      <c r="M3" s="55">
        <v>0</v>
      </c>
      <c r="N3" s="55">
        <v>0</v>
      </c>
      <c r="O3" s="55">
        <v>0</v>
      </c>
      <c r="P3" s="55">
        <v>0</v>
      </c>
      <c r="Q3" s="55">
        <v>0</v>
      </c>
      <c r="R3" s="55">
        <v>0</v>
      </c>
      <c r="S3" s="55">
        <v>0</v>
      </c>
      <c r="T3" s="55">
        <v>0</v>
      </c>
      <c r="U3" s="55">
        <v>0</v>
      </c>
      <c r="V3" s="55">
        <v>0</v>
      </c>
      <c r="W3" s="55">
        <v>0</v>
      </c>
    </row>
    <row r="4" spans="1:28" x14ac:dyDescent="0.3">
      <c r="A4" s="46" t="s">
        <v>65</v>
      </c>
      <c r="B4" s="47" t="s">
        <v>57</v>
      </c>
      <c r="C4" s="48" t="s">
        <v>89</v>
      </c>
      <c r="D4" s="55">
        <v>1</v>
      </c>
      <c r="E4" s="55">
        <v>1</v>
      </c>
      <c r="F4" s="55">
        <v>1</v>
      </c>
      <c r="G4" s="55">
        <v>1</v>
      </c>
      <c r="H4" s="55">
        <v>1</v>
      </c>
      <c r="I4" s="55">
        <v>1</v>
      </c>
      <c r="J4" s="55">
        <v>0</v>
      </c>
      <c r="K4" s="55">
        <v>0</v>
      </c>
      <c r="L4" s="55">
        <v>0</v>
      </c>
      <c r="M4" s="55">
        <v>0</v>
      </c>
      <c r="N4" s="55">
        <v>0</v>
      </c>
      <c r="O4" s="55">
        <v>0</v>
      </c>
      <c r="P4" s="55">
        <v>0</v>
      </c>
      <c r="Q4" s="55">
        <v>0</v>
      </c>
      <c r="R4" s="55">
        <v>0</v>
      </c>
      <c r="S4" s="55">
        <v>0</v>
      </c>
      <c r="T4" s="55">
        <v>0</v>
      </c>
      <c r="U4" s="55">
        <v>0</v>
      </c>
      <c r="V4" s="55">
        <v>0</v>
      </c>
      <c r="W4" s="55">
        <v>0</v>
      </c>
    </row>
    <row r="5" spans="1:28" x14ac:dyDescent="0.3">
      <c r="A5" s="46" t="s">
        <v>66</v>
      </c>
      <c r="B5" s="53" t="s">
        <v>59</v>
      </c>
      <c r="C5" s="48"/>
      <c r="D5" s="74">
        <v>1</v>
      </c>
      <c r="E5" s="74">
        <v>1</v>
      </c>
      <c r="F5" s="74">
        <v>1</v>
      </c>
      <c r="G5" s="74">
        <v>1</v>
      </c>
      <c r="H5" s="74">
        <v>1</v>
      </c>
      <c r="I5" s="74">
        <v>1</v>
      </c>
      <c r="J5" s="74">
        <v>1</v>
      </c>
      <c r="K5" s="74">
        <v>1</v>
      </c>
      <c r="L5" s="74">
        <v>1</v>
      </c>
      <c r="M5" s="74">
        <v>1</v>
      </c>
      <c r="N5" s="74">
        <v>1</v>
      </c>
      <c r="O5" s="74">
        <v>1</v>
      </c>
      <c r="P5" s="74">
        <v>1</v>
      </c>
      <c r="Q5" s="74">
        <v>1</v>
      </c>
      <c r="R5" s="74">
        <v>1</v>
      </c>
      <c r="S5" s="74">
        <v>1</v>
      </c>
      <c r="T5" s="74">
        <v>1</v>
      </c>
      <c r="U5" s="74">
        <v>1</v>
      </c>
      <c r="V5" s="74">
        <v>1</v>
      </c>
      <c r="W5" s="74">
        <v>1</v>
      </c>
    </row>
    <row r="6" spans="1:28" x14ac:dyDescent="0.3">
      <c r="A6" s="46" t="s">
        <v>67</v>
      </c>
      <c r="B6" s="54" t="s">
        <v>58</v>
      </c>
      <c r="C6" s="48" t="s">
        <v>89</v>
      </c>
      <c r="D6" s="46">
        <v>1</v>
      </c>
      <c r="E6" s="46">
        <v>1</v>
      </c>
      <c r="F6" s="46">
        <v>1</v>
      </c>
      <c r="G6" s="46">
        <v>1</v>
      </c>
      <c r="H6" s="46">
        <v>0</v>
      </c>
      <c r="I6" s="46">
        <v>0</v>
      </c>
      <c r="J6" s="46">
        <v>0</v>
      </c>
      <c r="K6" s="46">
        <v>0</v>
      </c>
      <c r="L6" s="46">
        <v>0</v>
      </c>
      <c r="M6" s="46">
        <v>0</v>
      </c>
      <c r="N6" s="46">
        <v>0</v>
      </c>
      <c r="O6" s="46">
        <v>0</v>
      </c>
      <c r="P6" s="46">
        <v>0</v>
      </c>
      <c r="Q6" s="46">
        <v>0</v>
      </c>
      <c r="R6" s="46">
        <v>0</v>
      </c>
      <c r="S6" s="46">
        <v>0</v>
      </c>
      <c r="T6" s="46">
        <v>0</v>
      </c>
      <c r="U6" s="46">
        <v>0</v>
      </c>
      <c r="V6" s="46">
        <v>0</v>
      </c>
      <c r="W6" s="46">
        <v>0</v>
      </c>
    </row>
    <row r="7" spans="1:28" x14ac:dyDescent="0.3">
      <c r="A7" s="46" t="s">
        <v>68</v>
      </c>
      <c r="B7" s="47" t="s">
        <v>57</v>
      </c>
      <c r="C7" s="48" t="s">
        <v>89</v>
      </c>
      <c r="D7" s="46">
        <v>1</v>
      </c>
      <c r="E7" s="46">
        <v>1</v>
      </c>
      <c r="F7" s="46">
        <v>1</v>
      </c>
      <c r="G7" s="46">
        <v>1</v>
      </c>
      <c r="H7" s="46">
        <v>1</v>
      </c>
      <c r="I7" s="46">
        <v>1</v>
      </c>
      <c r="J7" s="46">
        <v>0</v>
      </c>
      <c r="K7" s="46">
        <v>0</v>
      </c>
      <c r="L7" s="46">
        <v>0</v>
      </c>
      <c r="M7" s="46">
        <v>0</v>
      </c>
      <c r="N7" s="46">
        <v>0</v>
      </c>
      <c r="O7" s="46">
        <v>0</v>
      </c>
      <c r="P7" s="46">
        <v>0</v>
      </c>
      <c r="Q7" s="46">
        <v>0</v>
      </c>
      <c r="R7" s="46">
        <v>0</v>
      </c>
      <c r="S7" s="46">
        <v>0</v>
      </c>
      <c r="T7" s="46">
        <v>0</v>
      </c>
      <c r="U7" s="46">
        <v>0</v>
      </c>
      <c r="V7" s="46">
        <v>0</v>
      </c>
      <c r="W7" s="46">
        <v>0</v>
      </c>
    </row>
    <row r="8" spans="1:28" x14ac:dyDescent="0.3">
      <c r="A8" s="46" t="s">
        <v>34</v>
      </c>
      <c r="B8" s="55" t="s">
        <v>64</v>
      </c>
      <c r="C8" s="48" t="s">
        <v>89</v>
      </c>
      <c r="D8" s="55">
        <v>1</v>
      </c>
      <c r="E8" s="55">
        <v>1</v>
      </c>
      <c r="F8" s="55">
        <v>1</v>
      </c>
      <c r="G8" s="55">
        <v>1</v>
      </c>
      <c r="H8" s="55">
        <v>1</v>
      </c>
      <c r="I8" s="55">
        <v>1</v>
      </c>
      <c r="J8" s="55">
        <v>1</v>
      </c>
      <c r="K8" s="55">
        <v>1</v>
      </c>
      <c r="L8" s="55">
        <v>1</v>
      </c>
      <c r="M8" s="55">
        <v>1</v>
      </c>
      <c r="N8" s="55">
        <v>1</v>
      </c>
      <c r="O8" s="55">
        <v>1</v>
      </c>
      <c r="P8" s="55">
        <v>1</v>
      </c>
      <c r="Q8" s="55">
        <v>1</v>
      </c>
      <c r="R8" s="55">
        <v>1</v>
      </c>
      <c r="S8" s="55">
        <v>1</v>
      </c>
      <c r="T8" s="55">
        <v>1</v>
      </c>
      <c r="U8" s="55">
        <v>1</v>
      </c>
      <c r="V8" s="55">
        <v>1</v>
      </c>
      <c r="W8" s="55">
        <v>1</v>
      </c>
    </row>
    <row r="9" spans="1:28" ht="15" thickBot="1" x14ac:dyDescent="0.35">
      <c r="A9" s="46" t="s">
        <v>69</v>
      </c>
      <c r="B9" s="47" t="s">
        <v>57</v>
      </c>
      <c r="C9" s="48"/>
      <c r="D9" s="55"/>
      <c r="E9" s="55"/>
      <c r="F9" s="55"/>
      <c r="G9" s="55"/>
      <c r="H9" s="55"/>
      <c r="I9" s="55"/>
      <c r="J9" s="55"/>
      <c r="K9" s="55"/>
      <c r="L9" s="55"/>
      <c r="M9" s="55"/>
      <c r="N9" s="55"/>
      <c r="O9" s="55"/>
      <c r="P9" s="55"/>
      <c r="Q9" s="55"/>
      <c r="R9" s="55"/>
      <c r="S9" s="55"/>
      <c r="T9" s="55"/>
      <c r="U9" s="55"/>
      <c r="V9" s="55"/>
      <c r="W9" s="55"/>
    </row>
    <row r="10" spans="1:28" x14ac:dyDescent="0.3">
      <c r="A10" s="46" t="s">
        <v>70</v>
      </c>
      <c r="B10" s="54" t="s">
        <v>59</v>
      </c>
      <c r="C10" s="48" t="s">
        <v>89</v>
      </c>
      <c r="D10" s="46">
        <v>1</v>
      </c>
      <c r="E10" s="46">
        <v>1</v>
      </c>
      <c r="F10" s="46">
        <v>1</v>
      </c>
      <c r="G10" s="46">
        <v>1</v>
      </c>
      <c r="H10" s="46">
        <v>1</v>
      </c>
      <c r="I10" s="46">
        <v>1</v>
      </c>
      <c r="J10" s="46">
        <v>1</v>
      </c>
      <c r="K10" s="46">
        <v>1</v>
      </c>
      <c r="L10" s="46">
        <v>1</v>
      </c>
      <c r="M10" s="46">
        <v>1</v>
      </c>
      <c r="N10" s="46">
        <v>0</v>
      </c>
      <c r="O10" s="46">
        <v>0</v>
      </c>
      <c r="P10" s="46">
        <v>0</v>
      </c>
      <c r="Q10" s="46">
        <v>0</v>
      </c>
      <c r="R10" s="46">
        <v>0</v>
      </c>
      <c r="S10" s="46">
        <v>0</v>
      </c>
      <c r="T10" s="46">
        <v>0</v>
      </c>
      <c r="U10" s="46">
        <v>0</v>
      </c>
      <c r="V10" s="46">
        <v>0</v>
      </c>
      <c r="W10" s="46">
        <v>0</v>
      </c>
      <c r="Z10" s="75" t="s">
        <v>102</v>
      </c>
      <c r="AA10" s="76" t="s">
        <v>103</v>
      </c>
      <c r="AB10" s="77" t="s">
        <v>112</v>
      </c>
    </row>
    <row r="11" spans="1:28" x14ac:dyDescent="0.3">
      <c r="A11" s="46" t="s">
        <v>71</v>
      </c>
      <c r="B11" s="54" t="s">
        <v>58</v>
      </c>
      <c r="C11" s="48"/>
      <c r="D11" s="46">
        <v>1</v>
      </c>
      <c r="E11" s="46">
        <v>1</v>
      </c>
      <c r="F11" s="46">
        <v>1</v>
      </c>
      <c r="G11" s="46">
        <v>1</v>
      </c>
      <c r="H11" s="46">
        <v>1</v>
      </c>
      <c r="I11" s="46">
        <v>1</v>
      </c>
      <c r="J11" s="46">
        <v>1</v>
      </c>
      <c r="K11" s="46">
        <v>1</v>
      </c>
      <c r="L11" s="46">
        <v>1</v>
      </c>
      <c r="M11" s="46">
        <v>1</v>
      </c>
      <c r="N11" s="46">
        <v>1</v>
      </c>
      <c r="O11" s="46">
        <v>1</v>
      </c>
      <c r="P11" s="46">
        <v>1</v>
      </c>
      <c r="Q11" s="46">
        <v>1</v>
      </c>
      <c r="R11" s="46">
        <v>1</v>
      </c>
      <c r="S11" s="46">
        <v>1</v>
      </c>
      <c r="T11" s="46">
        <v>1</v>
      </c>
      <c r="U11" s="46">
        <v>1</v>
      </c>
      <c r="V11" s="46">
        <v>1</v>
      </c>
      <c r="W11" s="46">
        <v>1</v>
      </c>
      <c r="Z11" s="50" t="s">
        <v>59</v>
      </c>
      <c r="AA11" s="51">
        <f>COUNTIF($B$2:$B$48,Z11)</f>
        <v>6</v>
      </c>
      <c r="AB11" s="52">
        <f>AA11/$AA$20</f>
        <v>0.14634146341463414</v>
      </c>
    </row>
    <row r="12" spans="1:28" x14ac:dyDescent="0.3">
      <c r="A12" s="46" t="s">
        <v>72</v>
      </c>
      <c r="B12" s="53" t="s">
        <v>59</v>
      </c>
      <c r="C12" s="48"/>
      <c r="D12" s="46">
        <v>1</v>
      </c>
      <c r="E12" s="46">
        <v>1</v>
      </c>
      <c r="F12" s="46">
        <v>1</v>
      </c>
      <c r="G12" s="46">
        <v>1</v>
      </c>
      <c r="H12" s="46">
        <v>1</v>
      </c>
      <c r="I12" s="46">
        <v>1</v>
      </c>
      <c r="J12" s="46">
        <v>1</v>
      </c>
      <c r="K12" s="46">
        <v>1</v>
      </c>
      <c r="L12" s="46">
        <v>1</v>
      </c>
      <c r="M12" s="46">
        <v>1</v>
      </c>
      <c r="N12" s="46">
        <v>1</v>
      </c>
      <c r="O12" s="46">
        <v>1</v>
      </c>
      <c r="P12" s="46">
        <v>1</v>
      </c>
      <c r="Q12" s="46">
        <v>1</v>
      </c>
      <c r="R12" s="46">
        <v>1</v>
      </c>
      <c r="S12" s="46">
        <v>1</v>
      </c>
      <c r="T12" s="46">
        <v>1</v>
      </c>
      <c r="U12" s="46">
        <v>1</v>
      </c>
      <c r="V12" s="46">
        <v>1</v>
      </c>
      <c r="W12" s="46">
        <v>1</v>
      </c>
      <c r="Z12" s="50" t="s">
        <v>57</v>
      </c>
      <c r="AA12" s="51">
        <f t="shared" ref="AA12:AA18" si="0">COUNTIF($B$2:$B$48,Z12)</f>
        <v>19</v>
      </c>
      <c r="AB12" s="52">
        <f t="shared" ref="AB12:AB18" si="1">AA12/$AA$20</f>
        <v>0.46341463414634149</v>
      </c>
    </row>
    <row r="13" spans="1:28" x14ac:dyDescent="0.3">
      <c r="A13" s="46" t="s">
        <v>82</v>
      </c>
      <c r="B13" s="55" t="s">
        <v>64</v>
      </c>
      <c r="C13" s="48"/>
      <c r="D13" s="46">
        <v>1</v>
      </c>
      <c r="E13" s="46">
        <v>1</v>
      </c>
      <c r="F13" s="46">
        <v>1</v>
      </c>
      <c r="G13" s="46">
        <v>0</v>
      </c>
      <c r="H13" s="46">
        <v>0</v>
      </c>
      <c r="I13" s="46">
        <v>0</v>
      </c>
      <c r="J13" s="46">
        <v>0</v>
      </c>
      <c r="K13" s="46">
        <v>0</v>
      </c>
      <c r="L13" s="46">
        <v>0</v>
      </c>
      <c r="M13" s="46">
        <v>0</v>
      </c>
      <c r="N13" s="46">
        <v>0</v>
      </c>
      <c r="O13" s="46">
        <v>0</v>
      </c>
      <c r="P13" s="46">
        <v>0</v>
      </c>
      <c r="Q13" s="46">
        <v>0</v>
      </c>
      <c r="R13" s="46">
        <v>0</v>
      </c>
      <c r="S13" s="46">
        <v>0</v>
      </c>
      <c r="T13" s="46">
        <v>0</v>
      </c>
      <c r="U13" s="46">
        <v>0</v>
      </c>
      <c r="V13" s="46">
        <v>0</v>
      </c>
      <c r="W13" s="46">
        <v>0</v>
      </c>
      <c r="Z13" s="50" t="s">
        <v>56</v>
      </c>
      <c r="AA13" s="51">
        <f t="shared" si="0"/>
        <v>8</v>
      </c>
      <c r="AB13" s="52">
        <f t="shared" si="1"/>
        <v>0.1951219512195122</v>
      </c>
    </row>
    <row r="14" spans="1:28" x14ac:dyDescent="0.3">
      <c r="A14" s="46" t="s">
        <v>35</v>
      </c>
      <c r="B14" s="47" t="s">
        <v>57</v>
      </c>
      <c r="C14" s="48" t="s">
        <v>89</v>
      </c>
      <c r="D14" s="46">
        <v>1</v>
      </c>
      <c r="E14" s="46">
        <v>1</v>
      </c>
      <c r="F14" s="46">
        <v>1</v>
      </c>
      <c r="G14" s="46">
        <v>1</v>
      </c>
      <c r="H14" s="46">
        <v>1</v>
      </c>
      <c r="I14" s="46">
        <v>1</v>
      </c>
      <c r="J14" s="46">
        <v>1</v>
      </c>
      <c r="K14" s="46">
        <v>0</v>
      </c>
      <c r="L14" s="46">
        <v>0</v>
      </c>
      <c r="M14" s="46">
        <v>0</v>
      </c>
      <c r="N14" s="46">
        <v>0</v>
      </c>
      <c r="O14" s="46">
        <v>0</v>
      </c>
      <c r="P14" s="46">
        <v>0</v>
      </c>
      <c r="Q14" s="46">
        <v>0</v>
      </c>
      <c r="R14" s="46">
        <v>0</v>
      </c>
      <c r="S14" s="46">
        <v>0</v>
      </c>
      <c r="T14" s="46">
        <v>0</v>
      </c>
      <c r="U14" s="46">
        <v>0</v>
      </c>
      <c r="V14" s="46">
        <v>0</v>
      </c>
      <c r="W14" s="46">
        <v>0</v>
      </c>
      <c r="Z14" s="50" t="s">
        <v>100</v>
      </c>
      <c r="AA14" s="51">
        <f t="shared" si="0"/>
        <v>0</v>
      </c>
      <c r="AB14" s="52">
        <f t="shared" si="1"/>
        <v>0</v>
      </c>
    </row>
    <row r="15" spans="1:28" ht="27.6" x14ac:dyDescent="0.3">
      <c r="A15" s="59" t="s">
        <v>83</v>
      </c>
      <c r="B15" s="47" t="s">
        <v>56</v>
      </c>
      <c r="C15" s="48"/>
      <c r="D15" s="46">
        <v>1</v>
      </c>
      <c r="E15" s="46">
        <v>1</v>
      </c>
      <c r="F15" s="46">
        <v>1</v>
      </c>
      <c r="G15" s="46">
        <v>1</v>
      </c>
      <c r="H15" s="46">
        <v>1</v>
      </c>
      <c r="I15" s="46">
        <v>1</v>
      </c>
      <c r="J15" s="46">
        <v>1</v>
      </c>
      <c r="K15" s="46">
        <v>1</v>
      </c>
      <c r="L15" s="46">
        <v>1</v>
      </c>
      <c r="M15" s="46">
        <v>1</v>
      </c>
      <c r="N15" s="46">
        <v>1</v>
      </c>
      <c r="O15" s="46">
        <v>1</v>
      </c>
      <c r="P15" s="46">
        <v>1</v>
      </c>
      <c r="Q15" s="46">
        <v>1</v>
      </c>
      <c r="R15" s="46">
        <v>1</v>
      </c>
      <c r="S15" s="46">
        <v>1</v>
      </c>
      <c r="T15" s="46">
        <v>1</v>
      </c>
      <c r="U15" s="46">
        <v>1</v>
      </c>
      <c r="V15" s="46">
        <v>1</v>
      </c>
      <c r="W15" s="46">
        <v>1</v>
      </c>
      <c r="Z15" s="50" t="s">
        <v>60</v>
      </c>
      <c r="AA15" s="51">
        <f t="shared" si="0"/>
        <v>1</v>
      </c>
      <c r="AB15" s="52">
        <f t="shared" si="1"/>
        <v>2.4390243902439025E-2</v>
      </c>
    </row>
    <row r="16" spans="1:28" x14ac:dyDescent="0.3">
      <c r="A16" s="59" t="s">
        <v>84</v>
      </c>
      <c r="B16" s="47" t="s">
        <v>56</v>
      </c>
      <c r="C16" s="48"/>
      <c r="D16" s="46">
        <v>1</v>
      </c>
      <c r="E16" s="46">
        <v>1</v>
      </c>
      <c r="F16" s="46">
        <v>1</v>
      </c>
      <c r="G16" s="46">
        <v>1</v>
      </c>
      <c r="H16" s="46">
        <v>1</v>
      </c>
      <c r="I16" s="46">
        <v>1</v>
      </c>
      <c r="J16" s="46">
        <v>1</v>
      </c>
      <c r="K16" s="46">
        <v>1</v>
      </c>
      <c r="L16" s="46">
        <v>1</v>
      </c>
      <c r="M16" s="46">
        <v>1</v>
      </c>
      <c r="N16" s="46">
        <v>1</v>
      </c>
      <c r="O16" s="46">
        <v>1</v>
      </c>
      <c r="P16" s="46">
        <v>1</v>
      </c>
      <c r="Q16" s="46">
        <v>1</v>
      </c>
      <c r="R16" s="46">
        <v>1</v>
      </c>
      <c r="S16" s="46">
        <v>1</v>
      </c>
      <c r="T16" s="46">
        <v>1</v>
      </c>
      <c r="U16" s="46">
        <v>1</v>
      </c>
      <c r="V16" s="46">
        <v>1</v>
      </c>
      <c r="W16" s="46">
        <v>1</v>
      </c>
      <c r="Z16" s="50" t="s">
        <v>101</v>
      </c>
      <c r="AA16" s="51">
        <f t="shared" si="0"/>
        <v>0</v>
      </c>
      <c r="AB16" s="52">
        <f t="shared" si="1"/>
        <v>0</v>
      </c>
    </row>
    <row r="17" spans="1:28" x14ac:dyDescent="0.3">
      <c r="A17" s="59" t="s">
        <v>85</v>
      </c>
      <c r="B17" s="47" t="s">
        <v>56</v>
      </c>
      <c r="C17" s="48"/>
      <c r="D17" s="46">
        <v>1</v>
      </c>
      <c r="E17" s="46">
        <v>1</v>
      </c>
      <c r="F17" s="46">
        <v>1</v>
      </c>
      <c r="G17" s="46">
        <v>1</v>
      </c>
      <c r="H17" s="46">
        <v>1</v>
      </c>
      <c r="I17" s="46">
        <v>1</v>
      </c>
      <c r="J17" s="46">
        <v>1</v>
      </c>
      <c r="K17" s="46">
        <v>1</v>
      </c>
      <c r="L17" s="46">
        <v>1</v>
      </c>
      <c r="M17" s="46">
        <v>1</v>
      </c>
      <c r="N17" s="46">
        <v>1</v>
      </c>
      <c r="O17" s="46">
        <v>1</v>
      </c>
      <c r="P17" s="46">
        <v>1</v>
      </c>
      <c r="Q17" s="46">
        <v>1</v>
      </c>
      <c r="R17" s="46">
        <v>1</v>
      </c>
      <c r="S17" s="46">
        <v>1</v>
      </c>
      <c r="T17" s="46">
        <v>1</v>
      </c>
      <c r="U17" s="46">
        <v>1</v>
      </c>
      <c r="V17" s="46">
        <v>1</v>
      </c>
      <c r="W17" s="46">
        <v>1</v>
      </c>
      <c r="Z17" s="50" t="s">
        <v>58</v>
      </c>
      <c r="AA17" s="51">
        <f t="shared" si="0"/>
        <v>4</v>
      </c>
      <c r="AB17" s="52">
        <f t="shared" si="1"/>
        <v>9.7560975609756101E-2</v>
      </c>
    </row>
    <row r="18" spans="1:28" ht="15" thickBot="1" x14ac:dyDescent="0.35">
      <c r="A18" s="59" t="s">
        <v>86</v>
      </c>
      <c r="B18" s="47" t="s">
        <v>56</v>
      </c>
      <c r="C18" s="48"/>
      <c r="D18" s="46">
        <v>1</v>
      </c>
      <c r="E18" s="46">
        <v>1</v>
      </c>
      <c r="F18" s="46">
        <v>1</v>
      </c>
      <c r="G18" s="46">
        <v>1</v>
      </c>
      <c r="H18" s="46">
        <v>1</v>
      </c>
      <c r="I18" s="46">
        <v>1</v>
      </c>
      <c r="J18" s="46">
        <v>1</v>
      </c>
      <c r="K18" s="46">
        <v>1</v>
      </c>
      <c r="L18" s="46">
        <v>1</v>
      </c>
      <c r="M18" s="46">
        <v>1</v>
      </c>
      <c r="N18" s="46">
        <v>1</v>
      </c>
      <c r="O18" s="46">
        <v>1</v>
      </c>
      <c r="P18" s="46">
        <v>1</v>
      </c>
      <c r="Q18" s="46">
        <v>1</v>
      </c>
      <c r="R18" s="46">
        <v>1</v>
      </c>
      <c r="S18" s="46">
        <v>1</v>
      </c>
      <c r="T18" s="46">
        <v>1</v>
      </c>
      <c r="U18" s="46">
        <v>1</v>
      </c>
      <c r="V18" s="46">
        <v>1</v>
      </c>
      <c r="W18" s="46">
        <v>1</v>
      </c>
      <c r="Z18" s="56" t="s">
        <v>61</v>
      </c>
      <c r="AA18" s="51">
        <f t="shared" si="0"/>
        <v>3</v>
      </c>
      <c r="AB18" s="52">
        <f t="shared" si="1"/>
        <v>7.3170731707317069E-2</v>
      </c>
    </row>
    <row r="19" spans="1:28" x14ac:dyDescent="0.3">
      <c r="A19" s="46" t="s">
        <v>36</v>
      </c>
      <c r="B19" s="47" t="s">
        <v>57</v>
      </c>
      <c r="C19" s="48" t="s">
        <v>89</v>
      </c>
      <c r="D19" s="46">
        <v>1</v>
      </c>
      <c r="E19" s="46">
        <v>1</v>
      </c>
      <c r="F19" s="46">
        <v>1</v>
      </c>
      <c r="G19" s="46">
        <v>1</v>
      </c>
      <c r="H19" s="46">
        <v>1</v>
      </c>
      <c r="I19" s="46">
        <v>1</v>
      </c>
      <c r="J19" s="46">
        <v>1</v>
      </c>
      <c r="K19" s="46">
        <v>1</v>
      </c>
      <c r="L19" s="46">
        <v>1</v>
      </c>
      <c r="M19" s="46">
        <v>1</v>
      </c>
      <c r="N19" s="46">
        <v>1</v>
      </c>
      <c r="O19" s="46">
        <v>1</v>
      </c>
      <c r="P19" s="46">
        <v>1</v>
      </c>
      <c r="Q19" s="46">
        <v>1</v>
      </c>
      <c r="R19" s="46">
        <v>1</v>
      </c>
      <c r="S19" s="46">
        <v>1</v>
      </c>
      <c r="T19" s="46">
        <v>1</v>
      </c>
      <c r="U19" s="46">
        <v>1</v>
      </c>
      <c r="V19" s="46">
        <v>1</v>
      </c>
      <c r="W19" s="46">
        <v>1</v>
      </c>
      <c r="AB19" s="3"/>
    </row>
    <row r="20" spans="1:28" x14ac:dyDescent="0.3">
      <c r="A20" s="46" t="s">
        <v>37</v>
      </c>
      <c r="B20" s="47" t="s">
        <v>57</v>
      </c>
      <c r="C20" s="48" t="s">
        <v>89</v>
      </c>
      <c r="D20" s="46">
        <v>1</v>
      </c>
      <c r="E20" s="46">
        <v>1</v>
      </c>
      <c r="F20" s="46">
        <v>1</v>
      </c>
      <c r="G20" s="46">
        <v>1</v>
      </c>
      <c r="H20" s="46">
        <v>1</v>
      </c>
      <c r="I20" s="46">
        <v>0</v>
      </c>
      <c r="J20" s="46">
        <v>0</v>
      </c>
      <c r="K20" s="46">
        <v>0</v>
      </c>
      <c r="L20" s="46">
        <v>0</v>
      </c>
      <c r="M20" s="46">
        <v>0</v>
      </c>
      <c r="N20" s="46">
        <v>0</v>
      </c>
      <c r="O20" s="46">
        <v>0</v>
      </c>
      <c r="P20" s="46">
        <v>0</v>
      </c>
      <c r="Q20" s="46">
        <v>0</v>
      </c>
      <c r="R20" s="46">
        <v>0</v>
      </c>
      <c r="S20" s="46">
        <v>0</v>
      </c>
      <c r="T20" s="46">
        <v>0</v>
      </c>
      <c r="U20" s="46">
        <v>0</v>
      </c>
      <c r="V20" s="46">
        <v>0</v>
      </c>
      <c r="W20" s="46">
        <v>0</v>
      </c>
      <c r="Z20" s="58" t="s">
        <v>104</v>
      </c>
      <c r="AA20" s="51">
        <f>SUM(AA11:AA18)</f>
        <v>41</v>
      </c>
      <c r="AB20" s="29">
        <f>SUM(AB11:AB18)</f>
        <v>1</v>
      </c>
    </row>
    <row r="21" spans="1:28" x14ac:dyDescent="0.3">
      <c r="A21" s="46" t="s">
        <v>40</v>
      </c>
      <c r="B21" s="60" t="s">
        <v>58</v>
      </c>
      <c r="C21" s="48"/>
      <c r="D21" s="46">
        <v>0</v>
      </c>
      <c r="E21" s="46">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row>
    <row r="22" spans="1:28" x14ac:dyDescent="0.3">
      <c r="A22" s="46" t="s">
        <v>73</v>
      </c>
      <c r="B22" s="47" t="s">
        <v>57</v>
      </c>
      <c r="C22" s="48"/>
      <c r="D22" s="46">
        <v>1</v>
      </c>
      <c r="E22" s="46">
        <v>1</v>
      </c>
      <c r="F22" s="46">
        <v>1</v>
      </c>
      <c r="G22" s="46">
        <v>1</v>
      </c>
      <c r="H22" s="46">
        <v>1</v>
      </c>
      <c r="I22" s="46">
        <v>0</v>
      </c>
      <c r="J22" s="46">
        <v>0</v>
      </c>
      <c r="K22" s="46">
        <v>0</v>
      </c>
      <c r="L22" s="46">
        <v>0</v>
      </c>
      <c r="M22" s="46">
        <v>0</v>
      </c>
      <c r="N22" s="46">
        <v>0</v>
      </c>
      <c r="O22" s="46">
        <v>0</v>
      </c>
      <c r="P22" s="46">
        <v>0</v>
      </c>
      <c r="Q22" s="46">
        <v>0</v>
      </c>
      <c r="R22" s="46">
        <v>0</v>
      </c>
      <c r="S22" s="46">
        <v>0</v>
      </c>
      <c r="T22" s="46">
        <v>0</v>
      </c>
      <c r="U22" s="46">
        <v>0</v>
      </c>
      <c r="V22" s="46">
        <v>0</v>
      </c>
      <c r="W22" s="46">
        <v>0</v>
      </c>
    </row>
    <row r="23" spans="1:28" x14ac:dyDescent="0.3">
      <c r="A23" s="46" t="s">
        <v>38</v>
      </c>
      <c r="B23" s="47" t="s">
        <v>57</v>
      </c>
      <c r="C23" s="48" t="s">
        <v>89</v>
      </c>
      <c r="D23" s="46">
        <v>1</v>
      </c>
      <c r="E23" s="46">
        <v>1</v>
      </c>
      <c r="F23" s="46">
        <v>1</v>
      </c>
      <c r="G23" s="46">
        <v>1</v>
      </c>
      <c r="H23" s="46">
        <v>0</v>
      </c>
      <c r="I23" s="46">
        <v>0</v>
      </c>
      <c r="J23" s="46">
        <v>0</v>
      </c>
      <c r="K23" s="46">
        <v>0</v>
      </c>
      <c r="L23" s="46">
        <v>0</v>
      </c>
      <c r="M23" s="46">
        <v>0</v>
      </c>
      <c r="N23" s="46">
        <v>0</v>
      </c>
      <c r="O23" s="46">
        <v>0</v>
      </c>
      <c r="P23" s="46">
        <v>0</v>
      </c>
      <c r="Q23" s="46">
        <v>0</v>
      </c>
      <c r="R23" s="46">
        <v>0</v>
      </c>
      <c r="S23" s="46">
        <v>0</v>
      </c>
      <c r="T23" s="46">
        <v>0</v>
      </c>
      <c r="U23" s="46">
        <v>0</v>
      </c>
      <c r="V23" s="46">
        <v>0</v>
      </c>
      <c r="W23" s="46">
        <v>0</v>
      </c>
    </row>
    <row r="24" spans="1:28" x14ac:dyDescent="0.3">
      <c r="A24" s="46" t="s">
        <v>39</v>
      </c>
      <c r="B24" s="54" t="s">
        <v>59</v>
      </c>
      <c r="C24" s="48" t="s">
        <v>89</v>
      </c>
      <c r="D24" s="46">
        <v>1</v>
      </c>
      <c r="E24" s="46">
        <v>1</v>
      </c>
      <c r="F24" s="46">
        <v>1</v>
      </c>
      <c r="G24" s="46">
        <v>1</v>
      </c>
      <c r="H24" s="46">
        <v>1</v>
      </c>
      <c r="I24" s="46">
        <v>1</v>
      </c>
      <c r="J24" s="46">
        <v>1</v>
      </c>
      <c r="K24" s="46">
        <v>1</v>
      </c>
      <c r="L24" s="46">
        <v>1</v>
      </c>
      <c r="M24" s="46">
        <v>1</v>
      </c>
      <c r="N24" s="46">
        <v>0</v>
      </c>
      <c r="O24" s="46">
        <v>0</v>
      </c>
      <c r="P24" s="46">
        <v>0</v>
      </c>
      <c r="Q24" s="46">
        <v>0</v>
      </c>
      <c r="R24" s="46">
        <v>0</v>
      </c>
      <c r="S24" s="46">
        <v>0</v>
      </c>
      <c r="T24" s="46">
        <v>0</v>
      </c>
      <c r="U24" s="46">
        <v>0</v>
      </c>
      <c r="V24" s="46">
        <v>0</v>
      </c>
      <c r="W24" s="46">
        <v>0</v>
      </c>
    </row>
    <row r="25" spans="1:28" x14ac:dyDescent="0.3">
      <c r="A25" s="46" t="s">
        <v>41</v>
      </c>
      <c r="B25" s="47" t="s">
        <v>60</v>
      </c>
      <c r="C25" s="48"/>
      <c r="D25" s="46">
        <v>1</v>
      </c>
      <c r="E25" s="46">
        <v>1</v>
      </c>
      <c r="F25" s="46">
        <v>1</v>
      </c>
      <c r="G25" s="46">
        <v>1</v>
      </c>
      <c r="H25" s="46">
        <v>0</v>
      </c>
      <c r="I25" s="46">
        <v>0</v>
      </c>
      <c r="J25" s="46">
        <v>0</v>
      </c>
      <c r="K25" s="46">
        <v>0</v>
      </c>
      <c r="L25" s="46">
        <v>0</v>
      </c>
      <c r="M25" s="46">
        <v>0</v>
      </c>
      <c r="N25" s="46">
        <v>0</v>
      </c>
      <c r="O25" s="46">
        <v>0</v>
      </c>
      <c r="P25" s="46">
        <v>0</v>
      </c>
      <c r="Q25" s="46">
        <v>0</v>
      </c>
      <c r="R25" s="46">
        <v>0</v>
      </c>
      <c r="S25" s="46">
        <v>0</v>
      </c>
      <c r="T25" s="46">
        <v>0</v>
      </c>
      <c r="U25" s="46">
        <v>0</v>
      </c>
      <c r="V25" s="46">
        <v>0</v>
      </c>
      <c r="W25" s="46">
        <v>0</v>
      </c>
    </row>
    <row r="26" spans="1:28" x14ac:dyDescent="0.3">
      <c r="A26" s="46" t="s">
        <v>74</v>
      </c>
      <c r="B26" s="47" t="s">
        <v>57</v>
      </c>
      <c r="C26" s="48"/>
      <c r="D26" s="46">
        <v>1</v>
      </c>
      <c r="E26" s="46">
        <v>0</v>
      </c>
      <c r="F26" s="46">
        <v>0</v>
      </c>
      <c r="G26" s="46">
        <v>0</v>
      </c>
      <c r="H26" s="46">
        <v>0</v>
      </c>
      <c r="I26" s="46">
        <v>0</v>
      </c>
      <c r="J26" s="46">
        <v>0</v>
      </c>
      <c r="K26" s="46">
        <v>0</v>
      </c>
      <c r="L26" s="46">
        <v>0</v>
      </c>
      <c r="M26" s="46">
        <v>0</v>
      </c>
      <c r="N26" s="46">
        <v>0</v>
      </c>
      <c r="O26" s="46">
        <v>0</v>
      </c>
      <c r="P26" s="46">
        <v>0</v>
      </c>
      <c r="Q26" s="46">
        <v>0</v>
      </c>
      <c r="R26" s="46">
        <v>0</v>
      </c>
      <c r="S26" s="46">
        <v>0</v>
      </c>
      <c r="T26" s="46">
        <v>0</v>
      </c>
      <c r="U26" s="46">
        <v>0</v>
      </c>
      <c r="V26" s="46">
        <v>0</v>
      </c>
      <c r="W26" s="46">
        <v>0</v>
      </c>
    </row>
    <row r="27" spans="1:28" x14ac:dyDescent="0.3">
      <c r="A27" s="46" t="s">
        <v>75</v>
      </c>
      <c r="B27" s="47" t="s">
        <v>57</v>
      </c>
      <c r="C27" s="48"/>
      <c r="D27" s="46">
        <v>1</v>
      </c>
      <c r="E27" s="46">
        <v>1</v>
      </c>
      <c r="F27" s="46">
        <v>1</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row>
    <row r="28" spans="1:28" x14ac:dyDescent="0.3">
      <c r="A28" s="46" t="s">
        <v>76</v>
      </c>
      <c r="B28" s="47" t="s">
        <v>57</v>
      </c>
      <c r="C28" s="48"/>
      <c r="D28" s="46">
        <v>1</v>
      </c>
      <c r="E28" s="46">
        <v>1</v>
      </c>
      <c r="F28" s="46">
        <v>1</v>
      </c>
      <c r="G28" s="46">
        <v>1</v>
      </c>
      <c r="H28" s="46">
        <v>1</v>
      </c>
      <c r="I28" s="46">
        <v>1</v>
      </c>
      <c r="J28" s="46">
        <v>0</v>
      </c>
      <c r="K28" s="46">
        <v>0</v>
      </c>
      <c r="L28" s="46">
        <v>0</v>
      </c>
      <c r="M28" s="46">
        <v>0</v>
      </c>
      <c r="N28" s="46">
        <v>0</v>
      </c>
      <c r="O28" s="46">
        <v>0</v>
      </c>
      <c r="P28" s="46">
        <v>0</v>
      </c>
      <c r="Q28" s="46">
        <v>0</v>
      </c>
      <c r="R28" s="46">
        <v>0</v>
      </c>
      <c r="S28" s="46">
        <v>0</v>
      </c>
      <c r="T28" s="46">
        <v>0</v>
      </c>
      <c r="U28" s="46">
        <v>0</v>
      </c>
      <c r="V28" s="46">
        <v>0</v>
      </c>
      <c r="W28" s="46">
        <v>0</v>
      </c>
    </row>
    <row r="29" spans="1:28" x14ac:dyDescent="0.3">
      <c r="A29" s="46" t="s">
        <v>42</v>
      </c>
      <c r="B29" s="54" t="s">
        <v>61</v>
      </c>
      <c r="C29" s="48"/>
      <c r="D29" s="46">
        <v>1</v>
      </c>
      <c r="E29" s="46">
        <v>1</v>
      </c>
      <c r="F29" s="46">
        <v>1</v>
      </c>
      <c r="G29" s="46">
        <v>1</v>
      </c>
      <c r="H29" s="46">
        <v>1</v>
      </c>
      <c r="I29" s="46">
        <v>1</v>
      </c>
      <c r="J29" s="46">
        <v>1</v>
      </c>
      <c r="K29" s="46">
        <v>1</v>
      </c>
      <c r="L29" s="46">
        <v>1</v>
      </c>
      <c r="M29" s="46">
        <v>1</v>
      </c>
      <c r="N29" s="46">
        <v>1</v>
      </c>
      <c r="O29" s="46">
        <v>1</v>
      </c>
      <c r="P29" s="46">
        <v>1</v>
      </c>
      <c r="Q29" s="46">
        <v>1</v>
      </c>
      <c r="R29" s="46">
        <v>1</v>
      </c>
      <c r="S29" s="46">
        <v>1</v>
      </c>
      <c r="T29" s="46">
        <v>1</v>
      </c>
      <c r="U29" s="46">
        <v>1</v>
      </c>
      <c r="V29" s="46">
        <v>1</v>
      </c>
      <c r="W29" s="46">
        <v>1</v>
      </c>
    </row>
    <row r="30" spans="1:28" x14ac:dyDescent="0.3">
      <c r="A30" s="46" t="s">
        <v>77</v>
      </c>
      <c r="B30" s="54" t="s">
        <v>58</v>
      </c>
      <c r="C30" s="48"/>
      <c r="D30" s="46">
        <v>1</v>
      </c>
      <c r="E30" s="46">
        <v>1</v>
      </c>
      <c r="F30" s="46">
        <v>1</v>
      </c>
      <c r="G30" s="46">
        <v>1</v>
      </c>
      <c r="H30" s="46">
        <v>1</v>
      </c>
      <c r="I30" s="46">
        <v>1</v>
      </c>
      <c r="J30" s="46">
        <v>1</v>
      </c>
      <c r="K30" s="46">
        <v>1</v>
      </c>
      <c r="L30" s="46">
        <v>1</v>
      </c>
      <c r="M30" s="46">
        <v>1</v>
      </c>
      <c r="N30" s="46">
        <v>1</v>
      </c>
      <c r="O30" s="46">
        <v>1</v>
      </c>
      <c r="P30" s="46">
        <v>1</v>
      </c>
      <c r="Q30" s="46">
        <v>1</v>
      </c>
      <c r="R30" s="46">
        <v>1</v>
      </c>
      <c r="S30" s="46">
        <v>1</v>
      </c>
      <c r="T30" s="46">
        <v>1</v>
      </c>
      <c r="U30" s="46">
        <v>1</v>
      </c>
      <c r="V30" s="46">
        <v>1</v>
      </c>
      <c r="W30" s="46">
        <v>1</v>
      </c>
    </row>
    <row r="31" spans="1:28" x14ac:dyDescent="0.3">
      <c r="A31" s="46" t="s">
        <v>87</v>
      </c>
      <c r="B31" s="47" t="s">
        <v>56</v>
      </c>
      <c r="C31" s="48" t="s">
        <v>89</v>
      </c>
      <c r="D31" s="46">
        <v>1</v>
      </c>
      <c r="E31" s="46">
        <v>1</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row>
    <row r="32" spans="1:28" x14ac:dyDescent="0.3">
      <c r="A32" s="46" t="s">
        <v>43</v>
      </c>
      <c r="B32" s="54" t="s">
        <v>61</v>
      </c>
      <c r="C32" s="48" t="s">
        <v>89</v>
      </c>
      <c r="D32" s="46">
        <v>1</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row>
    <row r="33" spans="1:23" x14ac:dyDescent="0.3">
      <c r="A33" s="46" t="s">
        <v>55</v>
      </c>
      <c r="B33" s="47" t="s">
        <v>57</v>
      </c>
      <c r="C33" s="48" t="s">
        <v>89</v>
      </c>
      <c r="D33" s="46">
        <v>1</v>
      </c>
      <c r="E33" s="46">
        <v>1</v>
      </c>
      <c r="F33" s="46">
        <v>1</v>
      </c>
      <c r="G33" s="46">
        <v>1</v>
      </c>
      <c r="H33" s="46">
        <v>0</v>
      </c>
      <c r="I33" s="46">
        <v>0</v>
      </c>
      <c r="J33" s="46">
        <v>0</v>
      </c>
      <c r="K33" s="46">
        <v>0</v>
      </c>
      <c r="L33" s="46">
        <v>0</v>
      </c>
      <c r="M33" s="46">
        <v>0</v>
      </c>
      <c r="N33" s="46">
        <v>0</v>
      </c>
      <c r="O33" s="46">
        <v>0</v>
      </c>
      <c r="P33" s="46">
        <v>0</v>
      </c>
      <c r="Q33" s="46">
        <v>0</v>
      </c>
      <c r="R33" s="46">
        <v>0</v>
      </c>
      <c r="S33" s="46">
        <v>0</v>
      </c>
      <c r="T33" s="46">
        <v>0</v>
      </c>
      <c r="U33" s="46">
        <v>0</v>
      </c>
      <c r="V33" s="46">
        <v>0</v>
      </c>
      <c r="W33" s="46">
        <v>0</v>
      </c>
    </row>
    <row r="34" spans="1:23" x14ac:dyDescent="0.3">
      <c r="A34" s="46" t="s">
        <v>44</v>
      </c>
      <c r="B34" s="46"/>
      <c r="C34" s="48"/>
      <c r="D34" s="46">
        <v>1</v>
      </c>
      <c r="E34" s="46">
        <v>0</v>
      </c>
      <c r="F34" s="46">
        <v>0</v>
      </c>
      <c r="G34" s="46">
        <v>0</v>
      </c>
      <c r="H34" s="46">
        <v>0</v>
      </c>
      <c r="I34" s="46">
        <v>0</v>
      </c>
      <c r="J34" s="46">
        <v>0</v>
      </c>
      <c r="K34" s="46">
        <v>0</v>
      </c>
      <c r="L34" s="46">
        <v>0</v>
      </c>
      <c r="M34" s="46">
        <v>0</v>
      </c>
      <c r="N34" s="46">
        <v>0</v>
      </c>
      <c r="O34" s="46">
        <v>0</v>
      </c>
      <c r="P34" s="46">
        <v>0</v>
      </c>
      <c r="Q34" s="46">
        <v>0</v>
      </c>
      <c r="R34" s="46">
        <v>0</v>
      </c>
      <c r="S34" s="46">
        <v>0</v>
      </c>
      <c r="T34" s="46">
        <v>0</v>
      </c>
      <c r="U34" s="46">
        <v>0</v>
      </c>
      <c r="V34" s="46">
        <v>0</v>
      </c>
      <c r="W34" s="46">
        <v>0</v>
      </c>
    </row>
    <row r="35" spans="1:23" x14ac:dyDescent="0.3">
      <c r="A35" s="46" t="s">
        <v>78</v>
      </c>
      <c r="B35" s="47" t="s">
        <v>57</v>
      </c>
      <c r="C35" s="48" t="s">
        <v>89</v>
      </c>
      <c r="D35" s="46">
        <v>1</v>
      </c>
      <c r="E35" s="46">
        <v>1</v>
      </c>
      <c r="F35" s="46">
        <v>1</v>
      </c>
      <c r="G35" s="46">
        <v>1</v>
      </c>
      <c r="H35" s="46">
        <v>1</v>
      </c>
      <c r="I35" s="46">
        <v>0</v>
      </c>
      <c r="J35" s="46">
        <v>0</v>
      </c>
      <c r="K35" s="46">
        <v>0</v>
      </c>
      <c r="L35" s="46">
        <v>0</v>
      </c>
      <c r="M35" s="46">
        <v>0</v>
      </c>
      <c r="N35" s="46">
        <v>0</v>
      </c>
      <c r="O35" s="46">
        <v>0</v>
      </c>
      <c r="P35" s="46">
        <v>0</v>
      </c>
      <c r="Q35" s="46">
        <v>0</v>
      </c>
      <c r="R35" s="46">
        <v>0</v>
      </c>
      <c r="S35" s="46">
        <v>0</v>
      </c>
      <c r="T35" s="46">
        <v>0</v>
      </c>
      <c r="U35" s="46">
        <v>0</v>
      </c>
      <c r="V35" s="46">
        <v>0</v>
      </c>
      <c r="W35" s="46">
        <v>0</v>
      </c>
    </row>
    <row r="36" spans="1:23" x14ac:dyDescent="0.3">
      <c r="A36" s="46" t="s">
        <v>45</v>
      </c>
      <c r="B36" s="47" t="s">
        <v>57</v>
      </c>
      <c r="C36" s="48"/>
      <c r="D36" s="46">
        <v>1</v>
      </c>
      <c r="E36" s="46">
        <v>1</v>
      </c>
      <c r="F36" s="46">
        <v>1</v>
      </c>
      <c r="G36" s="46">
        <v>0</v>
      </c>
      <c r="H36" s="46">
        <v>0</v>
      </c>
      <c r="I36" s="46">
        <v>0</v>
      </c>
      <c r="J36" s="46">
        <v>0</v>
      </c>
      <c r="K36" s="46">
        <v>0</v>
      </c>
      <c r="L36" s="46">
        <v>0</v>
      </c>
      <c r="M36" s="46">
        <v>0</v>
      </c>
      <c r="N36" s="46">
        <v>0</v>
      </c>
      <c r="O36" s="46">
        <v>0</v>
      </c>
      <c r="P36" s="46">
        <v>0</v>
      </c>
      <c r="Q36" s="46">
        <v>0</v>
      </c>
      <c r="R36" s="46">
        <v>0</v>
      </c>
      <c r="S36" s="46">
        <v>0</v>
      </c>
      <c r="T36" s="46">
        <v>0</v>
      </c>
      <c r="U36" s="46">
        <v>0</v>
      </c>
      <c r="V36" s="46">
        <v>0</v>
      </c>
      <c r="W36" s="46">
        <v>0</v>
      </c>
    </row>
    <row r="37" spans="1:23" x14ac:dyDescent="0.3">
      <c r="A37" s="46" t="s">
        <v>46</v>
      </c>
      <c r="B37" s="54" t="s">
        <v>59</v>
      </c>
      <c r="C37" s="48"/>
      <c r="D37" s="46">
        <v>1</v>
      </c>
      <c r="E37" s="46">
        <v>1</v>
      </c>
      <c r="F37" s="46">
        <v>1</v>
      </c>
      <c r="G37" s="46">
        <v>1</v>
      </c>
      <c r="H37" s="46">
        <v>1</v>
      </c>
      <c r="I37" s="46">
        <v>1</v>
      </c>
      <c r="J37" s="46">
        <v>1</v>
      </c>
      <c r="K37" s="46">
        <v>1</v>
      </c>
      <c r="L37" s="46">
        <v>1</v>
      </c>
      <c r="M37" s="46">
        <v>1</v>
      </c>
      <c r="N37" s="46">
        <v>1</v>
      </c>
      <c r="O37" s="46">
        <v>1</v>
      </c>
      <c r="P37" s="46">
        <v>1</v>
      </c>
      <c r="Q37" s="46">
        <v>1</v>
      </c>
      <c r="R37" s="46">
        <v>1</v>
      </c>
      <c r="S37" s="46">
        <v>1</v>
      </c>
      <c r="T37" s="46">
        <v>1</v>
      </c>
      <c r="U37" s="46">
        <v>1</v>
      </c>
      <c r="V37" s="46">
        <v>1</v>
      </c>
      <c r="W37" s="46">
        <v>1</v>
      </c>
    </row>
    <row r="38" spans="1:23" x14ac:dyDescent="0.3">
      <c r="A38" s="46" t="s">
        <v>47</v>
      </c>
      <c r="B38" s="55" t="s">
        <v>64</v>
      </c>
      <c r="C38" s="48"/>
      <c r="D38" s="46">
        <v>0</v>
      </c>
      <c r="E38" s="46">
        <v>0</v>
      </c>
      <c r="F38" s="46">
        <v>0</v>
      </c>
      <c r="G38" s="46">
        <v>0</v>
      </c>
      <c r="H38" s="46">
        <v>0</v>
      </c>
      <c r="I38" s="46">
        <v>0</v>
      </c>
      <c r="J38" s="46">
        <v>0</v>
      </c>
      <c r="K38" s="46">
        <v>0</v>
      </c>
      <c r="L38" s="46">
        <v>0</v>
      </c>
      <c r="M38" s="46">
        <v>0</v>
      </c>
      <c r="N38" s="46">
        <v>0</v>
      </c>
      <c r="O38" s="46">
        <v>0</v>
      </c>
      <c r="P38" s="46">
        <v>0</v>
      </c>
      <c r="Q38" s="46">
        <v>0</v>
      </c>
      <c r="R38" s="46">
        <v>0</v>
      </c>
      <c r="S38" s="46">
        <v>0</v>
      </c>
      <c r="T38" s="46">
        <v>0</v>
      </c>
      <c r="U38" s="46">
        <v>0</v>
      </c>
      <c r="V38" s="46">
        <v>0</v>
      </c>
      <c r="W38" s="46">
        <v>0</v>
      </c>
    </row>
    <row r="39" spans="1:23" x14ac:dyDescent="0.3">
      <c r="A39" s="46" t="s">
        <v>48</v>
      </c>
      <c r="B39" s="55" t="s">
        <v>64</v>
      </c>
      <c r="C39" s="48"/>
      <c r="D39" s="46">
        <v>0</v>
      </c>
      <c r="E39" s="46">
        <v>0</v>
      </c>
      <c r="F39" s="46">
        <v>0</v>
      </c>
      <c r="G39" s="46">
        <v>0</v>
      </c>
      <c r="H39" s="46">
        <v>0</v>
      </c>
      <c r="I39" s="46">
        <v>0</v>
      </c>
      <c r="J39" s="46">
        <v>0</v>
      </c>
      <c r="K39" s="46">
        <v>0</v>
      </c>
      <c r="L39" s="46">
        <v>0</v>
      </c>
      <c r="M39" s="46">
        <v>0</v>
      </c>
      <c r="N39" s="46">
        <v>0</v>
      </c>
      <c r="O39" s="46">
        <v>0</v>
      </c>
      <c r="P39" s="46">
        <v>0</v>
      </c>
      <c r="Q39" s="46">
        <v>0</v>
      </c>
      <c r="R39" s="46">
        <v>0</v>
      </c>
      <c r="S39" s="46">
        <v>0</v>
      </c>
      <c r="T39" s="46">
        <v>0</v>
      </c>
      <c r="U39" s="46">
        <v>0</v>
      </c>
      <c r="V39" s="46">
        <v>0</v>
      </c>
      <c r="W39" s="46">
        <v>0</v>
      </c>
    </row>
    <row r="40" spans="1:23" x14ac:dyDescent="0.3">
      <c r="A40" s="46" t="s">
        <v>49</v>
      </c>
      <c r="B40" s="47" t="s">
        <v>57</v>
      </c>
      <c r="C40" s="48" t="s">
        <v>89</v>
      </c>
      <c r="D40" s="46">
        <v>0</v>
      </c>
      <c r="E40" s="46">
        <v>0</v>
      </c>
      <c r="F40" s="46">
        <v>0</v>
      </c>
      <c r="G40" s="46">
        <v>0</v>
      </c>
      <c r="H40" s="46">
        <v>0</v>
      </c>
      <c r="I40" s="46">
        <v>0</v>
      </c>
      <c r="J40" s="46">
        <v>0</v>
      </c>
      <c r="K40" s="46">
        <v>0</v>
      </c>
      <c r="L40" s="46">
        <v>0</v>
      </c>
      <c r="M40" s="46">
        <v>0</v>
      </c>
      <c r="N40" s="46">
        <v>0</v>
      </c>
      <c r="O40" s="46">
        <v>0</v>
      </c>
      <c r="P40" s="46">
        <v>0</v>
      </c>
      <c r="Q40" s="46">
        <v>0</v>
      </c>
      <c r="R40" s="46">
        <v>0</v>
      </c>
      <c r="S40" s="46">
        <v>0</v>
      </c>
      <c r="T40" s="46">
        <v>0</v>
      </c>
      <c r="U40" s="46">
        <v>0</v>
      </c>
      <c r="V40" s="46">
        <v>0</v>
      </c>
      <c r="W40" s="46">
        <v>0</v>
      </c>
    </row>
    <row r="41" spans="1:23" x14ac:dyDescent="0.3">
      <c r="A41" s="46" t="s">
        <v>50</v>
      </c>
      <c r="B41" s="54" t="s">
        <v>61</v>
      </c>
      <c r="C41" s="48" t="s">
        <v>89</v>
      </c>
      <c r="D41" s="46">
        <v>1</v>
      </c>
      <c r="E41" s="46">
        <v>1</v>
      </c>
      <c r="F41" s="46">
        <v>1</v>
      </c>
      <c r="G41" s="46">
        <v>1</v>
      </c>
      <c r="H41" s="46">
        <v>1</v>
      </c>
      <c r="I41" s="46">
        <v>0</v>
      </c>
      <c r="J41" s="46">
        <v>0</v>
      </c>
      <c r="K41" s="46">
        <v>0</v>
      </c>
      <c r="L41" s="46">
        <v>0</v>
      </c>
      <c r="M41" s="46">
        <v>0</v>
      </c>
      <c r="N41" s="46">
        <v>0</v>
      </c>
      <c r="O41" s="46">
        <v>0</v>
      </c>
      <c r="P41" s="46">
        <v>0</v>
      </c>
      <c r="Q41" s="46">
        <v>0</v>
      </c>
      <c r="R41" s="46">
        <v>0</v>
      </c>
      <c r="S41" s="46">
        <v>0</v>
      </c>
      <c r="T41" s="46">
        <v>0</v>
      </c>
      <c r="U41" s="46">
        <v>0</v>
      </c>
      <c r="V41" s="46">
        <v>0</v>
      </c>
      <c r="W41" s="46">
        <v>0</v>
      </c>
    </row>
    <row r="42" spans="1:23" x14ac:dyDescent="0.3">
      <c r="A42" s="46" t="s">
        <v>79</v>
      </c>
      <c r="B42" s="54" t="s">
        <v>59</v>
      </c>
      <c r="C42" s="48"/>
      <c r="D42" s="46">
        <v>1</v>
      </c>
      <c r="E42" s="46">
        <v>1</v>
      </c>
      <c r="F42" s="46">
        <v>1</v>
      </c>
      <c r="G42" s="46">
        <v>1</v>
      </c>
      <c r="H42" s="46">
        <v>1</v>
      </c>
      <c r="I42" s="46">
        <v>1</v>
      </c>
      <c r="J42" s="46">
        <v>1</v>
      </c>
      <c r="K42" s="46">
        <v>1</v>
      </c>
      <c r="L42" s="46">
        <v>1</v>
      </c>
      <c r="M42" s="46">
        <v>1</v>
      </c>
      <c r="N42" s="46">
        <v>1</v>
      </c>
      <c r="O42" s="46">
        <v>1</v>
      </c>
      <c r="P42" s="46">
        <v>1</v>
      </c>
      <c r="Q42" s="46">
        <v>1</v>
      </c>
      <c r="R42" s="46">
        <v>1</v>
      </c>
      <c r="S42" s="46">
        <v>1</v>
      </c>
      <c r="T42" s="46">
        <v>1</v>
      </c>
      <c r="U42" s="46">
        <v>1</v>
      </c>
      <c r="V42" s="46">
        <v>1</v>
      </c>
      <c r="W42" s="46">
        <v>1</v>
      </c>
    </row>
    <row r="43" spans="1:23" x14ac:dyDescent="0.3">
      <c r="A43" s="46" t="s">
        <v>80</v>
      </c>
      <c r="B43" s="47" t="s">
        <v>62</v>
      </c>
      <c r="C43" s="48"/>
      <c r="D43" s="46">
        <v>1</v>
      </c>
      <c r="E43" s="46">
        <v>1</v>
      </c>
      <c r="F43" s="46">
        <v>0</v>
      </c>
      <c r="G43" s="46">
        <v>0</v>
      </c>
      <c r="H43" s="46">
        <v>0</v>
      </c>
      <c r="I43" s="46">
        <v>0</v>
      </c>
      <c r="J43" s="46">
        <v>0</v>
      </c>
      <c r="K43" s="46">
        <v>0</v>
      </c>
      <c r="L43" s="46">
        <v>0</v>
      </c>
      <c r="M43" s="46">
        <v>0</v>
      </c>
      <c r="N43" s="46">
        <v>0</v>
      </c>
      <c r="O43" s="46">
        <v>0</v>
      </c>
      <c r="P43" s="46">
        <v>0</v>
      </c>
      <c r="Q43" s="46">
        <v>0</v>
      </c>
      <c r="R43" s="46">
        <v>0</v>
      </c>
      <c r="S43" s="46">
        <v>0</v>
      </c>
      <c r="T43" s="46">
        <v>0</v>
      </c>
      <c r="U43" s="46">
        <v>0</v>
      </c>
      <c r="V43" s="46">
        <v>0</v>
      </c>
      <c r="W43" s="46">
        <v>0</v>
      </c>
    </row>
    <row r="44" spans="1:23" x14ac:dyDescent="0.3">
      <c r="A44" s="46" t="s">
        <v>81</v>
      </c>
      <c r="B44" s="47" t="s">
        <v>57</v>
      </c>
      <c r="C44" s="48" t="s">
        <v>89</v>
      </c>
      <c r="D44" s="46">
        <v>1</v>
      </c>
      <c r="E44" s="46">
        <v>1</v>
      </c>
      <c r="F44" s="46">
        <v>1</v>
      </c>
      <c r="G44" s="46">
        <v>1</v>
      </c>
      <c r="H44" s="46">
        <v>1</v>
      </c>
      <c r="I44" s="46">
        <v>1</v>
      </c>
      <c r="J44" s="46">
        <v>1</v>
      </c>
      <c r="K44" s="46">
        <v>0</v>
      </c>
      <c r="L44" s="46">
        <v>0</v>
      </c>
      <c r="M44" s="46">
        <v>0</v>
      </c>
      <c r="N44" s="46">
        <v>0</v>
      </c>
      <c r="O44" s="46">
        <v>0</v>
      </c>
      <c r="P44" s="46">
        <v>0</v>
      </c>
      <c r="Q44" s="46">
        <v>0</v>
      </c>
      <c r="R44" s="46">
        <v>0</v>
      </c>
      <c r="S44" s="46">
        <v>0</v>
      </c>
      <c r="T44" s="46">
        <v>0</v>
      </c>
      <c r="U44" s="46">
        <v>0</v>
      </c>
      <c r="V44" s="46">
        <v>0</v>
      </c>
      <c r="W44" s="46">
        <v>0</v>
      </c>
    </row>
    <row r="45" spans="1:23" x14ac:dyDescent="0.3">
      <c r="A45" s="46" t="s">
        <v>51</v>
      </c>
      <c r="B45" s="47" t="s">
        <v>56</v>
      </c>
      <c r="C45" s="48"/>
      <c r="D45" s="46">
        <v>1</v>
      </c>
      <c r="E45" s="46">
        <v>1</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row>
    <row r="46" spans="1:23" x14ac:dyDescent="0.3">
      <c r="A46" s="46" t="s">
        <v>52</v>
      </c>
      <c r="B46" s="47" t="s">
        <v>56</v>
      </c>
      <c r="C46" s="48"/>
      <c r="D46" s="46">
        <v>1</v>
      </c>
      <c r="E46" s="46">
        <v>1</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row>
    <row r="47" spans="1:23" x14ac:dyDescent="0.3">
      <c r="A47" s="46" t="s">
        <v>53</v>
      </c>
      <c r="B47" s="47" t="s">
        <v>56</v>
      </c>
      <c r="C47" s="48"/>
      <c r="D47" s="46">
        <v>1</v>
      </c>
      <c r="E47" s="46">
        <v>1</v>
      </c>
      <c r="F47" s="46">
        <v>0</v>
      </c>
      <c r="G47" s="46">
        <v>0</v>
      </c>
      <c r="H47" s="46">
        <v>0</v>
      </c>
      <c r="I47" s="46">
        <v>0</v>
      </c>
      <c r="J47" s="46">
        <v>0</v>
      </c>
      <c r="K47" s="46">
        <v>0</v>
      </c>
      <c r="L47" s="46">
        <v>0</v>
      </c>
      <c r="M47" s="46">
        <v>0</v>
      </c>
      <c r="N47" s="46">
        <v>0</v>
      </c>
      <c r="O47" s="46">
        <v>0</v>
      </c>
      <c r="P47" s="46">
        <v>0</v>
      </c>
      <c r="Q47" s="46">
        <v>0</v>
      </c>
      <c r="R47" s="46">
        <v>0</v>
      </c>
      <c r="S47" s="46">
        <v>0</v>
      </c>
      <c r="T47" s="46">
        <v>0</v>
      </c>
      <c r="U47" s="46">
        <v>0</v>
      </c>
      <c r="V47" s="46">
        <v>0</v>
      </c>
      <c r="W47" s="46">
        <v>0</v>
      </c>
    </row>
    <row r="48" spans="1:23" x14ac:dyDescent="0.3">
      <c r="A48" s="46" t="s">
        <v>54</v>
      </c>
      <c r="B48" s="47" t="s">
        <v>57</v>
      </c>
      <c r="C48" s="48"/>
      <c r="D48" s="46">
        <v>1</v>
      </c>
      <c r="E48" s="46">
        <v>0</v>
      </c>
      <c r="F48" s="46">
        <v>0</v>
      </c>
      <c r="G48" s="46">
        <v>0</v>
      </c>
      <c r="H48" s="46">
        <v>0</v>
      </c>
      <c r="I48" s="46">
        <v>0</v>
      </c>
      <c r="J48" s="46">
        <v>0</v>
      </c>
      <c r="K48" s="46">
        <v>0</v>
      </c>
      <c r="L48" s="46">
        <v>0</v>
      </c>
      <c r="M48" s="46">
        <v>0</v>
      </c>
      <c r="N48" s="46">
        <v>0</v>
      </c>
      <c r="O48" s="46">
        <v>0</v>
      </c>
      <c r="P48" s="46">
        <v>0</v>
      </c>
      <c r="Q48" s="46">
        <v>0</v>
      </c>
      <c r="R48" s="46">
        <v>0</v>
      </c>
      <c r="S48" s="46">
        <v>0</v>
      </c>
      <c r="T48" s="46">
        <v>0</v>
      </c>
      <c r="U48" s="46">
        <v>0</v>
      </c>
      <c r="V48" s="46">
        <v>0</v>
      </c>
      <c r="W48" s="46">
        <v>0</v>
      </c>
    </row>
    <row r="49" spans="1:2" x14ac:dyDescent="0.3">
      <c r="A49" s="108"/>
      <c r="B49" s="108"/>
    </row>
    <row r="50" spans="1:2" x14ac:dyDescent="0.3">
      <c r="A50" s="109" t="s">
        <v>152</v>
      </c>
      <c r="B50" s="108"/>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0529-8F5E-41C4-887E-3BCA723618E8}">
  <sheetPr codeName="Sheet19">
    <tabColor rgb="FF92D050"/>
  </sheetPr>
  <dimension ref="A1:W50"/>
  <sheetViews>
    <sheetView zoomScaleNormal="100" workbookViewId="0">
      <selection activeCell="I27" sqref="I27"/>
    </sheetView>
  </sheetViews>
  <sheetFormatPr defaultRowHeight="14.4" x14ac:dyDescent="0.3"/>
  <cols>
    <col min="1" max="1" width="12.6640625" style="49" customWidth="1"/>
    <col min="2" max="2" width="51.88671875" style="49" bestFit="1" customWidth="1"/>
    <col min="3" max="3" width="11.44140625" style="49" bestFit="1" customWidth="1"/>
    <col min="4" max="5" width="51.88671875" style="73" bestFit="1" customWidth="1"/>
    <col min="6" max="7" width="49.88671875" style="73" bestFit="1" customWidth="1"/>
    <col min="8" max="23" width="40" style="73" bestFit="1" customWidth="1"/>
    <col min="24" max="16384" width="8.88671875" style="49"/>
  </cols>
  <sheetData>
    <row r="1" spans="1:23" s="12" customFormat="1" ht="13.8" x14ac:dyDescent="0.25">
      <c r="A1" s="44" t="s">
        <v>32</v>
      </c>
      <c r="B1" s="44" t="s">
        <v>148</v>
      </c>
      <c r="C1" s="45" t="s">
        <v>88</v>
      </c>
      <c r="D1" s="106">
        <v>2021</v>
      </c>
      <c r="E1" s="45">
        <v>2022</v>
      </c>
      <c r="F1" s="106">
        <v>2023</v>
      </c>
      <c r="G1" s="45">
        <v>2024</v>
      </c>
      <c r="H1" s="106">
        <v>2025</v>
      </c>
      <c r="I1" s="45">
        <v>2026</v>
      </c>
      <c r="J1" s="106">
        <v>2027</v>
      </c>
      <c r="K1" s="45">
        <v>2028</v>
      </c>
      <c r="L1" s="106">
        <v>2029</v>
      </c>
      <c r="M1" s="45">
        <v>2030</v>
      </c>
      <c r="N1" s="106">
        <v>2031</v>
      </c>
      <c r="O1" s="45">
        <v>2032</v>
      </c>
      <c r="P1" s="106">
        <v>2033</v>
      </c>
      <c r="Q1" s="45">
        <v>2034</v>
      </c>
      <c r="R1" s="106">
        <v>2035</v>
      </c>
      <c r="S1" s="45">
        <v>2036</v>
      </c>
      <c r="T1" s="106">
        <v>2037</v>
      </c>
      <c r="U1" s="45">
        <v>2038</v>
      </c>
      <c r="V1" s="106">
        <v>2039</v>
      </c>
      <c r="W1" s="45">
        <v>2040</v>
      </c>
    </row>
    <row r="2" spans="1:23" x14ac:dyDescent="0.3">
      <c r="A2" s="46" t="s">
        <v>63</v>
      </c>
      <c r="B2" s="47" t="s">
        <v>57</v>
      </c>
      <c r="C2" s="48"/>
      <c r="D2" s="107" t="str">
        <f>IF(DTE_Lifespans_existing!D2=1,Use_case_lifespans!$B2,0)</f>
        <v>Near Earth Robotic - LEO Science</v>
      </c>
      <c r="E2" s="107" t="str">
        <f>IF(DTE_Lifespans_existing!E2=1,Use_case_lifespans!$B2,0)</f>
        <v>Near Earth Robotic - LEO Science</v>
      </c>
      <c r="F2" s="107">
        <f>IF(DTE_Lifespans_existing!F2=1,Use_case_lifespans!$B2,0)</f>
        <v>0</v>
      </c>
      <c r="G2" s="107">
        <f>IF(DTE_Lifespans_existing!G2=1,Use_case_lifespans!$B2,0)</f>
        <v>0</v>
      </c>
      <c r="H2" s="107">
        <f>IF(DTE_Lifespans_existing!H2=1,Use_case_lifespans!$B2,0)</f>
        <v>0</v>
      </c>
      <c r="I2" s="107">
        <f>IF(DTE_Lifespans_existing!I2=1,Use_case_lifespans!$B2,0)</f>
        <v>0</v>
      </c>
      <c r="J2" s="107">
        <f>IF(DTE_Lifespans_existing!J2=1,Use_case_lifespans!$B2,0)</f>
        <v>0</v>
      </c>
      <c r="K2" s="107">
        <f>IF(DTE_Lifespans_existing!K2=1,Use_case_lifespans!$B2,0)</f>
        <v>0</v>
      </c>
      <c r="L2" s="107">
        <f>IF(DTE_Lifespans_existing!L2=1,Use_case_lifespans!$B2,0)</f>
        <v>0</v>
      </c>
      <c r="M2" s="107">
        <f>IF(DTE_Lifespans_existing!M2=1,Use_case_lifespans!$B2,0)</f>
        <v>0</v>
      </c>
      <c r="N2" s="107">
        <f>IF(DTE_Lifespans_existing!N2=1,Use_case_lifespans!$B2,0)</f>
        <v>0</v>
      </c>
      <c r="O2" s="107">
        <f>IF(DTE_Lifespans_existing!O2=1,Use_case_lifespans!$B2,0)</f>
        <v>0</v>
      </c>
      <c r="P2" s="107">
        <f>IF(DTE_Lifespans_existing!P2=1,Use_case_lifespans!$B2,0)</f>
        <v>0</v>
      </c>
      <c r="Q2" s="107">
        <f>IF(DTE_Lifespans_existing!Q2=1,Use_case_lifespans!$B2,0)</f>
        <v>0</v>
      </c>
      <c r="R2" s="107">
        <f>IF(DTE_Lifespans_existing!R2=1,Use_case_lifespans!$B2,0)</f>
        <v>0</v>
      </c>
      <c r="S2" s="107">
        <f>IF(DTE_Lifespans_existing!S2=1,Use_case_lifespans!$B2,0)</f>
        <v>0</v>
      </c>
      <c r="T2" s="107">
        <f>IF(DTE_Lifespans_existing!T2=1,Use_case_lifespans!$B2,0)</f>
        <v>0</v>
      </c>
      <c r="U2" s="107">
        <f>IF(DTE_Lifespans_existing!U2=1,Use_case_lifespans!$B2,0)</f>
        <v>0</v>
      </c>
      <c r="V2" s="107">
        <f>IF(DTE_Lifespans_existing!V2=1,Use_case_lifespans!$B2,0)</f>
        <v>0</v>
      </c>
      <c r="W2" s="107">
        <f>IF(DTE_Lifespans_existing!W2=1,Use_case_lifespans!$B2,0)</f>
        <v>0</v>
      </c>
    </row>
    <row r="3" spans="1:23" x14ac:dyDescent="0.3">
      <c r="A3" s="46" t="s">
        <v>33</v>
      </c>
      <c r="B3" s="47" t="s">
        <v>57</v>
      </c>
      <c r="C3" s="48" t="s">
        <v>89</v>
      </c>
      <c r="D3" s="107" t="str">
        <f>IF(DTE_Lifespans_existing!D3=1,Use_case_lifespans!$B3,0)</f>
        <v>Near Earth Robotic - LEO Science</v>
      </c>
      <c r="E3" s="107" t="str">
        <f>IF(DTE_Lifespans_existing!E3=1,Use_case_lifespans!$B3,0)</f>
        <v>Near Earth Robotic - LEO Science</v>
      </c>
      <c r="F3" s="107" t="str">
        <f>IF(DTE_Lifespans_existing!F3=1,Use_case_lifespans!$B3,0)</f>
        <v>Near Earth Robotic - LEO Science</v>
      </c>
      <c r="G3" s="107" t="str">
        <f>IF(DTE_Lifespans_existing!G3=1,Use_case_lifespans!$B3,0)</f>
        <v>Near Earth Robotic - LEO Science</v>
      </c>
      <c r="H3" s="107">
        <f>IF(DTE_Lifespans_existing!H3=1,Use_case_lifespans!$B3,0)</f>
        <v>0</v>
      </c>
      <c r="I3" s="107">
        <f>IF(DTE_Lifespans_existing!I3=1,Use_case_lifespans!$B3,0)</f>
        <v>0</v>
      </c>
      <c r="J3" s="107">
        <f>IF(DTE_Lifespans_existing!J3=1,Use_case_lifespans!$B3,0)</f>
        <v>0</v>
      </c>
      <c r="K3" s="107">
        <f>IF(DTE_Lifespans_existing!K3=1,Use_case_lifespans!$B3,0)</f>
        <v>0</v>
      </c>
      <c r="L3" s="107">
        <f>IF(DTE_Lifespans_existing!L3=1,Use_case_lifespans!$B3,0)</f>
        <v>0</v>
      </c>
      <c r="M3" s="107">
        <f>IF(DTE_Lifespans_existing!M3=1,Use_case_lifespans!$B3,0)</f>
        <v>0</v>
      </c>
      <c r="N3" s="107">
        <f>IF(DTE_Lifespans_existing!N3=1,Use_case_lifespans!$B3,0)</f>
        <v>0</v>
      </c>
      <c r="O3" s="107">
        <f>IF(DTE_Lifespans_existing!O3=1,Use_case_lifespans!$B3,0)</f>
        <v>0</v>
      </c>
      <c r="P3" s="107">
        <f>IF(DTE_Lifespans_existing!P3=1,Use_case_lifespans!$B3,0)</f>
        <v>0</v>
      </c>
      <c r="Q3" s="107">
        <f>IF(DTE_Lifespans_existing!Q3=1,Use_case_lifespans!$B3,0)</f>
        <v>0</v>
      </c>
      <c r="R3" s="107">
        <f>IF(DTE_Lifespans_existing!R3=1,Use_case_lifespans!$B3,0)</f>
        <v>0</v>
      </c>
      <c r="S3" s="107">
        <f>IF(DTE_Lifespans_existing!S3=1,Use_case_lifespans!$B3,0)</f>
        <v>0</v>
      </c>
      <c r="T3" s="107">
        <f>IF(DTE_Lifespans_existing!T3=1,Use_case_lifespans!$B3,0)</f>
        <v>0</v>
      </c>
      <c r="U3" s="107">
        <f>IF(DTE_Lifespans_existing!U3=1,Use_case_lifespans!$B3,0)</f>
        <v>0</v>
      </c>
      <c r="V3" s="107">
        <f>IF(DTE_Lifespans_existing!V3=1,Use_case_lifespans!$B3,0)</f>
        <v>0</v>
      </c>
      <c r="W3" s="107">
        <f>IF(DTE_Lifespans_existing!W3=1,Use_case_lifespans!$B3,0)</f>
        <v>0</v>
      </c>
    </row>
    <row r="4" spans="1:23" x14ac:dyDescent="0.3">
      <c r="A4" s="46" t="s">
        <v>65</v>
      </c>
      <c r="B4" s="47" t="s">
        <v>57</v>
      </c>
      <c r="C4" s="48" t="s">
        <v>89</v>
      </c>
      <c r="D4" s="107" t="str">
        <f>IF(DTE_Lifespans_existing!D4=1,Use_case_lifespans!$B4,0)</f>
        <v>Near Earth Robotic - LEO Science</v>
      </c>
      <c r="E4" s="107" t="str">
        <f>IF(DTE_Lifespans_existing!E4=1,Use_case_lifespans!$B4,0)</f>
        <v>Near Earth Robotic - LEO Science</v>
      </c>
      <c r="F4" s="107" t="str">
        <f>IF(DTE_Lifespans_existing!F4=1,Use_case_lifespans!$B4,0)</f>
        <v>Near Earth Robotic - LEO Science</v>
      </c>
      <c r="G4" s="107" t="str">
        <f>IF(DTE_Lifespans_existing!G4=1,Use_case_lifespans!$B4,0)</f>
        <v>Near Earth Robotic - LEO Science</v>
      </c>
      <c r="H4" s="107" t="str">
        <f>IF(DTE_Lifespans_existing!H4=1,Use_case_lifespans!$B4,0)</f>
        <v>Near Earth Robotic - LEO Science</v>
      </c>
      <c r="I4" s="107" t="str">
        <f>IF(DTE_Lifespans_existing!I4=1,Use_case_lifespans!$B4,0)</f>
        <v>Near Earth Robotic - LEO Science</v>
      </c>
      <c r="J4" s="107">
        <f>IF(DTE_Lifespans_existing!J4=1,Use_case_lifespans!$B4,0)</f>
        <v>0</v>
      </c>
      <c r="K4" s="107">
        <f>IF(DTE_Lifespans_existing!K4=1,Use_case_lifespans!$B4,0)</f>
        <v>0</v>
      </c>
      <c r="L4" s="107">
        <f>IF(DTE_Lifespans_existing!L4=1,Use_case_lifespans!$B4,0)</f>
        <v>0</v>
      </c>
      <c r="M4" s="107">
        <f>IF(DTE_Lifespans_existing!M4=1,Use_case_lifespans!$B4,0)</f>
        <v>0</v>
      </c>
      <c r="N4" s="107">
        <f>IF(DTE_Lifespans_existing!N4=1,Use_case_lifespans!$B4,0)</f>
        <v>0</v>
      </c>
      <c r="O4" s="107">
        <f>IF(DTE_Lifespans_existing!O4=1,Use_case_lifespans!$B4,0)</f>
        <v>0</v>
      </c>
      <c r="P4" s="107">
        <f>IF(DTE_Lifespans_existing!P4=1,Use_case_lifespans!$B4,0)</f>
        <v>0</v>
      </c>
      <c r="Q4" s="107">
        <f>IF(DTE_Lifespans_existing!Q4=1,Use_case_lifespans!$B4,0)</f>
        <v>0</v>
      </c>
      <c r="R4" s="107">
        <f>IF(DTE_Lifespans_existing!R4=1,Use_case_lifespans!$B4,0)</f>
        <v>0</v>
      </c>
      <c r="S4" s="107">
        <f>IF(DTE_Lifespans_existing!S4=1,Use_case_lifespans!$B4,0)</f>
        <v>0</v>
      </c>
      <c r="T4" s="107">
        <f>IF(DTE_Lifespans_existing!T4=1,Use_case_lifespans!$B4,0)</f>
        <v>0</v>
      </c>
      <c r="U4" s="107">
        <f>IF(DTE_Lifespans_existing!U4=1,Use_case_lifespans!$B4,0)</f>
        <v>0</v>
      </c>
      <c r="V4" s="107">
        <f>IF(DTE_Lifespans_existing!V4=1,Use_case_lifespans!$B4,0)</f>
        <v>0</v>
      </c>
      <c r="W4" s="107">
        <f>IF(DTE_Lifespans_existing!W4=1,Use_case_lifespans!$B4,0)</f>
        <v>0</v>
      </c>
    </row>
    <row r="5" spans="1:23" x14ac:dyDescent="0.3">
      <c r="A5" s="46" t="s">
        <v>66</v>
      </c>
      <c r="B5" s="53" t="s">
        <v>59</v>
      </c>
      <c r="C5" s="48"/>
      <c r="D5" s="107" t="str">
        <f>IF(DTE_Lifespans_existing!D5=1,Use_case_lifespans!$B5,0)</f>
        <v>Human Space Flight</v>
      </c>
      <c r="E5" s="107" t="str">
        <f>IF(DTE_Lifespans_existing!E5=1,Use_case_lifespans!$B5,0)</f>
        <v>Human Space Flight</v>
      </c>
      <c r="F5" s="107" t="str">
        <f>IF(DTE_Lifespans_existing!F5=1,Use_case_lifespans!$B5,0)</f>
        <v>Human Space Flight</v>
      </c>
      <c r="G5" s="107" t="str">
        <f>IF(DTE_Lifespans_existing!G5=1,Use_case_lifespans!$B5,0)</f>
        <v>Human Space Flight</v>
      </c>
      <c r="H5" s="107" t="str">
        <f>IF(DTE_Lifespans_existing!H5=1,Use_case_lifespans!$B5,0)</f>
        <v>Human Space Flight</v>
      </c>
      <c r="I5" s="107" t="str">
        <f>IF(DTE_Lifespans_existing!I5=1,Use_case_lifespans!$B5,0)</f>
        <v>Human Space Flight</v>
      </c>
      <c r="J5" s="107" t="str">
        <f>IF(DTE_Lifespans_existing!J5=1,Use_case_lifespans!$B5,0)</f>
        <v>Human Space Flight</v>
      </c>
      <c r="K5" s="107" t="str">
        <f>IF(DTE_Lifespans_existing!K5=1,Use_case_lifespans!$B5,0)</f>
        <v>Human Space Flight</v>
      </c>
      <c r="L5" s="107" t="str">
        <f>IF(DTE_Lifespans_existing!L5=1,Use_case_lifespans!$B5,0)</f>
        <v>Human Space Flight</v>
      </c>
      <c r="M5" s="107" t="str">
        <f>IF(DTE_Lifespans_existing!M5=1,Use_case_lifespans!$B5,0)</f>
        <v>Human Space Flight</v>
      </c>
      <c r="N5" s="107" t="str">
        <f>IF(DTE_Lifespans_existing!N5=1,Use_case_lifespans!$B5,0)</f>
        <v>Human Space Flight</v>
      </c>
      <c r="O5" s="107" t="str">
        <f>IF(DTE_Lifespans_existing!O5=1,Use_case_lifespans!$B5,0)</f>
        <v>Human Space Flight</v>
      </c>
      <c r="P5" s="107" t="str">
        <f>IF(DTE_Lifespans_existing!P5=1,Use_case_lifespans!$B5,0)</f>
        <v>Human Space Flight</v>
      </c>
      <c r="Q5" s="107" t="str">
        <f>IF(DTE_Lifespans_existing!Q5=1,Use_case_lifespans!$B5,0)</f>
        <v>Human Space Flight</v>
      </c>
      <c r="R5" s="107" t="str">
        <f>IF(DTE_Lifespans_existing!R5=1,Use_case_lifespans!$B5,0)</f>
        <v>Human Space Flight</v>
      </c>
      <c r="S5" s="107" t="str">
        <f>IF(DTE_Lifespans_existing!S5=1,Use_case_lifespans!$B5,0)</f>
        <v>Human Space Flight</v>
      </c>
      <c r="T5" s="107" t="str">
        <f>IF(DTE_Lifespans_existing!T5=1,Use_case_lifespans!$B5,0)</f>
        <v>Human Space Flight</v>
      </c>
      <c r="U5" s="107" t="str">
        <f>IF(DTE_Lifespans_existing!U5=1,Use_case_lifespans!$B5,0)</f>
        <v>Human Space Flight</v>
      </c>
      <c r="V5" s="107" t="str">
        <f>IF(DTE_Lifespans_existing!V5=1,Use_case_lifespans!$B5,0)</f>
        <v>Human Space Flight</v>
      </c>
      <c r="W5" s="107" t="str">
        <f>IF(DTE_Lifespans_existing!W5=1,Use_case_lifespans!$B5,0)</f>
        <v>Human Space Flight</v>
      </c>
    </row>
    <row r="6" spans="1:23" x14ac:dyDescent="0.3">
      <c r="A6" s="46" t="s">
        <v>67</v>
      </c>
      <c r="B6" s="54" t="s">
        <v>58</v>
      </c>
      <c r="C6" s="48" t="s">
        <v>89</v>
      </c>
      <c r="D6" s="107" t="str">
        <f>IF(DTE_Lifespans_existing!D6=1,Use_case_lifespans!$B6,0)</f>
        <v>Launch Events</v>
      </c>
      <c r="E6" s="107" t="str">
        <f>IF(DTE_Lifespans_existing!E6=1,Use_case_lifespans!$B6,0)</f>
        <v>Launch Events</v>
      </c>
      <c r="F6" s="107" t="str">
        <f>IF(DTE_Lifespans_existing!F6=1,Use_case_lifespans!$B6,0)</f>
        <v>Launch Events</v>
      </c>
      <c r="G6" s="107" t="str">
        <f>IF(DTE_Lifespans_existing!G6=1,Use_case_lifespans!$B6,0)</f>
        <v>Launch Events</v>
      </c>
      <c r="H6" s="107">
        <f>IF(DTE_Lifespans_existing!H6=1,Use_case_lifespans!$B6,0)</f>
        <v>0</v>
      </c>
      <c r="I6" s="107">
        <f>IF(DTE_Lifespans_existing!I6=1,Use_case_lifespans!$B6,0)</f>
        <v>0</v>
      </c>
      <c r="J6" s="107">
        <f>IF(DTE_Lifespans_existing!J6=1,Use_case_lifespans!$B6,0)</f>
        <v>0</v>
      </c>
      <c r="K6" s="107">
        <f>IF(DTE_Lifespans_existing!K6=1,Use_case_lifespans!$B6,0)</f>
        <v>0</v>
      </c>
      <c r="L6" s="107">
        <f>IF(DTE_Lifespans_existing!L6=1,Use_case_lifespans!$B6,0)</f>
        <v>0</v>
      </c>
      <c r="M6" s="107">
        <f>IF(DTE_Lifespans_existing!M6=1,Use_case_lifespans!$B6,0)</f>
        <v>0</v>
      </c>
      <c r="N6" s="107">
        <f>IF(DTE_Lifespans_existing!N6=1,Use_case_lifespans!$B6,0)</f>
        <v>0</v>
      </c>
      <c r="O6" s="107">
        <f>IF(DTE_Lifespans_existing!O6=1,Use_case_lifespans!$B6,0)</f>
        <v>0</v>
      </c>
      <c r="P6" s="107">
        <f>IF(DTE_Lifespans_existing!P6=1,Use_case_lifespans!$B6,0)</f>
        <v>0</v>
      </c>
      <c r="Q6" s="107">
        <f>IF(DTE_Lifespans_existing!Q6=1,Use_case_lifespans!$B6,0)</f>
        <v>0</v>
      </c>
      <c r="R6" s="107">
        <f>IF(DTE_Lifespans_existing!R6=1,Use_case_lifespans!$B6,0)</f>
        <v>0</v>
      </c>
      <c r="S6" s="107">
        <f>IF(DTE_Lifespans_existing!S6=1,Use_case_lifespans!$B6,0)</f>
        <v>0</v>
      </c>
      <c r="T6" s="107">
        <f>IF(DTE_Lifespans_existing!T6=1,Use_case_lifespans!$B6,0)</f>
        <v>0</v>
      </c>
      <c r="U6" s="107">
        <f>IF(DTE_Lifespans_existing!U6=1,Use_case_lifespans!$B6,0)</f>
        <v>0</v>
      </c>
      <c r="V6" s="107">
        <f>IF(DTE_Lifespans_existing!V6=1,Use_case_lifespans!$B6,0)</f>
        <v>0</v>
      </c>
      <c r="W6" s="107">
        <f>IF(DTE_Lifespans_existing!W6=1,Use_case_lifespans!$B6,0)</f>
        <v>0</v>
      </c>
    </row>
    <row r="7" spans="1:23" x14ac:dyDescent="0.3">
      <c r="A7" s="46" t="s">
        <v>68</v>
      </c>
      <c r="B7" s="47" t="s">
        <v>57</v>
      </c>
      <c r="C7" s="48" t="s">
        <v>89</v>
      </c>
      <c r="D7" s="107" t="str">
        <f>IF(DTE_Lifespans_existing!D7=1,Use_case_lifespans!$B7,0)</f>
        <v>Near Earth Robotic - LEO Science</v>
      </c>
      <c r="E7" s="107" t="str">
        <f>IF(DTE_Lifespans_existing!E7=1,Use_case_lifespans!$B7,0)</f>
        <v>Near Earth Robotic - LEO Science</v>
      </c>
      <c r="F7" s="107" t="str">
        <f>IF(DTE_Lifespans_existing!F7=1,Use_case_lifespans!$B7,0)</f>
        <v>Near Earth Robotic - LEO Science</v>
      </c>
      <c r="G7" s="107" t="str">
        <f>IF(DTE_Lifespans_existing!G7=1,Use_case_lifespans!$B7,0)</f>
        <v>Near Earth Robotic - LEO Science</v>
      </c>
      <c r="H7" s="107" t="str">
        <f>IF(DTE_Lifespans_existing!H7=1,Use_case_lifespans!$B7,0)</f>
        <v>Near Earth Robotic - LEO Science</v>
      </c>
      <c r="I7" s="107" t="str">
        <f>IF(DTE_Lifespans_existing!I7=1,Use_case_lifespans!$B7,0)</f>
        <v>Near Earth Robotic - LEO Science</v>
      </c>
      <c r="J7" s="107">
        <f>IF(DTE_Lifespans_existing!J7=1,Use_case_lifespans!$B7,0)</f>
        <v>0</v>
      </c>
      <c r="K7" s="107">
        <f>IF(DTE_Lifespans_existing!K7=1,Use_case_lifespans!$B7,0)</f>
        <v>0</v>
      </c>
      <c r="L7" s="107">
        <f>IF(DTE_Lifespans_existing!L7=1,Use_case_lifespans!$B7,0)</f>
        <v>0</v>
      </c>
      <c r="M7" s="107">
        <f>IF(DTE_Lifespans_existing!M7=1,Use_case_lifespans!$B7,0)</f>
        <v>0</v>
      </c>
      <c r="N7" s="107">
        <f>IF(DTE_Lifespans_existing!N7=1,Use_case_lifespans!$B7,0)</f>
        <v>0</v>
      </c>
      <c r="O7" s="107">
        <f>IF(DTE_Lifespans_existing!O7=1,Use_case_lifespans!$B7,0)</f>
        <v>0</v>
      </c>
      <c r="P7" s="107">
        <f>IF(DTE_Lifespans_existing!P7=1,Use_case_lifespans!$B7,0)</f>
        <v>0</v>
      </c>
      <c r="Q7" s="107">
        <f>IF(DTE_Lifespans_existing!Q7=1,Use_case_lifespans!$B7,0)</f>
        <v>0</v>
      </c>
      <c r="R7" s="107">
        <f>IF(DTE_Lifespans_existing!R7=1,Use_case_lifespans!$B7,0)</f>
        <v>0</v>
      </c>
      <c r="S7" s="107">
        <f>IF(DTE_Lifespans_existing!S7=1,Use_case_lifespans!$B7,0)</f>
        <v>0</v>
      </c>
      <c r="T7" s="107">
        <f>IF(DTE_Lifespans_existing!T7=1,Use_case_lifespans!$B7,0)</f>
        <v>0</v>
      </c>
      <c r="U7" s="107">
        <f>IF(DTE_Lifespans_existing!U7=1,Use_case_lifespans!$B7,0)</f>
        <v>0</v>
      </c>
      <c r="V7" s="107">
        <f>IF(DTE_Lifespans_existing!V7=1,Use_case_lifespans!$B7,0)</f>
        <v>0</v>
      </c>
      <c r="W7" s="107">
        <f>IF(DTE_Lifespans_existing!W7=1,Use_case_lifespans!$B7,0)</f>
        <v>0</v>
      </c>
    </row>
    <row r="8" spans="1:23" x14ac:dyDescent="0.3">
      <c r="A8" s="46" t="s">
        <v>34</v>
      </c>
      <c r="B8" s="55" t="s">
        <v>64</v>
      </c>
      <c r="C8" s="48" t="s">
        <v>89</v>
      </c>
      <c r="D8" s="107" t="str">
        <f>IF(DTE_Lifespans_existing!D8=1,Use_case_lifespans!$B8,0)</f>
        <v>???</v>
      </c>
      <c r="E8" s="107" t="str">
        <f>IF(DTE_Lifespans_existing!E8=1,Use_case_lifespans!$B8,0)</f>
        <v>???</v>
      </c>
      <c r="F8" s="107" t="str">
        <f>IF(DTE_Lifespans_existing!F8=1,Use_case_lifespans!$B8,0)</f>
        <v>???</v>
      </c>
      <c r="G8" s="107" t="str">
        <f>IF(DTE_Lifespans_existing!G8=1,Use_case_lifespans!$B8,0)</f>
        <v>???</v>
      </c>
      <c r="H8" s="107" t="str">
        <f>IF(DTE_Lifespans_existing!H8=1,Use_case_lifespans!$B8,0)</f>
        <v>???</v>
      </c>
      <c r="I8" s="107" t="str">
        <f>IF(DTE_Lifespans_existing!I8=1,Use_case_lifespans!$B8,0)</f>
        <v>???</v>
      </c>
      <c r="J8" s="107" t="str">
        <f>IF(DTE_Lifespans_existing!J8=1,Use_case_lifespans!$B8,0)</f>
        <v>???</v>
      </c>
      <c r="K8" s="107" t="str">
        <f>IF(DTE_Lifespans_existing!K8=1,Use_case_lifespans!$B8,0)</f>
        <v>???</v>
      </c>
      <c r="L8" s="107" t="str">
        <f>IF(DTE_Lifespans_existing!L8=1,Use_case_lifespans!$B8,0)</f>
        <v>???</v>
      </c>
      <c r="M8" s="107" t="str">
        <f>IF(DTE_Lifespans_existing!M8=1,Use_case_lifespans!$B8,0)</f>
        <v>???</v>
      </c>
      <c r="N8" s="107" t="str">
        <f>IF(DTE_Lifespans_existing!N8=1,Use_case_lifespans!$B8,0)</f>
        <v>???</v>
      </c>
      <c r="O8" s="107" t="str">
        <f>IF(DTE_Lifespans_existing!O8=1,Use_case_lifespans!$B8,0)</f>
        <v>???</v>
      </c>
      <c r="P8" s="107" t="str">
        <f>IF(DTE_Lifespans_existing!P8=1,Use_case_lifespans!$B8,0)</f>
        <v>???</v>
      </c>
      <c r="Q8" s="107" t="str">
        <f>IF(DTE_Lifespans_existing!Q8=1,Use_case_lifespans!$B8,0)</f>
        <v>???</v>
      </c>
      <c r="R8" s="107" t="str">
        <f>IF(DTE_Lifespans_existing!R8=1,Use_case_lifespans!$B8,0)</f>
        <v>???</v>
      </c>
      <c r="S8" s="107" t="str">
        <f>IF(DTE_Lifespans_existing!S8=1,Use_case_lifespans!$B8,0)</f>
        <v>???</v>
      </c>
      <c r="T8" s="107" t="str">
        <f>IF(DTE_Lifespans_existing!T8=1,Use_case_lifespans!$B8,0)</f>
        <v>???</v>
      </c>
      <c r="U8" s="107" t="str">
        <f>IF(DTE_Lifespans_existing!U8=1,Use_case_lifespans!$B8,0)</f>
        <v>???</v>
      </c>
      <c r="V8" s="107" t="str">
        <f>IF(DTE_Lifespans_existing!V8=1,Use_case_lifespans!$B8,0)</f>
        <v>???</v>
      </c>
      <c r="W8" s="107" t="str">
        <f>IF(DTE_Lifespans_existing!W8=1,Use_case_lifespans!$B8,0)</f>
        <v>???</v>
      </c>
    </row>
    <row r="9" spans="1:23" x14ac:dyDescent="0.3">
      <c r="A9" s="46" t="s">
        <v>69</v>
      </c>
      <c r="B9" s="47" t="s">
        <v>57</v>
      </c>
      <c r="C9" s="48"/>
      <c r="D9" s="107">
        <f>IF(DTE_Lifespans_existing!D9=1,Use_case_lifespans!$B9,0)</f>
        <v>0</v>
      </c>
      <c r="E9" s="107">
        <f>IF(DTE_Lifespans_existing!E9=1,Use_case_lifespans!$B9,0)</f>
        <v>0</v>
      </c>
      <c r="F9" s="107">
        <f>IF(DTE_Lifespans_existing!F9=1,Use_case_lifespans!$B9,0)</f>
        <v>0</v>
      </c>
      <c r="G9" s="107">
        <f>IF(DTE_Lifespans_existing!G9=1,Use_case_lifespans!$B9,0)</f>
        <v>0</v>
      </c>
      <c r="H9" s="107">
        <f>IF(DTE_Lifespans_existing!H9=1,Use_case_lifespans!$B9,0)</f>
        <v>0</v>
      </c>
      <c r="I9" s="107">
        <f>IF(DTE_Lifespans_existing!I9=1,Use_case_lifespans!$B9,0)</f>
        <v>0</v>
      </c>
      <c r="J9" s="107">
        <f>IF(DTE_Lifespans_existing!J9=1,Use_case_lifespans!$B9,0)</f>
        <v>0</v>
      </c>
      <c r="K9" s="107">
        <f>IF(DTE_Lifespans_existing!K9=1,Use_case_lifespans!$B9,0)</f>
        <v>0</v>
      </c>
      <c r="L9" s="107">
        <f>IF(DTE_Lifespans_existing!L9=1,Use_case_lifespans!$B9,0)</f>
        <v>0</v>
      </c>
      <c r="M9" s="107">
        <f>IF(DTE_Lifespans_existing!M9=1,Use_case_lifespans!$B9,0)</f>
        <v>0</v>
      </c>
      <c r="N9" s="107">
        <f>IF(DTE_Lifespans_existing!N9=1,Use_case_lifespans!$B9,0)</f>
        <v>0</v>
      </c>
      <c r="O9" s="107">
        <f>IF(DTE_Lifespans_existing!O9=1,Use_case_lifespans!$B9,0)</f>
        <v>0</v>
      </c>
      <c r="P9" s="107">
        <f>IF(DTE_Lifespans_existing!P9=1,Use_case_lifespans!$B9,0)</f>
        <v>0</v>
      </c>
      <c r="Q9" s="107">
        <f>IF(DTE_Lifespans_existing!Q9=1,Use_case_lifespans!$B9,0)</f>
        <v>0</v>
      </c>
      <c r="R9" s="107">
        <f>IF(DTE_Lifespans_existing!R9=1,Use_case_lifespans!$B9,0)</f>
        <v>0</v>
      </c>
      <c r="S9" s="107">
        <f>IF(DTE_Lifespans_existing!S9=1,Use_case_lifespans!$B9,0)</f>
        <v>0</v>
      </c>
      <c r="T9" s="107">
        <f>IF(DTE_Lifespans_existing!T9=1,Use_case_lifespans!$B9,0)</f>
        <v>0</v>
      </c>
      <c r="U9" s="107">
        <f>IF(DTE_Lifespans_existing!U9=1,Use_case_lifespans!$B9,0)</f>
        <v>0</v>
      </c>
      <c r="V9" s="107">
        <f>IF(DTE_Lifespans_existing!V9=1,Use_case_lifespans!$B9,0)</f>
        <v>0</v>
      </c>
      <c r="W9" s="107">
        <f>IF(DTE_Lifespans_existing!W9=1,Use_case_lifespans!$B9,0)</f>
        <v>0</v>
      </c>
    </row>
    <row r="10" spans="1:23" x14ac:dyDescent="0.3">
      <c r="A10" s="46" t="s">
        <v>70</v>
      </c>
      <c r="B10" s="54" t="s">
        <v>59</v>
      </c>
      <c r="C10" s="48" t="s">
        <v>89</v>
      </c>
      <c r="D10" s="107" t="str">
        <f>IF(DTE_Lifespans_existing!D10=1,Use_case_lifespans!$B10,0)</f>
        <v>Human Space Flight</v>
      </c>
      <c r="E10" s="107" t="str">
        <f>IF(DTE_Lifespans_existing!E10=1,Use_case_lifespans!$B10,0)</f>
        <v>Human Space Flight</v>
      </c>
      <c r="F10" s="107" t="str">
        <f>IF(DTE_Lifespans_existing!F10=1,Use_case_lifespans!$B10,0)</f>
        <v>Human Space Flight</v>
      </c>
      <c r="G10" s="107" t="str">
        <f>IF(DTE_Lifespans_existing!G10=1,Use_case_lifespans!$B10,0)</f>
        <v>Human Space Flight</v>
      </c>
      <c r="H10" s="107" t="str">
        <f>IF(DTE_Lifespans_existing!H10=1,Use_case_lifespans!$B10,0)</f>
        <v>Human Space Flight</v>
      </c>
      <c r="I10" s="107" t="str">
        <f>IF(DTE_Lifespans_existing!I10=1,Use_case_lifespans!$B10,0)</f>
        <v>Human Space Flight</v>
      </c>
      <c r="J10" s="107" t="str">
        <f>IF(DTE_Lifespans_existing!J10=1,Use_case_lifespans!$B10,0)</f>
        <v>Human Space Flight</v>
      </c>
      <c r="K10" s="107" t="str">
        <f>IF(DTE_Lifespans_existing!K10=1,Use_case_lifespans!$B10,0)</f>
        <v>Human Space Flight</v>
      </c>
      <c r="L10" s="107" t="str">
        <f>IF(DTE_Lifespans_existing!L10=1,Use_case_lifespans!$B10,0)</f>
        <v>Human Space Flight</v>
      </c>
      <c r="M10" s="107" t="str">
        <f>IF(DTE_Lifespans_existing!M10=1,Use_case_lifespans!$B10,0)</f>
        <v>Human Space Flight</v>
      </c>
      <c r="N10" s="107">
        <f>IF(DTE_Lifespans_existing!N10=1,Use_case_lifespans!$B10,0)</f>
        <v>0</v>
      </c>
      <c r="O10" s="107">
        <f>IF(DTE_Lifespans_existing!O10=1,Use_case_lifespans!$B10,0)</f>
        <v>0</v>
      </c>
      <c r="P10" s="107">
        <f>IF(DTE_Lifespans_existing!P10=1,Use_case_lifespans!$B10,0)</f>
        <v>0</v>
      </c>
      <c r="Q10" s="107">
        <f>IF(DTE_Lifespans_existing!Q10=1,Use_case_lifespans!$B10,0)</f>
        <v>0</v>
      </c>
      <c r="R10" s="107">
        <f>IF(DTE_Lifespans_existing!R10=1,Use_case_lifespans!$B10,0)</f>
        <v>0</v>
      </c>
      <c r="S10" s="107">
        <f>IF(DTE_Lifespans_existing!S10=1,Use_case_lifespans!$B10,0)</f>
        <v>0</v>
      </c>
      <c r="T10" s="107">
        <f>IF(DTE_Lifespans_existing!T10=1,Use_case_lifespans!$B10,0)</f>
        <v>0</v>
      </c>
      <c r="U10" s="107">
        <f>IF(DTE_Lifespans_existing!U10=1,Use_case_lifespans!$B10,0)</f>
        <v>0</v>
      </c>
      <c r="V10" s="107">
        <f>IF(DTE_Lifespans_existing!V10=1,Use_case_lifespans!$B10,0)</f>
        <v>0</v>
      </c>
      <c r="W10" s="107">
        <f>IF(DTE_Lifespans_existing!W10=1,Use_case_lifespans!$B10,0)</f>
        <v>0</v>
      </c>
    </row>
    <row r="11" spans="1:23" x14ac:dyDescent="0.3">
      <c r="A11" s="46" t="s">
        <v>71</v>
      </c>
      <c r="B11" s="54" t="s">
        <v>58</v>
      </c>
      <c r="C11" s="48"/>
      <c r="D11" s="107" t="str">
        <f>IF(DTE_Lifespans_existing!D11=1,Use_case_lifespans!$B11,0)</f>
        <v>Launch Events</v>
      </c>
      <c r="E11" s="107" t="str">
        <f>IF(DTE_Lifespans_existing!E11=1,Use_case_lifespans!$B11,0)</f>
        <v>Launch Events</v>
      </c>
      <c r="F11" s="107" t="str">
        <f>IF(DTE_Lifespans_existing!F11=1,Use_case_lifespans!$B11,0)</f>
        <v>Launch Events</v>
      </c>
      <c r="G11" s="107" t="str">
        <f>IF(DTE_Lifespans_existing!G11=1,Use_case_lifespans!$B11,0)</f>
        <v>Launch Events</v>
      </c>
      <c r="H11" s="107" t="str">
        <f>IF(DTE_Lifespans_existing!H11=1,Use_case_lifespans!$B11,0)</f>
        <v>Launch Events</v>
      </c>
      <c r="I11" s="107" t="str">
        <f>IF(DTE_Lifespans_existing!I11=1,Use_case_lifespans!$B11,0)</f>
        <v>Launch Events</v>
      </c>
      <c r="J11" s="107" t="str">
        <f>IF(DTE_Lifespans_existing!J11=1,Use_case_lifespans!$B11,0)</f>
        <v>Launch Events</v>
      </c>
      <c r="K11" s="107" t="str">
        <f>IF(DTE_Lifespans_existing!K11=1,Use_case_lifespans!$B11,0)</f>
        <v>Launch Events</v>
      </c>
      <c r="L11" s="107" t="str">
        <f>IF(DTE_Lifespans_existing!L11=1,Use_case_lifespans!$B11,0)</f>
        <v>Launch Events</v>
      </c>
      <c r="M11" s="107" t="str">
        <f>IF(DTE_Lifespans_existing!M11=1,Use_case_lifespans!$B11,0)</f>
        <v>Launch Events</v>
      </c>
      <c r="N11" s="107" t="str">
        <f>IF(DTE_Lifespans_existing!N11=1,Use_case_lifespans!$B11,0)</f>
        <v>Launch Events</v>
      </c>
      <c r="O11" s="107" t="str">
        <f>IF(DTE_Lifespans_existing!O11=1,Use_case_lifespans!$B11,0)</f>
        <v>Launch Events</v>
      </c>
      <c r="P11" s="107" t="str">
        <f>IF(DTE_Lifespans_existing!P11=1,Use_case_lifespans!$B11,0)</f>
        <v>Launch Events</v>
      </c>
      <c r="Q11" s="107" t="str">
        <f>IF(DTE_Lifespans_existing!Q11=1,Use_case_lifespans!$B11,0)</f>
        <v>Launch Events</v>
      </c>
      <c r="R11" s="107" t="str">
        <f>IF(DTE_Lifespans_existing!R11=1,Use_case_lifespans!$B11,0)</f>
        <v>Launch Events</v>
      </c>
      <c r="S11" s="107" t="str">
        <f>IF(DTE_Lifespans_existing!S11=1,Use_case_lifespans!$B11,0)</f>
        <v>Launch Events</v>
      </c>
      <c r="T11" s="107" t="str">
        <f>IF(DTE_Lifespans_existing!T11=1,Use_case_lifespans!$B11,0)</f>
        <v>Launch Events</v>
      </c>
      <c r="U11" s="107" t="str">
        <f>IF(DTE_Lifespans_existing!U11=1,Use_case_lifespans!$B11,0)</f>
        <v>Launch Events</v>
      </c>
      <c r="V11" s="107" t="str">
        <f>IF(DTE_Lifespans_existing!V11=1,Use_case_lifespans!$B11,0)</f>
        <v>Launch Events</v>
      </c>
      <c r="W11" s="107" t="str">
        <f>IF(DTE_Lifespans_existing!W11=1,Use_case_lifespans!$B11,0)</f>
        <v>Launch Events</v>
      </c>
    </row>
    <row r="12" spans="1:23" x14ac:dyDescent="0.3">
      <c r="A12" s="46" t="s">
        <v>72</v>
      </c>
      <c r="B12" s="53" t="s">
        <v>59</v>
      </c>
      <c r="C12" s="48"/>
      <c r="D12" s="107" t="str">
        <f>IF(DTE_Lifespans_existing!D12=1,Use_case_lifespans!$B12,0)</f>
        <v>Human Space Flight</v>
      </c>
      <c r="E12" s="107" t="str">
        <f>IF(DTE_Lifespans_existing!E12=1,Use_case_lifespans!$B12,0)</f>
        <v>Human Space Flight</v>
      </c>
      <c r="F12" s="107" t="str">
        <f>IF(DTE_Lifespans_existing!F12=1,Use_case_lifespans!$B12,0)</f>
        <v>Human Space Flight</v>
      </c>
      <c r="G12" s="107" t="str">
        <f>IF(DTE_Lifespans_existing!G12=1,Use_case_lifespans!$B12,0)</f>
        <v>Human Space Flight</v>
      </c>
      <c r="H12" s="107" t="str">
        <f>IF(DTE_Lifespans_existing!H12=1,Use_case_lifespans!$B12,0)</f>
        <v>Human Space Flight</v>
      </c>
      <c r="I12" s="107" t="str">
        <f>IF(DTE_Lifespans_existing!I12=1,Use_case_lifespans!$B12,0)</f>
        <v>Human Space Flight</v>
      </c>
      <c r="J12" s="107" t="str">
        <f>IF(DTE_Lifespans_existing!J12=1,Use_case_lifespans!$B12,0)</f>
        <v>Human Space Flight</v>
      </c>
      <c r="K12" s="107" t="str">
        <f>IF(DTE_Lifespans_existing!K12=1,Use_case_lifespans!$B12,0)</f>
        <v>Human Space Flight</v>
      </c>
      <c r="L12" s="107" t="str">
        <f>IF(DTE_Lifespans_existing!L12=1,Use_case_lifespans!$B12,0)</f>
        <v>Human Space Flight</v>
      </c>
      <c r="M12" s="107" t="str">
        <f>IF(DTE_Lifespans_existing!M12=1,Use_case_lifespans!$B12,0)</f>
        <v>Human Space Flight</v>
      </c>
      <c r="N12" s="107" t="str">
        <f>IF(DTE_Lifespans_existing!N12=1,Use_case_lifespans!$B12,0)</f>
        <v>Human Space Flight</v>
      </c>
      <c r="O12" s="107" t="str">
        <f>IF(DTE_Lifespans_existing!O12=1,Use_case_lifespans!$B12,0)</f>
        <v>Human Space Flight</v>
      </c>
      <c r="P12" s="107" t="str">
        <f>IF(DTE_Lifespans_existing!P12=1,Use_case_lifespans!$B12,0)</f>
        <v>Human Space Flight</v>
      </c>
      <c r="Q12" s="107" t="str">
        <f>IF(DTE_Lifespans_existing!Q12=1,Use_case_lifespans!$B12,0)</f>
        <v>Human Space Flight</v>
      </c>
      <c r="R12" s="107" t="str">
        <f>IF(DTE_Lifespans_existing!R12=1,Use_case_lifespans!$B12,0)</f>
        <v>Human Space Flight</v>
      </c>
      <c r="S12" s="107" t="str">
        <f>IF(DTE_Lifespans_existing!S12=1,Use_case_lifespans!$B12,0)</f>
        <v>Human Space Flight</v>
      </c>
      <c r="T12" s="107" t="str">
        <f>IF(DTE_Lifespans_existing!T12=1,Use_case_lifespans!$B12,0)</f>
        <v>Human Space Flight</v>
      </c>
      <c r="U12" s="107" t="str">
        <f>IF(DTE_Lifespans_existing!U12=1,Use_case_lifespans!$B12,0)</f>
        <v>Human Space Flight</v>
      </c>
      <c r="V12" s="107" t="str">
        <f>IF(DTE_Lifespans_existing!V12=1,Use_case_lifespans!$B12,0)</f>
        <v>Human Space Flight</v>
      </c>
      <c r="W12" s="107" t="str">
        <f>IF(DTE_Lifespans_existing!W12=1,Use_case_lifespans!$B12,0)</f>
        <v>Human Space Flight</v>
      </c>
    </row>
    <row r="13" spans="1:23" x14ac:dyDescent="0.3">
      <c r="A13" s="46" t="s">
        <v>82</v>
      </c>
      <c r="B13" s="55" t="s">
        <v>64</v>
      </c>
      <c r="C13" s="48"/>
      <c r="D13" s="107" t="str">
        <f>IF(DTE_Lifespans_existing!D13=1,Use_case_lifespans!$B13,0)</f>
        <v>???</v>
      </c>
      <c r="E13" s="107" t="str">
        <f>IF(DTE_Lifespans_existing!E13=1,Use_case_lifespans!$B13,0)</f>
        <v>???</v>
      </c>
      <c r="F13" s="107" t="str">
        <f>IF(DTE_Lifespans_existing!F13=1,Use_case_lifespans!$B13,0)</f>
        <v>???</v>
      </c>
      <c r="G13" s="107">
        <f>IF(DTE_Lifespans_existing!G13=1,Use_case_lifespans!$B13,0)</f>
        <v>0</v>
      </c>
      <c r="H13" s="107">
        <f>IF(DTE_Lifespans_existing!H13=1,Use_case_lifespans!$B13,0)</f>
        <v>0</v>
      </c>
      <c r="I13" s="107">
        <f>IF(DTE_Lifespans_existing!I13=1,Use_case_lifespans!$B13,0)</f>
        <v>0</v>
      </c>
      <c r="J13" s="107">
        <f>IF(DTE_Lifespans_existing!J13=1,Use_case_lifespans!$B13,0)</f>
        <v>0</v>
      </c>
      <c r="K13" s="107">
        <f>IF(DTE_Lifespans_existing!K13=1,Use_case_lifespans!$B13,0)</f>
        <v>0</v>
      </c>
      <c r="L13" s="107">
        <f>IF(DTE_Lifespans_existing!L13=1,Use_case_lifespans!$B13,0)</f>
        <v>0</v>
      </c>
      <c r="M13" s="107">
        <f>IF(DTE_Lifespans_existing!M13=1,Use_case_lifespans!$B13,0)</f>
        <v>0</v>
      </c>
      <c r="N13" s="107">
        <f>IF(DTE_Lifespans_existing!N13=1,Use_case_lifespans!$B13,0)</f>
        <v>0</v>
      </c>
      <c r="O13" s="107">
        <f>IF(DTE_Lifespans_existing!O13=1,Use_case_lifespans!$B13,0)</f>
        <v>0</v>
      </c>
      <c r="P13" s="107">
        <f>IF(DTE_Lifespans_existing!P13=1,Use_case_lifespans!$B13,0)</f>
        <v>0</v>
      </c>
      <c r="Q13" s="107">
        <f>IF(DTE_Lifespans_existing!Q13=1,Use_case_lifespans!$B13,0)</f>
        <v>0</v>
      </c>
      <c r="R13" s="107">
        <f>IF(DTE_Lifespans_existing!R13=1,Use_case_lifespans!$B13,0)</f>
        <v>0</v>
      </c>
      <c r="S13" s="107">
        <f>IF(DTE_Lifespans_existing!S13=1,Use_case_lifespans!$B13,0)</f>
        <v>0</v>
      </c>
      <c r="T13" s="107">
        <f>IF(DTE_Lifespans_existing!T13=1,Use_case_lifespans!$B13,0)</f>
        <v>0</v>
      </c>
      <c r="U13" s="107">
        <f>IF(DTE_Lifespans_existing!U13=1,Use_case_lifespans!$B13,0)</f>
        <v>0</v>
      </c>
      <c r="V13" s="107">
        <f>IF(DTE_Lifespans_existing!V13=1,Use_case_lifespans!$B13,0)</f>
        <v>0</v>
      </c>
      <c r="W13" s="107">
        <f>IF(DTE_Lifespans_existing!W13=1,Use_case_lifespans!$B13,0)</f>
        <v>0</v>
      </c>
    </row>
    <row r="14" spans="1:23" x14ac:dyDescent="0.3">
      <c r="A14" s="46" t="s">
        <v>35</v>
      </c>
      <c r="B14" s="47" t="s">
        <v>57</v>
      </c>
      <c r="C14" s="48" t="s">
        <v>89</v>
      </c>
      <c r="D14" s="107" t="str">
        <f>IF(DTE_Lifespans_existing!D14=1,Use_case_lifespans!$B14,0)</f>
        <v>Near Earth Robotic - LEO Science</v>
      </c>
      <c r="E14" s="107" t="str">
        <f>IF(DTE_Lifespans_existing!E14=1,Use_case_lifespans!$B14,0)</f>
        <v>Near Earth Robotic - LEO Science</v>
      </c>
      <c r="F14" s="107" t="str">
        <f>IF(DTE_Lifespans_existing!F14=1,Use_case_lifespans!$B14,0)</f>
        <v>Near Earth Robotic - LEO Science</v>
      </c>
      <c r="G14" s="107" t="str">
        <f>IF(DTE_Lifespans_existing!G14=1,Use_case_lifespans!$B14,0)</f>
        <v>Near Earth Robotic - LEO Science</v>
      </c>
      <c r="H14" s="107" t="str">
        <f>IF(DTE_Lifespans_existing!H14=1,Use_case_lifespans!$B14,0)</f>
        <v>Near Earth Robotic - LEO Science</v>
      </c>
      <c r="I14" s="107" t="str">
        <f>IF(DTE_Lifespans_existing!I14=1,Use_case_lifespans!$B14,0)</f>
        <v>Near Earth Robotic - LEO Science</v>
      </c>
      <c r="J14" s="107" t="str">
        <f>IF(DTE_Lifespans_existing!J14=1,Use_case_lifespans!$B14,0)</f>
        <v>Near Earth Robotic - LEO Science</v>
      </c>
      <c r="K14" s="107">
        <f>IF(DTE_Lifespans_existing!K14=1,Use_case_lifespans!$B14,0)</f>
        <v>0</v>
      </c>
      <c r="L14" s="107">
        <f>IF(DTE_Lifespans_existing!L14=1,Use_case_lifespans!$B14,0)</f>
        <v>0</v>
      </c>
      <c r="M14" s="107">
        <f>IF(DTE_Lifespans_existing!M14=1,Use_case_lifespans!$B14,0)</f>
        <v>0</v>
      </c>
      <c r="N14" s="107">
        <f>IF(DTE_Lifespans_existing!N14=1,Use_case_lifespans!$B14,0)</f>
        <v>0</v>
      </c>
      <c r="O14" s="107">
        <f>IF(DTE_Lifespans_existing!O14=1,Use_case_lifespans!$B14,0)</f>
        <v>0</v>
      </c>
      <c r="P14" s="107">
        <f>IF(DTE_Lifespans_existing!P14=1,Use_case_lifespans!$B14,0)</f>
        <v>0</v>
      </c>
      <c r="Q14" s="107">
        <f>IF(DTE_Lifespans_existing!Q14=1,Use_case_lifespans!$B14,0)</f>
        <v>0</v>
      </c>
      <c r="R14" s="107">
        <f>IF(DTE_Lifespans_existing!R14=1,Use_case_lifespans!$B14,0)</f>
        <v>0</v>
      </c>
      <c r="S14" s="107">
        <f>IF(DTE_Lifespans_existing!S14=1,Use_case_lifespans!$B14,0)</f>
        <v>0</v>
      </c>
      <c r="T14" s="107">
        <f>IF(DTE_Lifespans_existing!T14=1,Use_case_lifespans!$B14,0)</f>
        <v>0</v>
      </c>
      <c r="U14" s="107">
        <f>IF(DTE_Lifespans_existing!U14=1,Use_case_lifespans!$B14,0)</f>
        <v>0</v>
      </c>
      <c r="V14" s="107">
        <f>IF(DTE_Lifespans_existing!V14=1,Use_case_lifespans!$B14,0)</f>
        <v>0</v>
      </c>
      <c r="W14" s="107">
        <f>IF(DTE_Lifespans_existing!W14=1,Use_case_lifespans!$B14,0)</f>
        <v>0</v>
      </c>
    </row>
    <row r="15" spans="1:23" x14ac:dyDescent="0.3">
      <c r="A15" s="59" t="s">
        <v>83</v>
      </c>
      <c r="B15" s="47" t="s">
        <v>56</v>
      </c>
      <c r="C15" s="48"/>
      <c r="D15" s="107" t="str">
        <f>IF(DTE_Lifespans_existing!D15=1,Use_case_lifespans!$B15,0)</f>
        <v>Near Earth Robotic - GEO and Near Earth</v>
      </c>
      <c r="E15" s="107" t="str">
        <f>IF(DTE_Lifespans_existing!E15=1,Use_case_lifespans!$B15,0)</f>
        <v>Near Earth Robotic - GEO and Near Earth</v>
      </c>
      <c r="F15" s="107" t="str">
        <f>IF(DTE_Lifespans_existing!F15=1,Use_case_lifespans!$B15,0)</f>
        <v>Near Earth Robotic - GEO and Near Earth</v>
      </c>
      <c r="G15" s="107" t="str">
        <f>IF(DTE_Lifespans_existing!G15=1,Use_case_lifespans!$B15,0)</f>
        <v>Near Earth Robotic - GEO and Near Earth</v>
      </c>
      <c r="H15" s="107" t="str">
        <f>IF(DTE_Lifespans_existing!H15=1,Use_case_lifespans!$B15,0)</f>
        <v>Near Earth Robotic - GEO and Near Earth</v>
      </c>
      <c r="I15" s="107" t="str">
        <f>IF(DTE_Lifespans_existing!I15=1,Use_case_lifespans!$B15,0)</f>
        <v>Near Earth Robotic - GEO and Near Earth</v>
      </c>
      <c r="J15" s="107" t="str">
        <f>IF(DTE_Lifespans_existing!J15=1,Use_case_lifespans!$B15,0)</f>
        <v>Near Earth Robotic - GEO and Near Earth</v>
      </c>
      <c r="K15" s="107" t="str">
        <f>IF(DTE_Lifespans_existing!K15=1,Use_case_lifespans!$B15,0)</f>
        <v>Near Earth Robotic - GEO and Near Earth</v>
      </c>
      <c r="L15" s="107" t="str">
        <f>IF(DTE_Lifespans_existing!L15=1,Use_case_lifespans!$B15,0)</f>
        <v>Near Earth Robotic - GEO and Near Earth</v>
      </c>
      <c r="M15" s="107" t="str">
        <f>IF(DTE_Lifespans_existing!M15=1,Use_case_lifespans!$B15,0)</f>
        <v>Near Earth Robotic - GEO and Near Earth</v>
      </c>
      <c r="N15" s="107" t="str">
        <f>IF(DTE_Lifespans_existing!N15=1,Use_case_lifespans!$B15,0)</f>
        <v>Near Earth Robotic - GEO and Near Earth</v>
      </c>
      <c r="O15" s="107" t="str">
        <f>IF(DTE_Lifespans_existing!O15=1,Use_case_lifespans!$B15,0)</f>
        <v>Near Earth Robotic - GEO and Near Earth</v>
      </c>
      <c r="P15" s="107" t="str">
        <f>IF(DTE_Lifespans_existing!P15=1,Use_case_lifespans!$B15,0)</f>
        <v>Near Earth Robotic - GEO and Near Earth</v>
      </c>
      <c r="Q15" s="107" t="str">
        <f>IF(DTE_Lifespans_existing!Q15=1,Use_case_lifespans!$B15,0)</f>
        <v>Near Earth Robotic - GEO and Near Earth</v>
      </c>
      <c r="R15" s="107" t="str">
        <f>IF(DTE_Lifespans_existing!R15=1,Use_case_lifespans!$B15,0)</f>
        <v>Near Earth Robotic - GEO and Near Earth</v>
      </c>
      <c r="S15" s="107" t="str">
        <f>IF(DTE_Lifespans_existing!S15=1,Use_case_lifespans!$B15,0)</f>
        <v>Near Earth Robotic - GEO and Near Earth</v>
      </c>
      <c r="T15" s="107" t="str">
        <f>IF(DTE_Lifespans_existing!T15=1,Use_case_lifespans!$B15,0)</f>
        <v>Near Earth Robotic - GEO and Near Earth</v>
      </c>
      <c r="U15" s="107" t="str">
        <f>IF(DTE_Lifespans_existing!U15=1,Use_case_lifespans!$B15,0)</f>
        <v>Near Earth Robotic - GEO and Near Earth</v>
      </c>
      <c r="V15" s="107" t="str">
        <f>IF(DTE_Lifespans_existing!V15=1,Use_case_lifespans!$B15,0)</f>
        <v>Near Earth Robotic - GEO and Near Earth</v>
      </c>
      <c r="W15" s="107" t="str">
        <f>IF(DTE_Lifespans_existing!W15=1,Use_case_lifespans!$B15,0)</f>
        <v>Near Earth Robotic - GEO and Near Earth</v>
      </c>
    </row>
    <row r="16" spans="1:23" x14ac:dyDescent="0.3">
      <c r="A16" s="59" t="s">
        <v>84</v>
      </c>
      <c r="B16" s="47" t="s">
        <v>56</v>
      </c>
      <c r="C16" s="48"/>
      <c r="D16" s="107" t="str">
        <f>IF(DTE_Lifespans_existing!D16=1,Use_case_lifespans!$B16,0)</f>
        <v>Near Earth Robotic - GEO and Near Earth</v>
      </c>
      <c r="E16" s="107" t="str">
        <f>IF(DTE_Lifespans_existing!E16=1,Use_case_lifespans!$B16,0)</f>
        <v>Near Earth Robotic - GEO and Near Earth</v>
      </c>
      <c r="F16" s="107" t="str">
        <f>IF(DTE_Lifespans_existing!F16=1,Use_case_lifespans!$B16,0)</f>
        <v>Near Earth Robotic - GEO and Near Earth</v>
      </c>
      <c r="G16" s="107" t="str">
        <f>IF(DTE_Lifespans_existing!G16=1,Use_case_lifespans!$B16,0)</f>
        <v>Near Earth Robotic - GEO and Near Earth</v>
      </c>
      <c r="H16" s="107" t="str">
        <f>IF(DTE_Lifespans_existing!H16=1,Use_case_lifespans!$B16,0)</f>
        <v>Near Earth Robotic - GEO and Near Earth</v>
      </c>
      <c r="I16" s="107" t="str">
        <f>IF(DTE_Lifespans_existing!I16=1,Use_case_lifespans!$B16,0)</f>
        <v>Near Earth Robotic - GEO and Near Earth</v>
      </c>
      <c r="J16" s="107" t="str">
        <f>IF(DTE_Lifespans_existing!J16=1,Use_case_lifespans!$B16,0)</f>
        <v>Near Earth Robotic - GEO and Near Earth</v>
      </c>
      <c r="K16" s="107" t="str">
        <f>IF(DTE_Lifespans_existing!K16=1,Use_case_lifespans!$B16,0)</f>
        <v>Near Earth Robotic - GEO and Near Earth</v>
      </c>
      <c r="L16" s="107" t="str">
        <f>IF(DTE_Lifespans_existing!L16=1,Use_case_lifespans!$B16,0)</f>
        <v>Near Earth Robotic - GEO and Near Earth</v>
      </c>
      <c r="M16" s="107" t="str">
        <f>IF(DTE_Lifespans_existing!M16=1,Use_case_lifespans!$B16,0)</f>
        <v>Near Earth Robotic - GEO and Near Earth</v>
      </c>
      <c r="N16" s="107" t="str">
        <f>IF(DTE_Lifespans_existing!N16=1,Use_case_lifespans!$B16,0)</f>
        <v>Near Earth Robotic - GEO and Near Earth</v>
      </c>
      <c r="O16" s="107" t="str">
        <f>IF(DTE_Lifespans_existing!O16=1,Use_case_lifespans!$B16,0)</f>
        <v>Near Earth Robotic - GEO and Near Earth</v>
      </c>
      <c r="P16" s="107" t="str">
        <f>IF(DTE_Lifespans_existing!P16=1,Use_case_lifespans!$B16,0)</f>
        <v>Near Earth Robotic - GEO and Near Earth</v>
      </c>
      <c r="Q16" s="107" t="str">
        <f>IF(DTE_Lifespans_existing!Q16=1,Use_case_lifespans!$B16,0)</f>
        <v>Near Earth Robotic - GEO and Near Earth</v>
      </c>
      <c r="R16" s="107" t="str">
        <f>IF(DTE_Lifespans_existing!R16=1,Use_case_lifespans!$B16,0)</f>
        <v>Near Earth Robotic - GEO and Near Earth</v>
      </c>
      <c r="S16" s="107" t="str">
        <f>IF(DTE_Lifespans_existing!S16=1,Use_case_lifespans!$B16,0)</f>
        <v>Near Earth Robotic - GEO and Near Earth</v>
      </c>
      <c r="T16" s="107" t="str">
        <f>IF(DTE_Lifespans_existing!T16=1,Use_case_lifespans!$B16,0)</f>
        <v>Near Earth Robotic - GEO and Near Earth</v>
      </c>
      <c r="U16" s="107" t="str">
        <f>IF(DTE_Lifespans_existing!U16=1,Use_case_lifespans!$B16,0)</f>
        <v>Near Earth Robotic - GEO and Near Earth</v>
      </c>
      <c r="V16" s="107" t="str">
        <f>IF(DTE_Lifespans_existing!V16=1,Use_case_lifespans!$B16,0)</f>
        <v>Near Earth Robotic - GEO and Near Earth</v>
      </c>
      <c r="W16" s="107" t="str">
        <f>IF(DTE_Lifespans_existing!W16=1,Use_case_lifespans!$B16,0)</f>
        <v>Near Earth Robotic - GEO and Near Earth</v>
      </c>
    </row>
    <row r="17" spans="1:23" x14ac:dyDescent="0.3">
      <c r="A17" s="59" t="s">
        <v>85</v>
      </c>
      <c r="B17" s="47" t="s">
        <v>56</v>
      </c>
      <c r="C17" s="48"/>
      <c r="D17" s="107" t="str">
        <f>IF(DTE_Lifespans_existing!D17=1,Use_case_lifespans!$B17,0)</f>
        <v>Near Earth Robotic - GEO and Near Earth</v>
      </c>
      <c r="E17" s="107" t="str">
        <f>IF(DTE_Lifespans_existing!E17=1,Use_case_lifespans!$B17,0)</f>
        <v>Near Earth Robotic - GEO and Near Earth</v>
      </c>
      <c r="F17" s="107" t="str">
        <f>IF(DTE_Lifespans_existing!F17=1,Use_case_lifespans!$B17,0)</f>
        <v>Near Earth Robotic - GEO and Near Earth</v>
      </c>
      <c r="G17" s="107" t="str">
        <f>IF(DTE_Lifespans_existing!G17=1,Use_case_lifespans!$B17,0)</f>
        <v>Near Earth Robotic - GEO and Near Earth</v>
      </c>
      <c r="H17" s="107" t="str">
        <f>IF(DTE_Lifespans_existing!H17=1,Use_case_lifespans!$B17,0)</f>
        <v>Near Earth Robotic - GEO and Near Earth</v>
      </c>
      <c r="I17" s="107" t="str">
        <f>IF(DTE_Lifespans_existing!I17=1,Use_case_lifespans!$B17,0)</f>
        <v>Near Earth Robotic - GEO and Near Earth</v>
      </c>
      <c r="J17" s="107" t="str">
        <f>IF(DTE_Lifespans_existing!J17=1,Use_case_lifespans!$B17,0)</f>
        <v>Near Earth Robotic - GEO and Near Earth</v>
      </c>
      <c r="K17" s="107" t="str">
        <f>IF(DTE_Lifespans_existing!K17=1,Use_case_lifespans!$B17,0)</f>
        <v>Near Earth Robotic - GEO and Near Earth</v>
      </c>
      <c r="L17" s="107" t="str">
        <f>IF(DTE_Lifespans_existing!L17=1,Use_case_lifespans!$B17,0)</f>
        <v>Near Earth Robotic - GEO and Near Earth</v>
      </c>
      <c r="M17" s="107" t="str">
        <f>IF(DTE_Lifespans_existing!M17=1,Use_case_lifespans!$B17,0)</f>
        <v>Near Earth Robotic - GEO and Near Earth</v>
      </c>
      <c r="N17" s="107" t="str">
        <f>IF(DTE_Lifespans_existing!N17=1,Use_case_lifespans!$B17,0)</f>
        <v>Near Earth Robotic - GEO and Near Earth</v>
      </c>
      <c r="O17" s="107" t="str">
        <f>IF(DTE_Lifespans_existing!O17=1,Use_case_lifespans!$B17,0)</f>
        <v>Near Earth Robotic - GEO and Near Earth</v>
      </c>
      <c r="P17" s="107" t="str">
        <f>IF(DTE_Lifespans_existing!P17=1,Use_case_lifespans!$B17,0)</f>
        <v>Near Earth Robotic - GEO and Near Earth</v>
      </c>
      <c r="Q17" s="107" t="str">
        <f>IF(DTE_Lifespans_existing!Q17=1,Use_case_lifespans!$B17,0)</f>
        <v>Near Earth Robotic - GEO and Near Earth</v>
      </c>
      <c r="R17" s="107" t="str">
        <f>IF(DTE_Lifespans_existing!R17=1,Use_case_lifespans!$B17,0)</f>
        <v>Near Earth Robotic - GEO and Near Earth</v>
      </c>
      <c r="S17" s="107" t="str">
        <f>IF(DTE_Lifespans_existing!S17=1,Use_case_lifespans!$B17,0)</f>
        <v>Near Earth Robotic - GEO and Near Earth</v>
      </c>
      <c r="T17" s="107" t="str">
        <f>IF(DTE_Lifespans_existing!T17=1,Use_case_lifespans!$B17,0)</f>
        <v>Near Earth Robotic - GEO and Near Earth</v>
      </c>
      <c r="U17" s="107" t="str">
        <f>IF(DTE_Lifespans_existing!U17=1,Use_case_lifespans!$B17,0)</f>
        <v>Near Earth Robotic - GEO and Near Earth</v>
      </c>
      <c r="V17" s="107" t="str">
        <f>IF(DTE_Lifespans_existing!V17=1,Use_case_lifespans!$B17,0)</f>
        <v>Near Earth Robotic - GEO and Near Earth</v>
      </c>
      <c r="W17" s="107" t="str">
        <f>IF(DTE_Lifespans_existing!W17=1,Use_case_lifespans!$B17,0)</f>
        <v>Near Earth Robotic - GEO and Near Earth</v>
      </c>
    </row>
    <row r="18" spans="1:23" x14ac:dyDescent="0.3">
      <c r="A18" s="59" t="s">
        <v>86</v>
      </c>
      <c r="B18" s="47" t="s">
        <v>56</v>
      </c>
      <c r="C18" s="48"/>
      <c r="D18" s="107" t="str">
        <f>IF(DTE_Lifespans_existing!D18=1,Use_case_lifespans!$B18,0)</f>
        <v>Near Earth Robotic - GEO and Near Earth</v>
      </c>
      <c r="E18" s="107" t="str">
        <f>IF(DTE_Lifespans_existing!E18=1,Use_case_lifespans!$B18,0)</f>
        <v>Near Earth Robotic - GEO and Near Earth</v>
      </c>
      <c r="F18" s="107" t="str">
        <f>IF(DTE_Lifespans_existing!F18=1,Use_case_lifespans!$B18,0)</f>
        <v>Near Earth Robotic - GEO and Near Earth</v>
      </c>
      <c r="G18" s="107" t="str">
        <f>IF(DTE_Lifespans_existing!G18=1,Use_case_lifespans!$B18,0)</f>
        <v>Near Earth Robotic - GEO and Near Earth</v>
      </c>
      <c r="H18" s="107" t="str">
        <f>IF(DTE_Lifespans_existing!H18=1,Use_case_lifespans!$B18,0)</f>
        <v>Near Earth Robotic - GEO and Near Earth</v>
      </c>
      <c r="I18" s="107" t="str">
        <f>IF(DTE_Lifespans_existing!I18=1,Use_case_lifespans!$B18,0)</f>
        <v>Near Earth Robotic - GEO and Near Earth</v>
      </c>
      <c r="J18" s="107" t="str">
        <f>IF(DTE_Lifespans_existing!J18=1,Use_case_lifespans!$B18,0)</f>
        <v>Near Earth Robotic - GEO and Near Earth</v>
      </c>
      <c r="K18" s="107" t="str">
        <f>IF(DTE_Lifespans_existing!K18=1,Use_case_lifespans!$B18,0)</f>
        <v>Near Earth Robotic - GEO and Near Earth</v>
      </c>
      <c r="L18" s="107" t="str">
        <f>IF(DTE_Lifespans_existing!L18=1,Use_case_lifespans!$B18,0)</f>
        <v>Near Earth Robotic - GEO and Near Earth</v>
      </c>
      <c r="M18" s="107" t="str">
        <f>IF(DTE_Lifespans_existing!M18=1,Use_case_lifespans!$B18,0)</f>
        <v>Near Earth Robotic - GEO and Near Earth</v>
      </c>
      <c r="N18" s="107" t="str">
        <f>IF(DTE_Lifespans_existing!N18=1,Use_case_lifespans!$B18,0)</f>
        <v>Near Earth Robotic - GEO and Near Earth</v>
      </c>
      <c r="O18" s="107" t="str">
        <f>IF(DTE_Lifespans_existing!O18=1,Use_case_lifespans!$B18,0)</f>
        <v>Near Earth Robotic - GEO and Near Earth</v>
      </c>
      <c r="P18" s="107" t="str">
        <f>IF(DTE_Lifespans_existing!P18=1,Use_case_lifespans!$B18,0)</f>
        <v>Near Earth Robotic - GEO and Near Earth</v>
      </c>
      <c r="Q18" s="107" t="str">
        <f>IF(DTE_Lifespans_existing!Q18=1,Use_case_lifespans!$B18,0)</f>
        <v>Near Earth Robotic - GEO and Near Earth</v>
      </c>
      <c r="R18" s="107" t="str">
        <f>IF(DTE_Lifespans_existing!R18=1,Use_case_lifespans!$B18,0)</f>
        <v>Near Earth Robotic - GEO and Near Earth</v>
      </c>
      <c r="S18" s="107" t="str">
        <f>IF(DTE_Lifespans_existing!S18=1,Use_case_lifespans!$B18,0)</f>
        <v>Near Earth Robotic - GEO and Near Earth</v>
      </c>
      <c r="T18" s="107" t="str">
        <f>IF(DTE_Lifespans_existing!T18=1,Use_case_lifespans!$B18,0)</f>
        <v>Near Earth Robotic - GEO and Near Earth</v>
      </c>
      <c r="U18" s="107" t="str">
        <f>IF(DTE_Lifespans_existing!U18=1,Use_case_lifespans!$B18,0)</f>
        <v>Near Earth Robotic - GEO and Near Earth</v>
      </c>
      <c r="V18" s="107" t="str">
        <f>IF(DTE_Lifespans_existing!V18=1,Use_case_lifespans!$B18,0)</f>
        <v>Near Earth Robotic - GEO and Near Earth</v>
      </c>
      <c r="W18" s="107" t="str">
        <f>IF(DTE_Lifespans_existing!W18=1,Use_case_lifespans!$B18,0)</f>
        <v>Near Earth Robotic - GEO and Near Earth</v>
      </c>
    </row>
    <row r="19" spans="1:23" x14ac:dyDescent="0.3">
      <c r="A19" s="46" t="s">
        <v>36</v>
      </c>
      <c r="B19" s="47" t="s">
        <v>57</v>
      </c>
      <c r="C19" s="48" t="s">
        <v>89</v>
      </c>
      <c r="D19" s="107" t="str">
        <f>IF(DTE_Lifespans_existing!D19=1,Use_case_lifespans!$B19,0)</f>
        <v>Near Earth Robotic - LEO Science</v>
      </c>
      <c r="E19" s="107" t="str">
        <f>IF(DTE_Lifespans_existing!E19=1,Use_case_lifespans!$B19,0)</f>
        <v>Near Earth Robotic - LEO Science</v>
      </c>
      <c r="F19" s="107" t="str">
        <f>IF(DTE_Lifespans_existing!F19=1,Use_case_lifespans!$B19,0)</f>
        <v>Near Earth Robotic - LEO Science</v>
      </c>
      <c r="G19" s="107" t="str">
        <f>IF(DTE_Lifespans_existing!G19=1,Use_case_lifespans!$B19,0)</f>
        <v>Near Earth Robotic - LEO Science</v>
      </c>
      <c r="H19" s="107" t="str">
        <f>IF(DTE_Lifespans_existing!H19=1,Use_case_lifespans!$B19,0)</f>
        <v>Near Earth Robotic - LEO Science</v>
      </c>
      <c r="I19" s="107" t="str">
        <f>IF(DTE_Lifespans_existing!I19=1,Use_case_lifespans!$B19,0)</f>
        <v>Near Earth Robotic - LEO Science</v>
      </c>
      <c r="J19" s="107" t="str">
        <f>IF(DTE_Lifespans_existing!J19=1,Use_case_lifespans!$B19,0)</f>
        <v>Near Earth Robotic - LEO Science</v>
      </c>
      <c r="K19" s="107" t="str">
        <f>IF(DTE_Lifespans_existing!K19=1,Use_case_lifespans!$B19,0)</f>
        <v>Near Earth Robotic - LEO Science</v>
      </c>
      <c r="L19" s="107" t="str">
        <f>IF(DTE_Lifespans_existing!L19=1,Use_case_lifespans!$B19,0)</f>
        <v>Near Earth Robotic - LEO Science</v>
      </c>
      <c r="M19" s="107" t="str">
        <f>IF(DTE_Lifespans_existing!M19=1,Use_case_lifespans!$B19,0)</f>
        <v>Near Earth Robotic - LEO Science</v>
      </c>
      <c r="N19" s="107" t="str">
        <f>IF(DTE_Lifespans_existing!N19=1,Use_case_lifespans!$B19,0)</f>
        <v>Near Earth Robotic - LEO Science</v>
      </c>
      <c r="O19" s="107" t="str">
        <f>IF(DTE_Lifespans_existing!O19=1,Use_case_lifespans!$B19,0)</f>
        <v>Near Earth Robotic - LEO Science</v>
      </c>
      <c r="P19" s="107" t="str">
        <f>IF(DTE_Lifespans_existing!P19=1,Use_case_lifespans!$B19,0)</f>
        <v>Near Earth Robotic - LEO Science</v>
      </c>
      <c r="Q19" s="107" t="str">
        <f>IF(DTE_Lifespans_existing!Q19=1,Use_case_lifespans!$B19,0)</f>
        <v>Near Earth Robotic - LEO Science</v>
      </c>
      <c r="R19" s="107" t="str">
        <f>IF(DTE_Lifespans_existing!R19=1,Use_case_lifespans!$B19,0)</f>
        <v>Near Earth Robotic - LEO Science</v>
      </c>
      <c r="S19" s="107" t="str">
        <f>IF(DTE_Lifespans_existing!S19=1,Use_case_lifespans!$B19,0)</f>
        <v>Near Earth Robotic - LEO Science</v>
      </c>
      <c r="T19" s="107" t="str">
        <f>IF(DTE_Lifespans_existing!T19=1,Use_case_lifespans!$B19,0)</f>
        <v>Near Earth Robotic - LEO Science</v>
      </c>
      <c r="U19" s="107" t="str">
        <f>IF(DTE_Lifespans_existing!U19=1,Use_case_lifespans!$B19,0)</f>
        <v>Near Earth Robotic - LEO Science</v>
      </c>
      <c r="V19" s="107" t="str">
        <f>IF(DTE_Lifespans_existing!V19=1,Use_case_lifespans!$B19,0)</f>
        <v>Near Earth Robotic - LEO Science</v>
      </c>
      <c r="W19" s="107" t="str">
        <f>IF(DTE_Lifespans_existing!W19=1,Use_case_lifespans!$B19,0)</f>
        <v>Near Earth Robotic - LEO Science</v>
      </c>
    </row>
    <row r="20" spans="1:23" x14ac:dyDescent="0.3">
      <c r="A20" s="46" t="s">
        <v>37</v>
      </c>
      <c r="B20" s="47" t="s">
        <v>57</v>
      </c>
      <c r="C20" s="48" t="s">
        <v>89</v>
      </c>
      <c r="D20" s="107" t="str">
        <f>IF(DTE_Lifespans_existing!D20=1,Use_case_lifespans!$B20,0)</f>
        <v>Near Earth Robotic - LEO Science</v>
      </c>
      <c r="E20" s="107" t="str">
        <f>IF(DTE_Lifespans_existing!E20=1,Use_case_lifespans!$B20,0)</f>
        <v>Near Earth Robotic - LEO Science</v>
      </c>
      <c r="F20" s="107" t="str">
        <f>IF(DTE_Lifespans_existing!F20=1,Use_case_lifespans!$B20,0)</f>
        <v>Near Earth Robotic - LEO Science</v>
      </c>
      <c r="G20" s="107" t="str">
        <f>IF(DTE_Lifespans_existing!G20=1,Use_case_lifespans!$B20,0)</f>
        <v>Near Earth Robotic - LEO Science</v>
      </c>
      <c r="H20" s="107" t="str">
        <f>IF(DTE_Lifespans_existing!H20=1,Use_case_lifespans!$B20,0)</f>
        <v>Near Earth Robotic - LEO Science</v>
      </c>
      <c r="I20" s="107">
        <f>IF(DTE_Lifespans_existing!I20=1,Use_case_lifespans!$B20,0)</f>
        <v>0</v>
      </c>
      <c r="J20" s="107">
        <f>IF(DTE_Lifespans_existing!J20=1,Use_case_lifespans!$B20,0)</f>
        <v>0</v>
      </c>
      <c r="K20" s="107">
        <f>IF(DTE_Lifespans_existing!K20=1,Use_case_lifespans!$B20,0)</f>
        <v>0</v>
      </c>
      <c r="L20" s="107">
        <f>IF(DTE_Lifespans_existing!L20=1,Use_case_lifespans!$B20,0)</f>
        <v>0</v>
      </c>
      <c r="M20" s="107">
        <f>IF(DTE_Lifespans_existing!M20=1,Use_case_lifespans!$B20,0)</f>
        <v>0</v>
      </c>
      <c r="N20" s="107">
        <f>IF(DTE_Lifespans_existing!N20=1,Use_case_lifespans!$B20,0)</f>
        <v>0</v>
      </c>
      <c r="O20" s="107">
        <f>IF(DTE_Lifespans_existing!O20=1,Use_case_lifespans!$B20,0)</f>
        <v>0</v>
      </c>
      <c r="P20" s="107">
        <f>IF(DTE_Lifespans_existing!P20=1,Use_case_lifespans!$B20,0)</f>
        <v>0</v>
      </c>
      <c r="Q20" s="107">
        <f>IF(DTE_Lifespans_existing!Q20=1,Use_case_lifespans!$B20,0)</f>
        <v>0</v>
      </c>
      <c r="R20" s="107">
        <f>IF(DTE_Lifespans_existing!R20=1,Use_case_lifespans!$B20,0)</f>
        <v>0</v>
      </c>
      <c r="S20" s="107">
        <f>IF(DTE_Lifespans_existing!S20=1,Use_case_lifespans!$B20,0)</f>
        <v>0</v>
      </c>
      <c r="T20" s="107">
        <f>IF(DTE_Lifespans_existing!T20=1,Use_case_lifespans!$B20,0)</f>
        <v>0</v>
      </c>
      <c r="U20" s="107">
        <f>IF(DTE_Lifespans_existing!U20=1,Use_case_lifespans!$B20,0)</f>
        <v>0</v>
      </c>
      <c r="V20" s="107">
        <f>IF(DTE_Lifespans_existing!V20=1,Use_case_lifespans!$B20,0)</f>
        <v>0</v>
      </c>
      <c r="W20" s="107">
        <f>IF(DTE_Lifespans_existing!W20=1,Use_case_lifespans!$B20,0)</f>
        <v>0</v>
      </c>
    </row>
    <row r="21" spans="1:23" x14ac:dyDescent="0.3">
      <c r="A21" s="46" t="s">
        <v>40</v>
      </c>
      <c r="B21" s="60" t="s">
        <v>58</v>
      </c>
      <c r="C21" s="48"/>
      <c r="D21" s="107">
        <f>IF(DTE_Lifespans_existing!D21=1,Use_case_lifespans!$B21,0)</f>
        <v>0</v>
      </c>
      <c r="E21" s="107">
        <f>IF(DTE_Lifespans_existing!E21=1,Use_case_lifespans!$B21,0)</f>
        <v>0</v>
      </c>
      <c r="F21" s="107">
        <f>IF(DTE_Lifespans_existing!F21=1,Use_case_lifespans!$B21,0)</f>
        <v>0</v>
      </c>
      <c r="G21" s="107">
        <f>IF(DTE_Lifespans_existing!G21=1,Use_case_lifespans!$B21,0)</f>
        <v>0</v>
      </c>
      <c r="H21" s="107">
        <f>IF(DTE_Lifespans_existing!H21=1,Use_case_lifespans!$B21,0)</f>
        <v>0</v>
      </c>
      <c r="I21" s="107">
        <f>IF(DTE_Lifespans_existing!I21=1,Use_case_lifespans!$B21,0)</f>
        <v>0</v>
      </c>
      <c r="J21" s="107">
        <f>IF(DTE_Lifespans_existing!J21=1,Use_case_lifespans!$B21,0)</f>
        <v>0</v>
      </c>
      <c r="K21" s="107">
        <f>IF(DTE_Lifespans_existing!K21=1,Use_case_lifespans!$B21,0)</f>
        <v>0</v>
      </c>
      <c r="L21" s="107">
        <f>IF(DTE_Lifespans_existing!L21=1,Use_case_lifespans!$B21,0)</f>
        <v>0</v>
      </c>
      <c r="M21" s="107">
        <f>IF(DTE_Lifespans_existing!M21=1,Use_case_lifespans!$B21,0)</f>
        <v>0</v>
      </c>
      <c r="N21" s="107">
        <f>IF(DTE_Lifespans_existing!N21=1,Use_case_lifespans!$B21,0)</f>
        <v>0</v>
      </c>
      <c r="O21" s="107">
        <f>IF(DTE_Lifespans_existing!O21=1,Use_case_lifespans!$B21,0)</f>
        <v>0</v>
      </c>
      <c r="P21" s="107">
        <f>IF(DTE_Lifespans_existing!P21=1,Use_case_lifespans!$B21,0)</f>
        <v>0</v>
      </c>
      <c r="Q21" s="107">
        <f>IF(DTE_Lifespans_existing!Q21=1,Use_case_lifespans!$B21,0)</f>
        <v>0</v>
      </c>
      <c r="R21" s="107">
        <f>IF(DTE_Lifespans_existing!R21=1,Use_case_lifespans!$B21,0)</f>
        <v>0</v>
      </c>
      <c r="S21" s="107">
        <f>IF(DTE_Lifespans_existing!S21=1,Use_case_lifespans!$B21,0)</f>
        <v>0</v>
      </c>
      <c r="T21" s="107">
        <f>IF(DTE_Lifespans_existing!T21=1,Use_case_lifespans!$B21,0)</f>
        <v>0</v>
      </c>
      <c r="U21" s="107">
        <f>IF(DTE_Lifespans_existing!U21=1,Use_case_lifespans!$B21,0)</f>
        <v>0</v>
      </c>
      <c r="V21" s="107">
        <f>IF(DTE_Lifespans_existing!V21=1,Use_case_lifespans!$B21,0)</f>
        <v>0</v>
      </c>
      <c r="W21" s="107">
        <f>IF(DTE_Lifespans_existing!W21=1,Use_case_lifespans!$B21,0)</f>
        <v>0</v>
      </c>
    </row>
    <row r="22" spans="1:23" x14ac:dyDescent="0.3">
      <c r="A22" s="46" t="s">
        <v>73</v>
      </c>
      <c r="B22" s="47" t="s">
        <v>57</v>
      </c>
      <c r="C22" s="48"/>
      <c r="D22" s="107" t="str">
        <f>IF(DTE_Lifespans_existing!D22=1,Use_case_lifespans!$B22,0)</f>
        <v>Near Earth Robotic - LEO Science</v>
      </c>
      <c r="E22" s="107" t="str">
        <f>IF(DTE_Lifespans_existing!E22=1,Use_case_lifespans!$B22,0)</f>
        <v>Near Earth Robotic - LEO Science</v>
      </c>
      <c r="F22" s="107" t="str">
        <f>IF(DTE_Lifespans_existing!F22=1,Use_case_lifespans!$B22,0)</f>
        <v>Near Earth Robotic - LEO Science</v>
      </c>
      <c r="G22" s="107" t="str">
        <f>IF(DTE_Lifespans_existing!G22=1,Use_case_lifespans!$B22,0)</f>
        <v>Near Earth Robotic - LEO Science</v>
      </c>
      <c r="H22" s="107" t="str">
        <f>IF(DTE_Lifespans_existing!H22=1,Use_case_lifespans!$B22,0)</f>
        <v>Near Earth Robotic - LEO Science</v>
      </c>
      <c r="I22" s="107">
        <f>IF(DTE_Lifespans_existing!I22=1,Use_case_lifespans!$B22,0)</f>
        <v>0</v>
      </c>
      <c r="J22" s="107">
        <f>IF(DTE_Lifespans_existing!J22=1,Use_case_lifespans!$B22,0)</f>
        <v>0</v>
      </c>
      <c r="K22" s="107">
        <f>IF(DTE_Lifespans_existing!K22=1,Use_case_lifespans!$B22,0)</f>
        <v>0</v>
      </c>
      <c r="L22" s="107">
        <f>IF(DTE_Lifespans_existing!L22=1,Use_case_lifespans!$B22,0)</f>
        <v>0</v>
      </c>
      <c r="M22" s="107">
        <f>IF(DTE_Lifespans_existing!M22=1,Use_case_lifespans!$B22,0)</f>
        <v>0</v>
      </c>
      <c r="N22" s="107">
        <f>IF(DTE_Lifespans_existing!N22=1,Use_case_lifespans!$B22,0)</f>
        <v>0</v>
      </c>
      <c r="O22" s="107">
        <f>IF(DTE_Lifespans_existing!O22=1,Use_case_lifespans!$B22,0)</f>
        <v>0</v>
      </c>
      <c r="P22" s="107">
        <f>IF(DTE_Lifespans_existing!P22=1,Use_case_lifespans!$B22,0)</f>
        <v>0</v>
      </c>
      <c r="Q22" s="107">
        <f>IF(DTE_Lifespans_existing!Q22=1,Use_case_lifespans!$B22,0)</f>
        <v>0</v>
      </c>
      <c r="R22" s="107">
        <f>IF(DTE_Lifespans_existing!R22=1,Use_case_lifespans!$B22,0)</f>
        <v>0</v>
      </c>
      <c r="S22" s="107">
        <f>IF(DTE_Lifespans_existing!S22=1,Use_case_lifespans!$B22,0)</f>
        <v>0</v>
      </c>
      <c r="T22" s="107">
        <f>IF(DTE_Lifespans_existing!T22=1,Use_case_lifespans!$B22,0)</f>
        <v>0</v>
      </c>
      <c r="U22" s="107">
        <f>IF(DTE_Lifespans_existing!U22=1,Use_case_lifespans!$B22,0)</f>
        <v>0</v>
      </c>
      <c r="V22" s="107">
        <f>IF(DTE_Lifespans_existing!V22=1,Use_case_lifespans!$B22,0)</f>
        <v>0</v>
      </c>
      <c r="W22" s="107">
        <f>IF(DTE_Lifespans_existing!W22=1,Use_case_lifespans!$B22,0)</f>
        <v>0</v>
      </c>
    </row>
    <row r="23" spans="1:23" x14ac:dyDescent="0.3">
      <c r="A23" s="46" t="s">
        <v>38</v>
      </c>
      <c r="B23" s="47" t="s">
        <v>57</v>
      </c>
      <c r="C23" s="48" t="s">
        <v>89</v>
      </c>
      <c r="D23" s="107" t="str">
        <f>IF(DTE_Lifespans_existing!D23=1,Use_case_lifespans!$B23,0)</f>
        <v>Near Earth Robotic - LEO Science</v>
      </c>
      <c r="E23" s="107" t="str">
        <f>IF(DTE_Lifespans_existing!E23=1,Use_case_lifespans!$B23,0)</f>
        <v>Near Earth Robotic - LEO Science</v>
      </c>
      <c r="F23" s="107" t="str">
        <f>IF(DTE_Lifespans_existing!F23=1,Use_case_lifespans!$B23,0)</f>
        <v>Near Earth Robotic - LEO Science</v>
      </c>
      <c r="G23" s="107" t="str">
        <f>IF(DTE_Lifespans_existing!G23=1,Use_case_lifespans!$B23,0)</f>
        <v>Near Earth Robotic - LEO Science</v>
      </c>
      <c r="H23" s="107">
        <f>IF(DTE_Lifespans_existing!H23=1,Use_case_lifespans!$B23,0)</f>
        <v>0</v>
      </c>
      <c r="I23" s="107">
        <f>IF(DTE_Lifespans_existing!I23=1,Use_case_lifespans!$B23,0)</f>
        <v>0</v>
      </c>
      <c r="J23" s="107">
        <f>IF(DTE_Lifespans_existing!J23=1,Use_case_lifespans!$B23,0)</f>
        <v>0</v>
      </c>
      <c r="K23" s="107">
        <f>IF(DTE_Lifespans_existing!K23=1,Use_case_lifespans!$B23,0)</f>
        <v>0</v>
      </c>
      <c r="L23" s="107">
        <f>IF(DTE_Lifespans_existing!L23=1,Use_case_lifespans!$B23,0)</f>
        <v>0</v>
      </c>
      <c r="M23" s="107">
        <f>IF(DTE_Lifespans_existing!M23=1,Use_case_lifespans!$B23,0)</f>
        <v>0</v>
      </c>
      <c r="N23" s="107">
        <f>IF(DTE_Lifespans_existing!N23=1,Use_case_lifespans!$B23,0)</f>
        <v>0</v>
      </c>
      <c r="O23" s="107">
        <f>IF(DTE_Lifespans_existing!O23=1,Use_case_lifespans!$B23,0)</f>
        <v>0</v>
      </c>
      <c r="P23" s="107">
        <f>IF(DTE_Lifespans_existing!P23=1,Use_case_lifespans!$B23,0)</f>
        <v>0</v>
      </c>
      <c r="Q23" s="107">
        <f>IF(DTE_Lifespans_existing!Q23=1,Use_case_lifespans!$B23,0)</f>
        <v>0</v>
      </c>
      <c r="R23" s="107">
        <f>IF(DTE_Lifespans_existing!R23=1,Use_case_lifespans!$B23,0)</f>
        <v>0</v>
      </c>
      <c r="S23" s="107">
        <f>IF(DTE_Lifespans_existing!S23=1,Use_case_lifespans!$B23,0)</f>
        <v>0</v>
      </c>
      <c r="T23" s="107">
        <f>IF(DTE_Lifespans_existing!T23=1,Use_case_lifespans!$B23,0)</f>
        <v>0</v>
      </c>
      <c r="U23" s="107">
        <f>IF(DTE_Lifespans_existing!U23=1,Use_case_lifespans!$B23,0)</f>
        <v>0</v>
      </c>
      <c r="V23" s="107">
        <f>IF(DTE_Lifespans_existing!V23=1,Use_case_lifespans!$B23,0)</f>
        <v>0</v>
      </c>
      <c r="W23" s="107">
        <f>IF(DTE_Lifespans_existing!W23=1,Use_case_lifespans!$B23,0)</f>
        <v>0</v>
      </c>
    </row>
    <row r="24" spans="1:23" x14ac:dyDescent="0.3">
      <c r="A24" s="46" t="s">
        <v>39</v>
      </c>
      <c r="B24" s="54" t="s">
        <v>59</v>
      </c>
      <c r="C24" s="48" t="s">
        <v>89</v>
      </c>
      <c r="D24" s="107" t="str">
        <f>IF(DTE_Lifespans_existing!D24=1,Use_case_lifespans!$B24,0)</f>
        <v>Human Space Flight</v>
      </c>
      <c r="E24" s="107" t="str">
        <f>IF(DTE_Lifespans_existing!E24=1,Use_case_lifespans!$B24,0)</f>
        <v>Human Space Flight</v>
      </c>
      <c r="F24" s="107" t="str">
        <f>IF(DTE_Lifespans_existing!F24=1,Use_case_lifespans!$B24,0)</f>
        <v>Human Space Flight</v>
      </c>
      <c r="G24" s="107" t="str">
        <f>IF(DTE_Lifespans_existing!G24=1,Use_case_lifespans!$B24,0)</f>
        <v>Human Space Flight</v>
      </c>
      <c r="H24" s="107" t="str">
        <f>IF(DTE_Lifespans_existing!H24=1,Use_case_lifespans!$B24,0)</f>
        <v>Human Space Flight</v>
      </c>
      <c r="I24" s="107" t="str">
        <f>IF(DTE_Lifespans_existing!I24=1,Use_case_lifespans!$B24,0)</f>
        <v>Human Space Flight</v>
      </c>
      <c r="J24" s="107" t="str">
        <f>IF(DTE_Lifespans_existing!J24=1,Use_case_lifespans!$B24,0)</f>
        <v>Human Space Flight</v>
      </c>
      <c r="K24" s="107" t="str">
        <f>IF(DTE_Lifespans_existing!K24=1,Use_case_lifespans!$B24,0)</f>
        <v>Human Space Flight</v>
      </c>
      <c r="L24" s="107" t="str">
        <f>IF(DTE_Lifespans_existing!L24=1,Use_case_lifespans!$B24,0)</f>
        <v>Human Space Flight</v>
      </c>
      <c r="M24" s="107" t="str">
        <f>IF(DTE_Lifespans_existing!M24=1,Use_case_lifespans!$B24,0)</f>
        <v>Human Space Flight</v>
      </c>
      <c r="N24" s="107">
        <f>IF(DTE_Lifespans_existing!N24=1,Use_case_lifespans!$B24,0)</f>
        <v>0</v>
      </c>
      <c r="O24" s="107">
        <f>IF(DTE_Lifespans_existing!O24=1,Use_case_lifespans!$B24,0)</f>
        <v>0</v>
      </c>
      <c r="P24" s="107">
        <f>IF(DTE_Lifespans_existing!P24=1,Use_case_lifespans!$B24,0)</f>
        <v>0</v>
      </c>
      <c r="Q24" s="107">
        <f>IF(DTE_Lifespans_existing!Q24=1,Use_case_lifespans!$B24,0)</f>
        <v>0</v>
      </c>
      <c r="R24" s="107">
        <f>IF(DTE_Lifespans_existing!R24=1,Use_case_lifespans!$B24,0)</f>
        <v>0</v>
      </c>
      <c r="S24" s="107">
        <f>IF(DTE_Lifespans_existing!S24=1,Use_case_lifespans!$B24,0)</f>
        <v>0</v>
      </c>
      <c r="T24" s="107">
        <f>IF(DTE_Lifespans_existing!T24=1,Use_case_lifespans!$B24,0)</f>
        <v>0</v>
      </c>
      <c r="U24" s="107">
        <f>IF(DTE_Lifespans_existing!U24=1,Use_case_lifespans!$B24,0)</f>
        <v>0</v>
      </c>
      <c r="V24" s="107">
        <f>IF(DTE_Lifespans_existing!V24=1,Use_case_lifespans!$B24,0)</f>
        <v>0</v>
      </c>
      <c r="W24" s="107">
        <f>IF(DTE_Lifespans_existing!W24=1,Use_case_lifespans!$B24,0)</f>
        <v>0</v>
      </c>
    </row>
    <row r="25" spans="1:23" x14ac:dyDescent="0.3">
      <c r="A25" s="46" t="s">
        <v>41</v>
      </c>
      <c r="B25" s="47" t="s">
        <v>60</v>
      </c>
      <c r="C25" s="48"/>
      <c r="D25" s="107" t="str">
        <f>IF(DTE_Lifespans_existing!D25=1,Use_case_lifespans!$B25,0)</f>
        <v>Near Earth Robotic - Low Latency &amp; Complex Needs</v>
      </c>
      <c r="E25" s="107" t="str">
        <f>IF(DTE_Lifespans_existing!E25=1,Use_case_lifespans!$B25,0)</f>
        <v>Near Earth Robotic - Low Latency &amp; Complex Needs</v>
      </c>
      <c r="F25" s="107" t="str">
        <f>IF(DTE_Lifespans_existing!F25=1,Use_case_lifespans!$B25,0)</f>
        <v>Near Earth Robotic - Low Latency &amp; Complex Needs</v>
      </c>
      <c r="G25" s="107" t="str">
        <f>IF(DTE_Lifespans_existing!G25=1,Use_case_lifespans!$B25,0)</f>
        <v>Near Earth Robotic - Low Latency &amp; Complex Needs</v>
      </c>
      <c r="H25" s="107">
        <f>IF(DTE_Lifespans_existing!H25=1,Use_case_lifespans!$B25,0)</f>
        <v>0</v>
      </c>
      <c r="I25" s="107">
        <f>IF(DTE_Lifespans_existing!I25=1,Use_case_lifespans!$B25,0)</f>
        <v>0</v>
      </c>
      <c r="J25" s="107">
        <f>IF(DTE_Lifespans_existing!J25=1,Use_case_lifespans!$B25,0)</f>
        <v>0</v>
      </c>
      <c r="K25" s="107">
        <f>IF(DTE_Lifespans_existing!K25=1,Use_case_lifespans!$B25,0)</f>
        <v>0</v>
      </c>
      <c r="L25" s="107">
        <f>IF(DTE_Lifespans_existing!L25=1,Use_case_lifespans!$B25,0)</f>
        <v>0</v>
      </c>
      <c r="M25" s="107">
        <f>IF(DTE_Lifespans_existing!M25=1,Use_case_lifespans!$B25,0)</f>
        <v>0</v>
      </c>
      <c r="N25" s="107">
        <f>IF(DTE_Lifespans_existing!N25=1,Use_case_lifespans!$B25,0)</f>
        <v>0</v>
      </c>
      <c r="O25" s="107">
        <f>IF(DTE_Lifespans_existing!O25=1,Use_case_lifespans!$B25,0)</f>
        <v>0</v>
      </c>
      <c r="P25" s="107">
        <f>IF(DTE_Lifespans_existing!P25=1,Use_case_lifespans!$B25,0)</f>
        <v>0</v>
      </c>
      <c r="Q25" s="107">
        <f>IF(DTE_Lifespans_existing!Q25=1,Use_case_lifespans!$B25,0)</f>
        <v>0</v>
      </c>
      <c r="R25" s="107">
        <f>IF(DTE_Lifespans_existing!R25=1,Use_case_lifespans!$B25,0)</f>
        <v>0</v>
      </c>
      <c r="S25" s="107">
        <f>IF(DTE_Lifespans_existing!S25=1,Use_case_lifespans!$B25,0)</f>
        <v>0</v>
      </c>
      <c r="T25" s="107">
        <f>IF(DTE_Lifespans_existing!T25=1,Use_case_lifespans!$B25,0)</f>
        <v>0</v>
      </c>
      <c r="U25" s="107">
        <f>IF(DTE_Lifespans_existing!U25=1,Use_case_lifespans!$B25,0)</f>
        <v>0</v>
      </c>
      <c r="V25" s="107">
        <f>IF(DTE_Lifespans_existing!V25=1,Use_case_lifespans!$B25,0)</f>
        <v>0</v>
      </c>
      <c r="W25" s="107">
        <f>IF(DTE_Lifespans_existing!W25=1,Use_case_lifespans!$B25,0)</f>
        <v>0</v>
      </c>
    </row>
    <row r="26" spans="1:23" x14ac:dyDescent="0.3">
      <c r="A26" s="46" t="s">
        <v>74</v>
      </c>
      <c r="B26" s="47" t="s">
        <v>57</v>
      </c>
      <c r="C26" s="48"/>
      <c r="D26" s="107" t="str">
        <f>IF(DTE_Lifespans_existing!D26=1,Use_case_lifespans!$B26,0)</f>
        <v>Near Earth Robotic - LEO Science</v>
      </c>
      <c r="E26" s="107">
        <f>IF(DTE_Lifespans_existing!E26=1,Use_case_lifespans!$B26,0)</f>
        <v>0</v>
      </c>
      <c r="F26" s="107">
        <f>IF(DTE_Lifespans_existing!F26=1,Use_case_lifespans!$B26,0)</f>
        <v>0</v>
      </c>
      <c r="G26" s="107">
        <f>IF(DTE_Lifespans_existing!G26=1,Use_case_lifespans!$B26,0)</f>
        <v>0</v>
      </c>
      <c r="H26" s="107">
        <f>IF(DTE_Lifespans_existing!H26=1,Use_case_lifespans!$B26,0)</f>
        <v>0</v>
      </c>
      <c r="I26" s="107">
        <f>IF(DTE_Lifespans_existing!I26=1,Use_case_lifespans!$B26,0)</f>
        <v>0</v>
      </c>
      <c r="J26" s="107">
        <f>IF(DTE_Lifespans_existing!J26=1,Use_case_lifespans!$B26,0)</f>
        <v>0</v>
      </c>
      <c r="K26" s="107">
        <f>IF(DTE_Lifespans_existing!K26=1,Use_case_lifespans!$B26,0)</f>
        <v>0</v>
      </c>
      <c r="L26" s="107">
        <f>IF(DTE_Lifespans_existing!L26=1,Use_case_lifespans!$B26,0)</f>
        <v>0</v>
      </c>
      <c r="M26" s="107">
        <f>IF(DTE_Lifespans_existing!M26=1,Use_case_lifespans!$B26,0)</f>
        <v>0</v>
      </c>
      <c r="N26" s="107">
        <f>IF(DTE_Lifespans_existing!N26=1,Use_case_lifespans!$B26,0)</f>
        <v>0</v>
      </c>
      <c r="O26" s="107">
        <f>IF(DTE_Lifespans_existing!O26=1,Use_case_lifespans!$B26,0)</f>
        <v>0</v>
      </c>
      <c r="P26" s="107">
        <f>IF(DTE_Lifespans_existing!P26=1,Use_case_lifespans!$B26,0)</f>
        <v>0</v>
      </c>
      <c r="Q26" s="107">
        <f>IF(DTE_Lifespans_existing!Q26=1,Use_case_lifespans!$B26,0)</f>
        <v>0</v>
      </c>
      <c r="R26" s="107">
        <f>IF(DTE_Lifespans_existing!R26=1,Use_case_lifespans!$B26,0)</f>
        <v>0</v>
      </c>
      <c r="S26" s="107">
        <f>IF(DTE_Lifespans_existing!S26=1,Use_case_lifespans!$B26,0)</f>
        <v>0</v>
      </c>
      <c r="T26" s="107">
        <f>IF(DTE_Lifespans_existing!T26=1,Use_case_lifespans!$B26,0)</f>
        <v>0</v>
      </c>
      <c r="U26" s="107">
        <f>IF(DTE_Lifespans_existing!U26=1,Use_case_lifespans!$B26,0)</f>
        <v>0</v>
      </c>
      <c r="V26" s="107">
        <f>IF(DTE_Lifespans_existing!V26=1,Use_case_lifespans!$B26,0)</f>
        <v>0</v>
      </c>
      <c r="W26" s="107">
        <f>IF(DTE_Lifespans_existing!W26=1,Use_case_lifespans!$B26,0)</f>
        <v>0</v>
      </c>
    </row>
    <row r="27" spans="1:23" x14ac:dyDescent="0.3">
      <c r="A27" s="46" t="s">
        <v>75</v>
      </c>
      <c r="B27" s="47" t="s">
        <v>57</v>
      </c>
      <c r="C27" s="48"/>
      <c r="D27" s="107" t="str">
        <f>IF(DTE_Lifespans_existing!D27=1,Use_case_lifespans!$B27,0)</f>
        <v>Near Earth Robotic - LEO Science</v>
      </c>
      <c r="E27" s="107" t="str">
        <f>IF(DTE_Lifespans_existing!E27=1,Use_case_lifespans!$B27,0)</f>
        <v>Near Earth Robotic - LEO Science</v>
      </c>
      <c r="F27" s="107" t="str">
        <f>IF(DTE_Lifespans_existing!F27=1,Use_case_lifespans!$B27,0)</f>
        <v>Near Earth Robotic - LEO Science</v>
      </c>
      <c r="G27" s="107">
        <f>IF(DTE_Lifespans_existing!G27=1,Use_case_lifespans!$B27,0)</f>
        <v>0</v>
      </c>
      <c r="H27" s="107">
        <f>IF(DTE_Lifespans_existing!H27=1,Use_case_lifespans!$B27,0)</f>
        <v>0</v>
      </c>
      <c r="I27" s="107">
        <f>IF(DTE_Lifespans_existing!I27=1,Use_case_lifespans!$B27,0)</f>
        <v>0</v>
      </c>
      <c r="J27" s="107">
        <f>IF(DTE_Lifespans_existing!J27=1,Use_case_lifespans!$B27,0)</f>
        <v>0</v>
      </c>
      <c r="K27" s="107">
        <f>IF(DTE_Lifespans_existing!K27=1,Use_case_lifespans!$B27,0)</f>
        <v>0</v>
      </c>
      <c r="L27" s="107">
        <f>IF(DTE_Lifespans_existing!L27=1,Use_case_lifespans!$B27,0)</f>
        <v>0</v>
      </c>
      <c r="M27" s="107">
        <f>IF(DTE_Lifespans_existing!M27=1,Use_case_lifespans!$B27,0)</f>
        <v>0</v>
      </c>
      <c r="N27" s="107">
        <f>IF(DTE_Lifespans_existing!N27=1,Use_case_lifespans!$B27,0)</f>
        <v>0</v>
      </c>
      <c r="O27" s="107">
        <f>IF(DTE_Lifespans_existing!O27=1,Use_case_lifespans!$B27,0)</f>
        <v>0</v>
      </c>
      <c r="P27" s="107">
        <f>IF(DTE_Lifespans_existing!P27=1,Use_case_lifespans!$B27,0)</f>
        <v>0</v>
      </c>
      <c r="Q27" s="107">
        <f>IF(DTE_Lifespans_existing!Q27=1,Use_case_lifespans!$B27,0)</f>
        <v>0</v>
      </c>
      <c r="R27" s="107">
        <f>IF(DTE_Lifespans_existing!R27=1,Use_case_lifespans!$B27,0)</f>
        <v>0</v>
      </c>
      <c r="S27" s="107">
        <f>IF(DTE_Lifespans_existing!S27=1,Use_case_lifespans!$B27,0)</f>
        <v>0</v>
      </c>
      <c r="T27" s="107">
        <f>IF(DTE_Lifespans_existing!T27=1,Use_case_lifespans!$B27,0)</f>
        <v>0</v>
      </c>
      <c r="U27" s="107">
        <f>IF(DTE_Lifespans_existing!U27=1,Use_case_lifespans!$B27,0)</f>
        <v>0</v>
      </c>
      <c r="V27" s="107">
        <f>IF(DTE_Lifespans_existing!V27=1,Use_case_lifespans!$B27,0)</f>
        <v>0</v>
      </c>
      <c r="W27" s="107">
        <f>IF(DTE_Lifespans_existing!W27=1,Use_case_lifespans!$B27,0)</f>
        <v>0</v>
      </c>
    </row>
    <row r="28" spans="1:23" x14ac:dyDescent="0.3">
      <c r="A28" s="46" t="s">
        <v>76</v>
      </c>
      <c r="B28" s="47" t="s">
        <v>57</v>
      </c>
      <c r="C28" s="48"/>
      <c r="D28" s="107" t="str">
        <f>IF(DTE_Lifespans_existing!D28=1,Use_case_lifespans!$B28,0)</f>
        <v>Near Earth Robotic - LEO Science</v>
      </c>
      <c r="E28" s="107" t="str">
        <f>IF(DTE_Lifespans_existing!E28=1,Use_case_lifespans!$B28,0)</f>
        <v>Near Earth Robotic - LEO Science</v>
      </c>
      <c r="F28" s="107" t="str">
        <f>IF(DTE_Lifespans_existing!F28=1,Use_case_lifespans!$B28,0)</f>
        <v>Near Earth Robotic - LEO Science</v>
      </c>
      <c r="G28" s="107" t="str">
        <f>IF(DTE_Lifespans_existing!G28=1,Use_case_lifespans!$B28,0)</f>
        <v>Near Earth Robotic - LEO Science</v>
      </c>
      <c r="H28" s="107" t="str">
        <f>IF(DTE_Lifespans_existing!H28=1,Use_case_lifespans!$B28,0)</f>
        <v>Near Earth Robotic - LEO Science</v>
      </c>
      <c r="I28" s="107" t="str">
        <f>IF(DTE_Lifespans_existing!I28=1,Use_case_lifespans!$B28,0)</f>
        <v>Near Earth Robotic - LEO Science</v>
      </c>
      <c r="J28" s="107">
        <f>IF(DTE_Lifespans_existing!J28=1,Use_case_lifespans!$B28,0)</f>
        <v>0</v>
      </c>
      <c r="K28" s="107">
        <f>IF(DTE_Lifespans_existing!K28=1,Use_case_lifespans!$B28,0)</f>
        <v>0</v>
      </c>
      <c r="L28" s="107">
        <f>IF(DTE_Lifespans_existing!L28=1,Use_case_lifespans!$B28,0)</f>
        <v>0</v>
      </c>
      <c r="M28" s="107">
        <f>IF(DTE_Lifespans_existing!M28=1,Use_case_lifespans!$B28,0)</f>
        <v>0</v>
      </c>
      <c r="N28" s="107">
        <f>IF(DTE_Lifespans_existing!N28=1,Use_case_lifespans!$B28,0)</f>
        <v>0</v>
      </c>
      <c r="O28" s="107">
        <f>IF(DTE_Lifespans_existing!O28=1,Use_case_lifespans!$B28,0)</f>
        <v>0</v>
      </c>
      <c r="P28" s="107">
        <f>IF(DTE_Lifespans_existing!P28=1,Use_case_lifespans!$B28,0)</f>
        <v>0</v>
      </c>
      <c r="Q28" s="107">
        <f>IF(DTE_Lifespans_existing!Q28=1,Use_case_lifespans!$B28,0)</f>
        <v>0</v>
      </c>
      <c r="R28" s="107">
        <f>IF(DTE_Lifespans_existing!R28=1,Use_case_lifespans!$B28,0)</f>
        <v>0</v>
      </c>
      <c r="S28" s="107">
        <f>IF(DTE_Lifespans_existing!S28=1,Use_case_lifespans!$B28,0)</f>
        <v>0</v>
      </c>
      <c r="T28" s="107">
        <f>IF(DTE_Lifespans_existing!T28=1,Use_case_lifespans!$B28,0)</f>
        <v>0</v>
      </c>
      <c r="U28" s="107">
        <f>IF(DTE_Lifespans_existing!U28=1,Use_case_lifespans!$B28,0)</f>
        <v>0</v>
      </c>
      <c r="V28" s="107">
        <f>IF(DTE_Lifespans_existing!V28=1,Use_case_lifespans!$B28,0)</f>
        <v>0</v>
      </c>
      <c r="W28" s="107">
        <f>IF(DTE_Lifespans_existing!W28=1,Use_case_lifespans!$B28,0)</f>
        <v>0</v>
      </c>
    </row>
    <row r="29" spans="1:23" x14ac:dyDescent="0.3">
      <c r="A29" s="46" t="s">
        <v>42</v>
      </c>
      <c r="B29" s="54" t="s">
        <v>61</v>
      </c>
      <c r="C29" s="48"/>
      <c r="D29" s="107" t="str">
        <f>IF(DTE_Lifespans_existing!D29=1,Use_case_lifespans!$B29,0)</f>
        <v>Terrestrial &amp; Aerial</v>
      </c>
      <c r="E29" s="107" t="str">
        <f>IF(DTE_Lifespans_existing!E29=1,Use_case_lifespans!$B29,0)</f>
        <v>Terrestrial &amp; Aerial</v>
      </c>
      <c r="F29" s="107" t="str">
        <f>IF(DTE_Lifespans_existing!F29=1,Use_case_lifespans!$B29,0)</f>
        <v>Terrestrial &amp; Aerial</v>
      </c>
      <c r="G29" s="107" t="str">
        <f>IF(DTE_Lifespans_existing!G29=1,Use_case_lifespans!$B29,0)</f>
        <v>Terrestrial &amp; Aerial</v>
      </c>
      <c r="H29" s="107" t="str">
        <f>IF(DTE_Lifespans_existing!H29=1,Use_case_lifespans!$B29,0)</f>
        <v>Terrestrial &amp; Aerial</v>
      </c>
      <c r="I29" s="107" t="str">
        <f>IF(DTE_Lifespans_existing!I29=1,Use_case_lifespans!$B29,0)</f>
        <v>Terrestrial &amp; Aerial</v>
      </c>
      <c r="J29" s="107" t="str">
        <f>IF(DTE_Lifespans_existing!J29=1,Use_case_lifespans!$B29,0)</f>
        <v>Terrestrial &amp; Aerial</v>
      </c>
      <c r="K29" s="107" t="str">
        <f>IF(DTE_Lifespans_existing!K29=1,Use_case_lifespans!$B29,0)</f>
        <v>Terrestrial &amp; Aerial</v>
      </c>
      <c r="L29" s="107" t="str">
        <f>IF(DTE_Lifespans_existing!L29=1,Use_case_lifespans!$B29,0)</f>
        <v>Terrestrial &amp; Aerial</v>
      </c>
      <c r="M29" s="107" t="str">
        <f>IF(DTE_Lifespans_existing!M29=1,Use_case_lifespans!$B29,0)</f>
        <v>Terrestrial &amp; Aerial</v>
      </c>
      <c r="N29" s="107" t="str">
        <f>IF(DTE_Lifespans_existing!N29=1,Use_case_lifespans!$B29,0)</f>
        <v>Terrestrial &amp; Aerial</v>
      </c>
      <c r="O29" s="107" t="str">
        <f>IF(DTE_Lifespans_existing!O29=1,Use_case_lifespans!$B29,0)</f>
        <v>Terrestrial &amp; Aerial</v>
      </c>
      <c r="P29" s="107" t="str">
        <f>IF(DTE_Lifespans_existing!P29=1,Use_case_lifespans!$B29,0)</f>
        <v>Terrestrial &amp; Aerial</v>
      </c>
      <c r="Q29" s="107" t="str">
        <f>IF(DTE_Lifespans_existing!Q29=1,Use_case_lifespans!$B29,0)</f>
        <v>Terrestrial &amp; Aerial</v>
      </c>
      <c r="R29" s="107" t="str">
        <f>IF(DTE_Lifespans_existing!R29=1,Use_case_lifespans!$B29,0)</f>
        <v>Terrestrial &amp; Aerial</v>
      </c>
      <c r="S29" s="107" t="str">
        <f>IF(DTE_Lifespans_existing!S29=1,Use_case_lifespans!$B29,0)</f>
        <v>Terrestrial &amp; Aerial</v>
      </c>
      <c r="T29" s="107" t="str">
        <f>IF(DTE_Lifespans_existing!T29=1,Use_case_lifespans!$B29,0)</f>
        <v>Terrestrial &amp; Aerial</v>
      </c>
      <c r="U29" s="107" t="str">
        <f>IF(DTE_Lifespans_existing!U29=1,Use_case_lifespans!$B29,0)</f>
        <v>Terrestrial &amp; Aerial</v>
      </c>
      <c r="V29" s="107" t="str">
        <f>IF(DTE_Lifespans_existing!V29=1,Use_case_lifespans!$B29,0)</f>
        <v>Terrestrial &amp; Aerial</v>
      </c>
      <c r="W29" s="107" t="str">
        <f>IF(DTE_Lifespans_existing!W29=1,Use_case_lifespans!$B29,0)</f>
        <v>Terrestrial &amp; Aerial</v>
      </c>
    </row>
    <row r="30" spans="1:23" x14ac:dyDescent="0.3">
      <c r="A30" s="46" t="s">
        <v>77</v>
      </c>
      <c r="B30" s="54" t="s">
        <v>58</v>
      </c>
      <c r="C30" s="48"/>
      <c r="D30" s="107" t="str">
        <f>IF(DTE_Lifespans_existing!D30=1,Use_case_lifespans!$B30,0)</f>
        <v>Launch Events</v>
      </c>
      <c r="E30" s="107" t="str">
        <f>IF(DTE_Lifespans_existing!E30=1,Use_case_lifespans!$B30,0)</f>
        <v>Launch Events</v>
      </c>
      <c r="F30" s="107" t="str">
        <f>IF(DTE_Lifespans_existing!F30=1,Use_case_lifespans!$B30,0)</f>
        <v>Launch Events</v>
      </c>
      <c r="G30" s="107" t="str">
        <f>IF(DTE_Lifespans_existing!G30=1,Use_case_lifespans!$B30,0)</f>
        <v>Launch Events</v>
      </c>
      <c r="H30" s="107" t="str">
        <f>IF(DTE_Lifespans_existing!H30=1,Use_case_lifespans!$B30,0)</f>
        <v>Launch Events</v>
      </c>
      <c r="I30" s="107" t="str">
        <f>IF(DTE_Lifespans_existing!I30=1,Use_case_lifespans!$B30,0)</f>
        <v>Launch Events</v>
      </c>
      <c r="J30" s="107" t="str">
        <f>IF(DTE_Lifespans_existing!J30=1,Use_case_lifespans!$B30,0)</f>
        <v>Launch Events</v>
      </c>
      <c r="K30" s="107" t="str">
        <f>IF(DTE_Lifespans_existing!K30=1,Use_case_lifespans!$B30,0)</f>
        <v>Launch Events</v>
      </c>
      <c r="L30" s="107" t="str">
        <f>IF(DTE_Lifespans_existing!L30=1,Use_case_lifespans!$B30,0)</f>
        <v>Launch Events</v>
      </c>
      <c r="M30" s="107" t="str">
        <f>IF(DTE_Lifespans_existing!M30=1,Use_case_lifespans!$B30,0)</f>
        <v>Launch Events</v>
      </c>
      <c r="N30" s="107" t="str">
        <f>IF(DTE_Lifespans_existing!N30=1,Use_case_lifespans!$B30,0)</f>
        <v>Launch Events</v>
      </c>
      <c r="O30" s="107" t="str">
        <f>IF(DTE_Lifespans_existing!O30=1,Use_case_lifespans!$B30,0)</f>
        <v>Launch Events</v>
      </c>
      <c r="P30" s="107" t="str">
        <f>IF(DTE_Lifespans_existing!P30=1,Use_case_lifespans!$B30,0)</f>
        <v>Launch Events</v>
      </c>
      <c r="Q30" s="107" t="str">
        <f>IF(DTE_Lifespans_existing!Q30=1,Use_case_lifespans!$B30,0)</f>
        <v>Launch Events</v>
      </c>
      <c r="R30" s="107" t="str">
        <f>IF(DTE_Lifespans_existing!R30=1,Use_case_lifespans!$B30,0)</f>
        <v>Launch Events</v>
      </c>
      <c r="S30" s="107" t="str">
        <f>IF(DTE_Lifespans_existing!S30=1,Use_case_lifespans!$B30,0)</f>
        <v>Launch Events</v>
      </c>
      <c r="T30" s="107" t="str">
        <f>IF(DTE_Lifespans_existing!T30=1,Use_case_lifespans!$B30,0)</f>
        <v>Launch Events</v>
      </c>
      <c r="U30" s="107" t="str">
        <f>IF(DTE_Lifespans_existing!U30=1,Use_case_lifespans!$B30,0)</f>
        <v>Launch Events</v>
      </c>
      <c r="V30" s="107" t="str">
        <f>IF(DTE_Lifespans_existing!V30=1,Use_case_lifespans!$B30,0)</f>
        <v>Launch Events</v>
      </c>
      <c r="W30" s="107" t="str">
        <f>IF(DTE_Lifespans_existing!W30=1,Use_case_lifespans!$B30,0)</f>
        <v>Launch Events</v>
      </c>
    </row>
    <row r="31" spans="1:23" x14ac:dyDescent="0.3">
      <c r="A31" s="46" t="s">
        <v>87</v>
      </c>
      <c r="B31" s="47" t="s">
        <v>56</v>
      </c>
      <c r="C31" s="48" t="s">
        <v>89</v>
      </c>
      <c r="D31" s="107" t="str">
        <f>IF(DTE_Lifespans_existing!D31=1,Use_case_lifespans!$B31,0)</f>
        <v>Near Earth Robotic - GEO and Near Earth</v>
      </c>
      <c r="E31" s="107" t="str">
        <f>IF(DTE_Lifespans_existing!E31=1,Use_case_lifespans!$B31,0)</f>
        <v>Near Earth Robotic - GEO and Near Earth</v>
      </c>
      <c r="F31" s="107">
        <f>IF(DTE_Lifespans_existing!F31=1,Use_case_lifespans!$B31,0)</f>
        <v>0</v>
      </c>
      <c r="G31" s="107">
        <f>IF(DTE_Lifespans_existing!G31=1,Use_case_lifespans!$B31,0)</f>
        <v>0</v>
      </c>
      <c r="H31" s="107">
        <f>IF(DTE_Lifespans_existing!H31=1,Use_case_lifespans!$B31,0)</f>
        <v>0</v>
      </c>
      <c r="I31" s="107">
        <f>IF(DTE_Lifespans_existing!I31=1,Use_case_lifespans!$B31,0)</f>
        <v>0</v>
      </c>
      <c r="J31" s="107">
        <f>IF(DTE_Lifespans_existing!J31=1,Use_case_lifespans!$B31,0)</f>
        <v>0</v>
      </c>
      <c r="K31" s="107">
        <f>IF(DTE_Lifespans_existing!K31=1,Use_case_lifespans!$B31,0)</f>
        <v>0</v>
      </c>
      <c r="L31" s="107">
        <f>IF(DTE_Lifespans_existing!L31=1,Use_case_lifespans!$B31,0)</f>
        <v>0</v>
      </c>
      <c r="M31" s="107">
        <f>IF(DTE_Lifespans_existing!M31=1,Use_case_lifespans!$B31,0)</f>
        <v>0</v>
      </c>
      <c r="N31" s="107">
        <f>IF(DTE_Lifespans_existing!N31=1,Use_case_lifespans!$B31,0)</f>
        <v>0</v>
      </c>
      <c r="O31" s="107">
        <f>IF(DTE_Lifespans_existing!O31=1,Use_case_lifespans!$B31,0)</f>
        <v>0</v>
      </c>
      <c r="P31" s="107">
        <f>IF(DTE_Lifespans_existing!P31=1,Use_case_lifespans!$B31,0)</f>
        <v>0</v>
      </c>
      <c r="Q31" s="107">
        <f>IF(DTE_Lifespans_existing!Q31=1,Use_case_lifespans!$B31,0)</f>
        <v>0</v>
      </c>
      <c r="R31" s="107">
        <f>IF(DTE_Lifespans_existing!R31=1,Use_case_lifespans!$B31,0)</f>
        <v>0</v>
      </c>
      <c r="S31" s="107">
        <f>IF(DTE_Lifespans_existing!S31=1,Use_case_lifespans!$B31,0)</f>
        <v>0</v>
      </c>
      <c r="T31" s="107">
        <f>IF(DTE_Lifespans_existing!T31=1,Use_case_lifespans!$B31,0)</f>
        <v>0</v>
      </c>
      <c r="U31" s="107">
        <f>IF(DTE_Lifespans_existing!U31=1,Use_case_lifespans!$B31,0)</f>
        <v>0</v>
      </c>
      <c r="V31" s="107">
        <f>IF(DTE_Lifespans_existing!V31=1,Use_case_lifespans!$B31,0)</f>
        <v>0</v>
      </c>
      <c r="W31" s="107">
        <f>IF(DTE_Lifespans_existing!W31=1,Use_case_lifespans!$B31,0)</f>
        <v>0</v>
      </c>
    </row>
    <row r="32" spans="1:23" x14ac:dyDescent="0.3">
      <c r="A32" s="46" t="s">
        <v>43</v>
      </c>
      <c r="B32" s="54" t="s">
        <v>61</v>
      </c>
      <c r="C32" s="48" t="s">
        <v>89</v>
      </c>
      <c r="D32" s="107" t="str">
        <f>IF(DTE_Lifespans_existing!D32=1,Use_case_lifespans!$B32,0)</f>
        <v>Terrestrial &amp; Aerial</v>
      </c>
      <c r="E32" s="107">
        <f>IF(DTE_Lifespans_existing!E32=1,Use_case_lifespans!$B32,0)</f>
        <v>0</v>
      </c>
      <c r="F32" s="107">
        <f>IF(DTE_Lifespans_existing!F32=1,Use_case_lifespans!$B32,0)</f>
        <v>0</v>
      </c>
      <c r="G32" s="107">
        <f>IF(DTE_Lifespans_existing!G32=1,Use_case_lifespans!$B32,0)</f>
        <v>0</v>
      </c>
      <c r="H32" s="107">
        <f>IF(DTE_Lifespans_existing!H32=1,Use_case_lifespans!$B32,0)</f>
        <v>0</v>
      </c>
      <c r="I32" s="107">
        <f>IF(DTE_Lifespans_existing!I32=1,Use_case_lifespans!$B32,0)</f>
        <v>0</v>
      </c>
      <c r="J32" s="107">
        <f>IF(DTE_Lifespans_existing!J32=1,Use_case_lifespans!$B32,0)</f>
        <v>0</v>
      </c>
      <c r="K32" s="107">
        <f>IF(DTE_Lifespans_existing!K32=1,Use_case_lifespans!$B32,0)</f>
        <v>0</v>
      </c>
      <c r="L32" s="107">
        <f>IF(DTE_Lifespans_existing!L32=1,Use_case_lifespans!$B32,0)</f>
        <v>0</v>
      </c>
      <c r="M32" s="107">
        <f>IF(DTE_Lifespans_existing!M32=1,Use_case_lifespans!$B32,0)</f>
        <v>0</v>
      </c>
      <c r="N32" s="107">
        <f>IF(DTE_Lifespans_existing!N32=1,Use_case_lifespans!$B32,0)</f>
        <v>0</v>
      </c>
      <c r="O32" s="107">
        <f>IF(DTE_Lifespans_existing!O32=1,Use_case_lifespans!$B32,0)</f>
        <v>0</v>
      </c>
      <c r="P32" s="107">
        <f>IF(DTE_Lifespans_existing!P32=1,Use_case_lifespans!$B32,0)</f>
        <v>0</v>
      </c>
      <c r="Q32" s="107">
        <f>IF(DTE_Lifespans_existing!Q32=1,Use_case_lifespans!$B32,0)</f>
        <v>0</v>
      </c>
      <c r="R32" s="107">
        <f>IF(DTE_Lifespans_existing!R32=1,Use_case_lifespans!$B32,0)</f>
        <v>0</v>
      </c>
      <c r="S32" s="107">
        <f>IF(DTE_Lifespans_existing!S32=1,Use_case_lifespans!$B32,0)</f>
        <v>0</v>
      </c>
      <c r="T32" s="107">
        <f>IF(DTE_Lifespans_existing!T32=1,Use_case_lifespans!$B32,0)</f>
        <v>0</v>
      </c>
      <c r="U32" s="107">
        <f>IF(DTE_Lifespans_existing!U32=1,Use_case_lifespans!$B32,0)</f>
        <v>0</v>
      </c>
      <c r="V32" s="107">
        <f>IF(DTE_Lifespans_existing!V32=1,Use_case_lifespans!$B32,0)</f>
        <v>0</v>
      </c>
      <c r="W32" s="107">
        <f>IF(DTE_Lifespans_existing!W32=1,Use_case_lifespans!$B32,0)</f>
        <v>0</v>
      </c>
    </row>
    <row r="33" spans="1:23" x14ac:dyDescent="0.3">
      <c r="A33" s="46" t="s">
        <v>55</v>
      </c>
      <c r="B33" s="47" t="s">
        <v>57</v>
      </c>
      <c r="C33" s="48" t="s">
        <v>89</v>
      </c>
      <c r="D33" s="107" t="str">
        <f>IF(DTE_Lifespans_existing!D33=1,Use_case_lifespans!$B33,0)</f>
        <v>Near Earth Robotic - LEO Science</v>
      </c>
      <c r="E33" s="107" t="str">
        <f>IF(DTE_Lifespans_existing!E33=1,Use_case_lifespans!$B33,0)</f>
        <v>Near Earth Robotic - LEO Science</v>
      </c>
      <c r="F33" s="107" t="str">
        <f>IF(DTE_Lifespans_existing!F33=1,Use_case_lifespans!$B33,0)</f>
        <v>Near Earth Robotic - LEO Science</v>
      </c>
      <c r="G33" s="107" t="str">
        <f>IF(DTE_Lifespans_existing!G33=1,Use_case_lifespans!$B33,0)</f>
        <v>Near Earth Robotic - LEO Science</v>
      </c>
      <c r="H33" s="107">
        <f>IF(DTE_Lifespans_existing!H33=1,Use_case_lifespans!$B33,0)</f>
        <v>0</v>
      </c>
      <c r="I33" s="107">
        <f>IF(DTE_Lifespans_existing!I33=1,Use_case_lifespans!$B33,0)</f>
        <v>0</v>
      </c>
      <c r="J33" s="107">
        <f>IF(DTE_Lifespans_existing!J33=1,Use_case_lifespans!$B33,0)</f>
        <v>0</v>
      </c>
      <c r="K33" s="107">
        <f>IF(DTE_Lifespans_existing!K33=1,Use_case_lifespans!$B33,0)</f>
        <v>0</v>
      </c>
      <c r="L33" s="107">
        <f>IF(DTE_Lifespans_existing!L33=1,Use_case_lifespans!$B33,0)</f>
        <v>0</v>
      </c>
      <c r="M33" s="107">
        <f>IF(DTE_Lifespans_existing!M33=1,Use_case_lifespans!$B33,0)</f>
        <v>0</v>
      </c>
      <c r="N33" s="107">
        <f>IF(DTE_Lifespans_existing!N33=1,Use_case_lifespans!$B33,0)</f>
        <v>0</v>
      </c>
      <c r="O33" s="107">
        <f>IF(DTE_Lifespans_existing!O33=1,Use_case_lifespans!$B33,0)</f>
        <v>0</v>
      </c>
      <c r="P33" s="107">
        <f>IF(DTE_Lifespans_existing!P33=1,Use_case_lifespans!$B33,0)</f>
        <v>0</v>
      </c>
      <c r="Q33" s="107">
        <f>IF(DTE_Lifespans_existing!Q33=1,Use_case_lifespans!$B33,0)</f>
        <v>0</v>
      </c>
      <c r="R33" s="107">
        <f>IF(DTE_Lifespans_existing!R33=1,Use_case_lifespans!$B33,0)</f>
        <v>0</v>
      </c>
      <c r="S33" s="107">
        <f>IF(DTE_Lifespans_existing!S33=1,Use_case_lifespans!$B33,0)</f>
        <v>0</v>
      </c>
      <c r="T33" s="107">
        <f>IF(DTE_Lifespans_existing!T33=1,Use_case_lifespans!$B33,0)</f>
        <v>0</v>
      </c>
      <c r="U33" s="107">
        <f>IF(DTE_Lifespans_existing!U33=1,Use_case_lifespans!$B33,0)</f>
        <v>0</v>
      </c>
      <c r="V33" s="107">
        <f>IF(DTE_Lifespans_existing!V33=1,Use_case_lifespans!$B33,0)</f>
        <v>0</v>
      </c>
      <c r="W33" s="107">
        <f>IF(DTE_Lifespans_existing!W33=1,Use_case_lifespans!$B33,0)</f>
        <v>0</v>
      </c>
    </row>
    <row r="34" spans="1:23" x14ac:dyDescent="0.3">
      <c r="A34" s="46" t="s">
        <v>44</v>
      </c>
      <c r="B34" s="46"/>
      <c r="C34" s="48"/>
      <c r="D34" s="107">
        <f>IF(DTE_Lifespans_existing!D34=1,Use_case_lifespans!$B34,0)</f>
        <v>0</v>
      </c>
      <c r="E34" s="107">
        <f>IF(DTE_Lifespans_existing!E34=1,Use_case_lifespans!$B34,0)</f>
        <v>0</v>
      </c>
      <c r="F34" s="107">
        <f>IF(DTE_Lifespans_existing!F34=1,Use_case_lifespans!$B34,0)</f>
        <v>0</v>
      </c>
      <c r="G34" s="107">
        <f>IF(DTE_Lifespans_existing!G34=1,Use_case_lifespans!$B34,0)</f>
        <v>0</v>
      </c>
      <c r="H34" s="107">
        <f>IF(DTE_Lifespans_existing!H34=1,Use_case_lifespans!$B34,0)</f>
        <v>0</v>
      </c>
      <c r="I34" s="107">
        <f>IF(DTE_Lifespans_existing!I34=1,Use_case_lifespans!$B34,0)</f>
        <v>0</v>
      </c>
      <c r="J34" s="107">
        <f>IF(DTE_Lifespans_existing!J34=1,Use_case_lifespans!$B34,0)</f>
        <v>0</v>
      </c>
      <c r="K34" s="107">
        <f>IF(DTE_Lifespans_existing!K34=1,Use_case_lifespans!$B34,0)</f>
        <v>0</v>
      </c>
      <c r="L34" s="107">
        <f>IF(DTE_Lifespans_existing!L34=1,Use_case_lifespans!$B34,0)</f>
        <v>0</v>
      </c>
      <c r="M34" s="107">
        <f>IF(DTE_Lifespans_existing!M34=1,Use_case_lifespans!$B34,0)</f>
        <v>0</v>
      </c>
      <c r="N34" s="107">
        <f>IF(DTE_Lifespans_existing!N34=1,Use_case_lifespans!$B34,0)</f>
        <v>0</v>
      </c>
      <c r="O34" s="107">
        <f>IF(DTE_Lifespans_existing!O34=1,Use_case_lifespans!$B34,0)</f>
        <v>0</v>
      </c>
      <c r="P34" s="107">
        <f>IF(DTE_Lifespans_existing!P34=1,Use_case_lifespans!$B34,0)</f>
        <v>0</v>
      </c>
      <c r="Q34" s="107">
        <f>IF(DTE_Lifespans_existing!Q34=1,Use_case_lifespans!$B34,0)</f>
        <v>0</v>
      </c>
      <c r="R34" s="107">
        <f>IF(DTE_Lifespans_existing!R34=1,Use_case_lifespans!$B34,0)</f>
        <v>0</v>
      </c>
      <c r="S34" s="107">
        <f>IF(DTE_Lifespans_existing!S34=1,Use_case_lifespans!$B34,0)</f>
        <v>0</v>
      </c>
      <c r="T34" s="107">
        <f>IF(DTE_Lifespans_existing!T34=1,Use_case_lifespans!$B34,0)</f>
        <v>0</v>
      </c>
      <c r="U34" s="107">
        <f>IF(DTE_Lifespans_existing!U34=1,Use_case_lifespans!$B34,0)</f>
        <v>0</v>
      </c>
      <c r="V34" s="107">
        <f>IF(DTE_Lifespans_existing!V34=1,Use_case_lifespans!$B34,0)</f>
        <v>0</v>
      </c>
      <c r="W34" s="107">
        <f>IF(DTE_Lifespans_existing!W34=1,Use_case_lifespans!$B34,0)</f>
        <v>0</v>
      </c>
    </row>
    <row r="35" spans="1:23" x14ac:dyDescent="0.3">
      <c r="A35" s="46" t="s">
        <v>78</v>
      </c>
      <c r="B35" s="47" t="s">
        <v>57</v>
      </c>
      <c r="C35" s="48" t="s">
        <v>89</v>
      </c>
      <c r="D35" s="107" t="str">
        <f>IF(DTE_Lifespans_existing!D35=1,Use_case_lifespans!$B35,0)</f>
        <v>Near Earth Robotic - LEO Science</v>
      </c>
      <c r="E35" s="107" t="str">
        <f>IF(DTE_Lifespans_existing!E35=1,Use_case_lifespans!$B35,0)</f>
        <v>Near Earth Robotic - LEO Science</v>
      </c>
      <c r="F35" s="107" t="str">
        <f>IF(DTE_Lifespans_existing!F35=1,Use_case_lifespans!$B35,0)</f>
        <v>Near Earth Robotic - LEO Science</v>
      </c>
      <c r="G35" s="107" t="str">
        <f>IF(DTE_Lifespans_existing!G35=1,Use_case_lifespans!$B35,0)</f>
        <v>Near Earth Robotic - LEO Science</v>
      </c>
      <c r="H35" s="107" t="str">
        <f>IF(DTE_Lifespans_existing!H35=1,Use_case_lifespans!$B35,0)</f>
        <v>Near Earth Robotic - LEO Science</v>
      </c>
      <c r="I35" s="107">
        <f>IF(DTE_Lifespans_existing!I35=1,Use_case_lifespans!$B35,0)</f>
        <v>0</v>
      </c>
      <c r="J35" s="107">
        <f>IF(DTE_Lifespans_existing!J35=1,Use_case_lifespans!$B35,0)</f>
        <v>0</v>
      </c>
      <c r="K35" s="107">
        <f>IF(DTE_Lifespans_existing!K35=1,Use_case_lifespans!$B35,0)</f>
        <v>0</v>
      </c>
      <c r="L35" s="107">
        <f>IF(DTE_Lifespans_existing!L35=1,Use_case_lifespans!$B35,0)</f>
        <v>0</v>
      </c>
      <c r="M35" s="107">
        <f>IF(DTE_Lifespans_existing!M35=1,Use_case_lifespans!$B35,0)</f>
        <v>0</v>
      </c>
      <c r="N35" s="107">
        <f>IF(DTE_Lifespans_existing!N35=1,Use_case_lifespans!$B35,0)</f>
        <v>0</v>
      </c>
      <c r="O35" s="107">
        <f>IF(DTE_Lifespans_existing!O35=1,Use_case_lifespans!$B35,0)</f>
        <v>0</v>
      </c>
      <c r="P35" s="107">
        <f>IF(DTE_Lifespans_existing!P35=1,Use_case_lifespans!$B35,0)</f>
        <v>0</v>
      </c>
      <c r="Q35" s="107">
        <f>IF(DTE_Lifespans_existing!Q35=1,Use_case_lifespans!$B35,0)</f>
        <v>0</v>
      </c>
      <c r="R35" s="107">
        <f>IF(DTE_Lifespans_existing!R35=1,Use_case_lifespans!$B35,0)</f>
        <v>0</v>
      </c>
      <c r="S35" s="107">
        <f>IF(DTE_Lifespans_existing!S35=1,Use_case_lifespans!$B35,0)</f>
        <v>0</v>
      </c>
      <c r="T35" s="107">
        <f>IF(DTE_Lifespans_existing!T35=1,Use_case_lifespans!$B35,0)</f>
        <v>0</v>
      </c>
      <c r="U35" s="107">
        <f>IF(DTE_Lifespans_existing!U35=1,Use_case_lifespans!$B35,0)</f>
        <v>0</v>
      </c>
      <c r="V35" s="107">
        <f>IF(DTE_Lifespans_existing!V35=1,Use_case_lifespans!$B35,0)</f>
        <v>0</v>
      </c>
      <c r="W35" s="107">
        <f>IF(DTE_Lifespans_existing!W35=1,Use_case_lifespans!$B35,0)</f>
        <v>0</v>
      </c>
    </row>
    <row r="36" spans="1:23" x14ac:dyDescent="0.3">
      <c r="A36" s="46" t="s">
        <v>45</v>
      </c>
      <c r="B36" s="47" t="s">
        <v>57</v>
      </c>
      <c r="C36" s="48"/>
      <c r="D36" s="107" t="str">
        <f>IF(DTE_Lifespans_existing!D36=1,Use_case_lifespans!$B36,0)</f>
        <v>Near Earth Robotic - LEO Science</v>
      </c>
      <c r="E36" s="107" t="str">
        <f>IF(DTE_Lifespans_existing!E36=1,Use_case_lifespans!$B36,0)</f>
        <v>Near Earth Robotic - LEO Science</v>
      </c>
      <c r="F36" s="107" t="str">
        <f>IF(DTE_Lifespans_existing!F36=1,Use_case_lifespans!$B36,0)</f>
        <v>Near Earth Robotic - LEO Science</v>
      </c>
      <c r="G36" s="107">
        <f>IF(DTE_Lifespans_existing!G36=1,Use_case_lifespans!$B36,0)</f>
        <v>0</v>
      </c>
      <c r="H36" s="107">
        <f>IF(DTE_Lifespans_existing!H36=1,Use_case_lifespans!$B36,0)</f>
        <v>0</v>
      </c>
      <c r="I36" s="107">
        <f>IF(DTE_Lifespans_existing!I36=1,Use_case_lifespans!$B36,0)</f>
        <v>0</v>
      </c>
      <c r="J36" s="107">
        <f>IF(DTE_Lifespans_existing!J36=1,Use_case_lifespans!$B36,0)</f>
        <v>0</v>
      </c>
      <c r="K36" s="107">
        <f>IF(DTE_Lifespans_existing!K36=1,Use_case_lifespans!$B36,0)</f>
        <v>0</v>
      </c>
      <c r="L36" s="107">
        <f>IF(DTE_Lifespans_existing!L36=1,Use_case_lifespans!$B36,0)</f>
        <v>0</v>
      </c>
      <c r="M36" s="107">
        <f>IF(DTE_Lifespans_existing!M36=1,Use_case_lifespans!$B36,0)</f>
        <v>0</v>
      </c>
      <c r="N36" s="107">
        <f>IF(DTE_Lifespans_existing!N36=1,Use_case_lifespans!$B36,0)</f>
        <v>0</v>
      </c>
      <c r="O36" s="107">
        <f>IF(DTE_Lifespans_existing!O36=1,Use_case_lifespans!$B36,0)</f>
        <v>0</v>
      </c>
      <c r="P36" s="107">
        <f>IF(DTE_Lifespans_existing!P36=1,Use_case_lifespans!$B36,0)</f>
        <v>0</v>
      </c>
      <c r="Q36" s="107">
        <f>IF(DTE_Lifespans_existing!Q36=1,Use_case_lifespans!$B36,0)</f>
        <v>0</v>
      </c>
      <c r="R36" s="107">
        <f>IF(DTE_Lifespans_existing!R36=1,Use_case_lifespans!$B36,0)</f>
        <v>0</v>
      </c>
      <c r="S36" s="107">
        <f>IF(DTE_Lifespans_existing!S36=1,Use_case_lifespans!$B36,0)</f>
        <v>0</v>
      </c>
      <c r="T36" s="107">
        <f>IF(DTE_Lifespans_existing!T36=1,Use_case_lifespans!$B36,0)</f>
        <v>0</v>
      </c>
      <c r="U36" s="107">
        <f>IF(DTE_Lifespans_existing!U36=1,Use_case_lifespans!$B36,0)</f>
        <v>0</v>
      </c>
      <c r="V36" s="107">
        <f>IF(DTE_Lifespans_existing!V36=1,Use_case_lifespans!$B36,0)</f>
        <v>0</v>
      </c>
      <c r="W36" s="107">
        <f>IF(DTE_Lifespans_existing!W36=1,Use_case_lifespans!$B36,0)</f>
        <v>0</v>
      </c>
    </row>
    <row r="37" spans="1:23" x14ac:dyDescent="0.3">
      <c r="A37" s="46" t="s">
        <v>46</v>
      </c>
      <c r="B37" s="54" t="s">
        <v>59</v>
      </c>
      <c r="C37" s="48"/>
      <c r="D37" s="107" t="str">
        <f>IF(DTE_Lifespans_existing!D37=1,Use_case_lifespans!$B37,0)</f>
        <v>Human Space Flight</v>
      </c>
      <c r="E37" s="107" t="str">
        <f>IF(DTE_Lifespans_existing!E37=1,Use_case_lifespans!$B37,0)</f>
        <v>Human Space Flight</v>
      </c>
      <c r="F37" s="107" t="str">
        <f>IF(DTE_Lifespans_existing!F37=1,Use_case_lifespans!$B37,0)</f>
        <v>Human Space Flight</v>
      </c>
      <c r="G37" s="107" t="str">
        <f>IF(DTE_Lifespans_existing!G37=1,Use_case_lifespans!$B37,0)</f>
        <v>Human Space Flight</v>
      </c>
      <c r="H37" s="107" t="str">
        <f>IF(DTE_Lifespans_existing!H37=1,Use_case_lifespans!$B37,0)</f>
        <v>Human Space Flight</v>
      </c>
      <c r="I37" s="107" t="str">
        <f>IF(DTE_Lifespans_existing!I37=1,Use_case_lifespans!$B37,0)</f>
        <v>Human Space Flight</v>
      </c>
      <c r="J37" s="107" t="str">
        <f>IF(DTE_Lifespans_existing!J37=1,Use_case_lifespans!$B37,0)</f>
        <v>Human Space Flight</v>
      </c>
      <c r="K37" s="107" t="str">
        <f>IF(DTE_Lifespans_existing!K37=1,Use_case_lifespans!$B37,0)</f>
        <v>Human Space Flight</v>
      </c>
      <c r="L37" s="107" t="str">
        <f>IF(DTE_Lifespans_existing!L37=1,Use_case_lifespans!$B37,0)</f>
        <v>Human Space Flight</v>
      </c>
      <c r="M37" s="107" t="str">
        <f>IF(DTE_Lifespans_existing!M37=1,Use_case_lifespans!$B37,0)</f>
        <v>Human Space Flight</v>
      </c>
      <c r="N37" s="107" t="str">
        <f>IF(DTE_Lifespans_existing!N37=1,Use_case_lifespans!$B37,0)</f>
        <v>Human Space Flight</v>
      </c>
      <c r="O37" s="107" t="str">
        <f>IF(DTE_Lifespans_existing!O37=1,Use_case_lifespans!$B37,0)</f>
        <v>Human Space Flight</v>
      </c>
      <c r="P37" s="107" t="str">
        <f>IF(DTE_Lifespans_existing!P37=1,Use_case_lifespans!$B37,0)</f>
        <v>Human Space Flight</v>
      </c>
      <c r="Q37" s="107" t="str">
        <f>IF(DTE_Lifespans_existing!Q37=1,Use_case_lifespans!$B37,0)</f>
        <v>Human Space Flight</v>
      </c>
      <c r="R37" s="107" t="str">
        <f>IF(DTE_Lifespans_existing!R37=1,Use_case_lifespans!$B37,0)</f>
        <v>Human Space Flight</v>
      </c>
      <c r="S37" s="107" t="str">
        <f>IF(DTE_Lifespans_existing!S37=1,Use_case_lifespans!$B37,0)</f>
        <v>Human Space Flight</v>
      </c>
      <c r="T37" s="107" t="str">
        <f>IF(DTE_Lifespans_existing!T37=1,Use_case_lifespans!$B37,0)</f>
        <v>Human Space Flight</v>
      </c>
      <c r="U37" s="107" t="str">
        <f>IF(DTE_Lifespans_existing!U37=1,Use_case_lifespans!$B37,0)</f>
        <v>Human Space Flight</v>
      </c>
      <c r="V37" s="107" t="str">
        <f>IF(DTE_Lifespans_existing!V37=1,Use_case_lifespans!$B37,0)</f>
        <v>Human Space Flight</v>
      </c>
      <c r="W37" s="107" t="str">
        <f>IF(DTE_Lifespans_existing!W37=1,Use_case_lifespans!$B37,0)</f>
        <v>Human Space Flight</v>
      </c>
    </row>
    <row r="38" spans="1:23" x14ac:dyDescent="0.3">
      <c r="A38" s="46" t="s">
        <v>47</v>
      </c>
      <c r="B38" s="55" t="s">
        <v>64</v>
      </c>
      <c r="C38" s="48"/>
      <c r="D38" s="107">
        <f>IF(DTE_Lifespans_existing!D38=1,Use_case_lifespans!$B38,0)</f>
        <v>0</v>
      </c>
      <c r="E38" s="107">
        <f>IF(DTE_Lifespans_existing!E38=1,Use_case_lifespans!$B38,0)</f>
        <v>0</v>
      </c>
      <c r="F38" s="107">
        <f>IF(DTE_Lifespans_existing!F38=1,Use_case_lifespans!$B38,0)</f>
        <v>0</v>
      </c>
      <c r="G38" s="107">
        <f>IF(DTE_Lifespans_existing!G38=1,Use_case_lifespans!$B38,0)</f>
        <v>0</v>
      </c>
      <c r="H38" s="107">
        <f>IF(DTE_Lifespans_existing!H38=1,Use_case_lifespans!$B38,0)</f>
        <v>0</v>
      </c>
      <c r="I38" s="107">
        <f>IF(DTE_Lifespans_existing!I38=1,Use_case_lifespans!$B38,0)</f>
        <v>0</v>
      </c>
      <c r="J38" s="107">
        <f>IF(DTE_Lifespans_existing!J38=1,Use_case_lifespans!$B38,0)</f>
        <v>0</v>
      </c>
      <c r="K38" s="107">
        <f>IF(DTE_Lifespans_existing!K38=1,Use_case_lifespans!$B38,0)</f>
        <v>0</v>
      </c>
      <c r="L38" s="107">
        <f>IF(DTE_Lifespans_existing!L38=1,Use_case_lifespans!$B38,0)</f>
        <v>0</v>
      </c>
      <c r="M38" s="107">
        <f>IF(DTE_Lifespans_existing!M38=1,Use_case_lifespans!$B38,0)</f>
        <v>0</v>
      </c>
      <c r="N38" s="107">
        <f>IF(DTE_Lifespans_existing!N38=1,Use_case_lifespans!$B38,0)</f>
        <v>0</v>
      </c>
      <c r="O38" s="107">
        <f>IF(DTE_Lifespans_existing!O38=1,Use_case_lifespans!$B38,0)</f>
        <v>0</v>
      </c>
      <c r="P38" s="107">
        <f>IF(DTE_Lifespans_existing!P38=1,Use_case_lifespans!$B38,0)</f>
        <v>0</v>
      </c>
      <c r="Q38" s="107">
        <f>IF(DTE_Lifespans_existing!Q38=1,Use_case_lifespans!$B38,0)</f>
        <v>0</v>
      </c>
      <c r="R38" s="107">
        <f>IF(DTE_Lifespans_existing!R38=1,Use_case_lifespans!$B38,0)</f>
        <v>0</v>
      </c>
      <c r="S38" s="107">
        <f>IF(DTE_Lifespans_existing!S38=1,Use_case_lifespans!$B38,0)</f>
        <v>0</v>
      </c>
      <c r="T38" s="107">
        <f>IF(DTE_Lifespans_existing!T38=1,Use_case_lifespans!$B38,0)</f>
        <v>0</v>
      </c>
      <c r="U38" s="107">
        <f>IF(DTE_Lifespans_existing!U38=1,Use_case_lifespans!$B38,0)</f>
        <v>0</v>
      </c>
      <c r="V38" s="107">
        <f>IF(DTE_Lifespans_existing!V38=1,Use_case_lifespans!$B38,0)</f>
        <v>0</v>
      </c>
      <c r="W38" s="107">
        <f>IF(DTE_Lifespans_existing!W38=1,Use_case_lifespans!$B38,0)</f>
        <v>0</v>
      </c>
    </row>
    <row r="39" spans="1:23" x14ac:dyDescent="0.3">
      <c r="A39" s="46" t="s">
        <v>48</v>
      </c>
      <c r="B39" s="55" t="s">
        <v>64</v>
      </c>
      <c r="C39" s="48"/>
      <c r="D39" s="107">
        <f>IF(DTE_Lifespans_existing!D39=1,Use_case_lifespans!$B39,0)</f>
        <v>0</v>
      </c>
      <c r="E39" s="107">
        <f>IF(DTE_Lifespans_existing!E39=1,Use_case_lifespans!$B39,0)</f>
        <v>0</v>
      </c>
      <c r="F39" s="107">
        <f>IF(DTE_Lifespans_existing!F39=1,Use_case_lifespans!$B39,0)</f>
        <v>0</v>
      </c>
      <c r="G39" s="107">
        <f>IF(DTE_Lifespans_existing!G39=1,Use_case_lifespans!$B39,0)</f>
        <v>0</v>
      </c>
      <c r="H39" s="107">
        <f>IF(DTE_Lifespans_existing!H39=1,Use_case_lifespans!$B39,0)</f>
        <v>0</v>
      </c>
      <c r="I39" s="107">
        <f>IF(DTE_Lifespans_existing!I39=1,Use_case_lifespans!$B39,0)</f>
        <v>0</v>
      </c>
      <c r="J39" s="107">
        <f>IF(DTE_Lifespans_existing!J39=1,Use_case_lifespans!$B39,0)</f>
        <v>0</v>
      </c>
      <c r="K39" s="107">
        <f>IF(DTE_Lifespans_existing!K39=1,Use_case_lifespans!$B39,0)</f>
        <v>0</v>
      </c>
      <c r="L39" s="107">
        <f>IF(DTE_Lifespans_existing!L39=1,Use_case_lifespans!$B39,0)</f>
        <v>0</v>
      </c>
      <c r="M39" s="107">
        <f>IF(DTE_Lifespans_existing!M39=1,Use_case_lifespans!$B39,0)</f>
        <v>0</v>
      </c>
      <c r="N39" s="107">
        <f>IF(DTE_Lifespans_existing!N39=1,Use_case_lifespans!$B39,0)</f>
        <v>0</v>
      </c>
      <c r="O39" s="107">
        <f>IF(DTE_Lifespans_existing!O39=1,Use_case_lifespans!$B39,0)</f>
        <v>0</v>
      </c>
      <c r="P39" s="107">
        <f>IF(DTE_Lifespans_existing!P39=1,Use_case_lifespans!$B39,0)</f>
        <v>0</v>
      </c>
      <c r="Q39" s="107">
        <f>IF(DTE_Lifespans_existing!Q39=1,Use_case_lifespans!$B39,0)</f>
        <v>0</v>
      </c>
      <c r="R39" s="107">
        <f>IF(DTE_Lifespans_existing!R39=1,Use_case_lifespans!$B39,0)</f>
        <v>0</v>
      </c>
      <c r="S39" s="107">
        <f>IF(DTE_Lifespans_existing!S39=1,Use_case_lifespans!$B39,0)</f>
        <v>0</v>
      </c>
      <c r="T39" s="107">
        <f>IF(DTE_Lifespans_existing!T39=1,Use_case_lifespans!$B39,0)</f>
        <v>0</v>
      </c>
      <c r="U39" s="107">
        <f>IF(DTE_Lifespans_existing!U39=1,Use_case_lifespans!$B39,0)</f>
        <v>0</v>
      </c>
      <c r="V39" s="107">
        <f>IF(DTE_Lifespans_existing!V39=1,Use_case_lifespans!$B39,0)</f>
        <v>0</v>
      </c>
      <c r="W39" s="107">
        <f>IF(DTE_Lifespans_existing!W39=1,Use_case_lifespans!$B39,0)</f>
        <v>0</v>
      </c>
    </row>
    <row r="40" spans="1:23" x14ac:dyDescent="0.3">
      <c r="A40" s="46" t="s">
        <v>49</v>
      </c>
      <c r="B40" s="47" t="s">
        <v>57</v>
      </c>
      <c r="C40" s="48" t="s">
        <v>89</v>
      </c>
      <c r="D40" s="107">
        <f>IF(DTE_Lifespans_existing!D40=1,Use_case_lifespans!$B40,0)</f>
        <v>0</v>
      </c>
      <c r="E40" s="107">
        <f>IF(DTE_Lifespans_existing!E40=1,Use_case_lifespans!$B40,0)</f>
        <v>0</v>
      </c>
      <c r="F40" s="107">
        <f>IF(DTE_Lifespans_existing!F40=1,Use_case_lifespans!$B40,0)</f>
        <v>0</v>
      </c>
      <c r="G40" s="107">
        <f>IF(DTE_Lifespans_existing!G40=1,Use_case_lifespans!$B40,0)</f>
        <v>0</v>
      </c>
      <c r="H40" s="107">
        <f>IF(DTE_Lifespans_existing!H40=1,Use_case_lifespans!$B40,0)</f>
        <v>0</v>
      </c>
      <c r="I40" s="107">
        <f>IF(DTE_Lifespans_existing!I40=1,Use_case_lifespans!$B40,0)</f>
        <v>0</v>
      </c>
      <c r="J40" s="107">
        <f>IF(DTE_Lifespans_existing!J40=1,Use_case_lifespans!$B40,0)</f>
        <v>0</v>
      </c>
      <c r="K40" s="107">
        <f>IF(DTE_Lifespans_existing!K40=1,Use_case_lifespans!$B40,0)</f>
        <v>0</v>
      </c>
      <c r="L40" s="107">
        <f>IF(DTE_Lifespans_existing!L40=1,Use_case_lifespans!$B40,0)</f>
        <v>0</v>
      </c>
      <c r="M40" s="107">
        <f>IF(DTE_Lifespans_existing!M40=1,Use_case_lifespans!$B40,0)</f>
        <v>0</v>
      </c>
      <c r="N40" s="107">
        <f>IF(DTE_Lifespans_existing!N40=1,Use_case_lifespans!$B40,0)</f>
        <v>0</v>
      </c>
      <c r="O40" s="107">
        <f>IF(DTE_Lifespans_existing!O40=1,Use_case_lifespans!$B40,0)</f>
        <v>0</v>
      </c>
      <c r="P40" s="107">
        <f>IF(DTE_Lifespans_existing!P40=1,Use_case_lifespans!$B40,0)</f>
        <v>0</v>
      </c>
      <c r="Q40" s="107">
        <f>IF(DTE_Lifespans_existing!Q40=1,Use_case_lifespans!$B40,0)</f>
        <v>0</v>
      </c>
      <c r="R40" s="107">
        <f>IF(DTE_Lifespans_existing!R40=1,Use_case_lifespans!$B40,0)</f>
        <v>0</v>
      </c>
      <c r="S40" s="107">
        <f>IF(DTE_Lifespans_existing!S40=1,Use_case_lifespans!$B40,0)</f>
        <v>0</v>
      </c>
      <c r="T40" s="107">
        <f>IF(DTE_Lifespans_existing!T40=1,Use_case_lifespans!$B40,0)</f>
        <v>0</v>
      </c>
      <c r="U40" s="107">
        <f>IF(DTE_Lifespans_existing!U40=1,Use_case_lifespans!$B40,0)</f>
        <v>0</v>
      </c>
      <c r="V40" s="107">
        <f>IF(DTE_Lifespans_existing!V40=1,Use_case_lifespans!$B40,0)</f>
        <v>0</v>
      </c>
      <c r="W40" s="107">
        <f>IF(DTE_Lifespans_existing!W40=1,Use_case_lifespans!$B40,0)</f>
        <v>0</v>
      </c>
    </row>
    <row r="41" spans="1:23" x14ac:dyDescent="0.3">
      <c r="A41" s="46" t="s">
        <v>50</v>
      </c>
      <c r="B41" s="54" t="s">
        <v>61</v>
      </c>
      <c r="C41" s="48" t="s">
        <v>89</v>
      </c>
      <c r="D41" s="107" t="str">
        <f>IF(DTE_Lifespans_existing!D41=1,Use_case_lifespans!$B41,0)</f>
        <v>Terrestrial &amp; Aerial</v>
      </c>
      <c r="E41" s="107" t="str">
        <f>IF(DTE_Lifespans_existing!E41=1,Use_case_lifespans!$B41,0)</f>
        <v>Terrestrial &amp; Aerial</v>
      </c>
      <c r="F41" s="107" t="str">
        <f>IF(DTE_Lifespans_existing!F41=1,Use_case_lifespans!$B41,0)</f>
        <v>Terrestrial &amp; Aerial</v>
      </c>
      <c r="G41" s="107" t="str">
        <f>IF(DTE_Lifespans_existing!G41=1,Use_case_lifespans!$B41,0)</f>
        <v>Terrestrial &amp; Aerial</v>
      </c>
      <c r="H41" s="107" t="str">
        <f>IF(DTE_Lifespans_existing!H41=1,Use_case_lifespans!$B41,0)</f>
        <v>Terrestrial &amp; Aerial</v>
      </c>
      <c r="I41" s="107">
        <f>IF(DTE_Lifespans_existing!I41=1,Use_case_lifespans!$B41,0)</f>
        <v>0</v>
      </c>
      <c r="J41" s="107">
        <f>IF(DTE_Lifespans_existing!J41=1,Use_case_lifespans!$B41,0)</f>
        <v>0</v>
      </c>
      <c r="K41" s="107">
        <f>IF(DTE_Lifespans_existing!K41=1,Use_case_lifespans!$B41,0)</f>
        <v>0</v>
      </c>
      <c r="L41" s="107">
        <f>IF(DTE_Lifespans_existing!L41=1,Use_case_lifespans!$B41,0)</f>
        <v>0</v>
      </c>
      <c r="M41" s="107">
        <f>IF(DTE_Lifespans_existing!M41=1,Use_case_lifespans!$B41,0)</f>
        <v>0</v>
      </c>
      <c r="N41" s="107">
        <f>IF(DTE_Lifespans_existing!N41=1,Use_case_lifespans!$B41,0)</f>
        <v>0</v>
      </c>
      <c r="O41" s="107">
        <f>IF(DTE_Lifespans_existing!O41=1,Use_case_lifespans!$B41,0)</f>
        <v>0</v>
      </c>
      <c r="P41" s="107">
        <f>IF(DTE_Lifespans_existing!P41=1,Use_case_lifespans!$B41,0)</f>
        <v>0</v>
      </c>
      <c r="Q41" s="107">
        <f>IF(DTE_Lifespans_existing!Q41=1,Use_case_lifespans!$B41,0)</f>
        <v>0</v>
      </c>
      <c r="R41" s="107">
        <f>IF(DTE_Lifespans_existing!R41=1,Use_case_lifespans!$B41,0)</f>
        <v>0</v>
      </c>
      <c r="S41" s="107">
        <f>IF(DTE_Lifespans_existing!S41=1,Use_case_lifespans!$B41,0)</f>
        <v>0</v>
      </c>
      <c r="T41" s="107">
        <f>IF(DTE_Lifespans_existing!T41=1,Use_case_lifespans!$B41,0)</f>
        <v>0</v>
      </c>
      <c r="U41" s="107">
        <f>IF(DTE_Lifespans_existing!U41=1,Use_case_lifespans!$B41,0)</f>
        <v>0</v>
      </c>
      <c r="V41" s="107">
        <f>IF(DTE_Lifespans_existing!V41=1,Use_case_lifespans!$B41,0)</f>
        <v>0</v>
      </c>
      <c r="W41" s="107">
        <f>IF(DTE_Lifespans_existing!W41=1,Use_case_lifespans!$B41,0)</f>
        <v>0</v>
      </c>
    </row>
    <row r="42" spans="1:23" x14ac:dyDescent="0.3">
      <c r="A42" s="46" t="s">
        <v>79</v>
      </c>
      <c r="B42" s="54" t="s">
        <v>59</v>
      </c>
      <c r="C42" s="48"/>
      <c r="D42" s="107" t="str">
        <f>IF(DTE_Lifespans_existing!D42=1,Use_case_lifespans!$B42,0)</f>
        <v>Human Space Flight</v>
      </c>
      <c r="E42" s="107" t="str">
        <f>IF(DTE_Lifespans_existing!E42=1,Use_case_lifespans!$B42,0)</f>
        <v>Human Space Flight</v>
      </c>
      <c r="F42" s="107" t="str">
        <f>IF(DTE_Lifespans_existing!F42=1,Use_case_lifespans!$B42,0)</f>
        <v>Human Space Flight</v>
      </c>
      <c r="G42" s="107" t="str">
        <f>IF(DTE_Lifespans_existing!G42=1,Use_case_lifespans!$B42,0)</f>
        <v>Human Space Flight</v>
      </c>
      <c r="H42" s="107" t="str">
        <f>IF(DTE_Lifespans_existing!H42=1,Use_case_lifespans!$B42,0)</f>
        <v>Human Space Flight</v>
      </c>
      <c r="I42" s="107" t="str">
        <f>IF(DTE_Lifespans_existing!I42=1,Use_case_lifespans!$B42,0)</f>
        <v>Human Space Flight</v>
      </c>
      <c r="J42" s="107" t="str">
        <f>IF(DTE_Lifespans_existing!J42=1,Use_case_lifespans!$B42,0)</f>
        <v>Human Space Flight</v>
      </c>
      <c r="K42" s="107" t="str">
        <f>IF(DTE_Lifespans_existing!K42=1,Use_case_lifespans!$B42,0)</f>
        <v>Human Space Flight</v>
      </c>
      <c r="L42" s="107" t="str">
        <f>IF(DTE_Lifespans_existing!L42=1,Use_case_lifespans!$B42,0)</f>
        <v>Human Space Flight</v>
      </c>
      <c r="M42" s="107" t="str">
        <f>IF(DTE_Lifespans_existing!M42=1,Use_case_lifespans!$B42,0)</f>
        <v>Human Space Flight</v>
      </c>
      <c r="N42" s="107" t="str">
        <f>IF(DTE_Lifespans_existing!N42=1,Use_case_lifespans!$B42,0)</f>
        <v>Human Space Flight</v>
      </c>
      <c r="O42" s="107" t="str">
        <f>IF(DTE_Lifespans_existing!O42=1,Use_case_lifespans!$B42,0)</f>
        <v>Human Space Flight</v>
      </c>
      <c r="P42" s="107" t="str">
        <f>IF(DTE_Lifespans_existing!P42=1,Use_case_lifespans!$B42,0)</f>
        <v>Human Space Flight</v>
      </c>
      <c r="Q42" s="107" t="str">
        <f>IF(DTE_Lifespans_existing!Q42=1,Use_case_lifespans!$B42,0)</f>
        <v>Human Space Flight</v>
      </c>
      <c r="R42" s="107" t="str">
        <f>IF(DTE_Lifespans_existing!R42=1,Use_case_lifespans!$B42,0)</f>
        <v>Human Space Flight</v>
      </c>
      <c r="S42" s="107" t="str">
        <f>IF(DTE_Lifespans_existing!S42=1,Use_case_lifespans!$B42,0)</f>
        <v>Human Space Flight</v>
      </c>
      <c r="T42" s="107" t="str">
        <f>IF(DTE_Lifespans_existing!T42=1,Use_case_lifespans!$B42,0)</f>
        <v>Human Space Flight</v>
      </c>
      <c r="U42" s="107" t="str">
        <f>IF(DTE_Lifespans_existing!U42=1,Use_case_lifespans!$B42,0)</f>
        <v>Human Space Flight</v>
      </c>
      <c r="V42" s="107" t="str">
        <f>IF(DTE_Lifespans_existing!V42=1,Use_case_lifespans!$B42,0)</f>
        <v>Human Space Flight</v>
      </c>
      <c r="W42" s="107" t="str">
        <f>IF(DTE_Lifespans_existing!W42=1,Use_case_lifespans!$B42,0)</f>
        <v>Human Space Flight</v>
      </c>
    </row>
    <row r="43" spans="1:23" x14ac:dyDescent="0.3">
      <c r="A43" s="46" t="s">
        <v>80</v>
      </c>
      <c r="B43" s="47" t="s">
        <v>62</v>
      </c>
      <c r="C43" s="48"/>
      <c r="D43" s="107" t="str">
        <f>IF(DTE_Lifespans_existing!D43=1,Use_case_lifespans!$B43,0)</f>
        <v>Near Earth Robotic - Low Latency and Complex Needs</v>
      </c>
      <c r="E43" s="107" t="str">
        <f>IF(DTE_Lifespans_existing!E43=1,Use_case_lifespans!$B43,0)</f>
        <v>Near Earth Robotic - Low Latency and Complex Needs</v>
      </c>
      <c r="F43" s="107">
        <f>IF(DTE_Lifespans_existing!F43=1,Use_case_lifespans!$B43,0)</f>
        <v>0</v>
      </c>
      <c r="G43" s="107">
        <f>IF(DTE_Lifespans_existing!G43=1,Use_case_lifespans!$B43,0)</f>
        <v>0</v>
      </c>
      <c r="H43" s="107">
        <f>IF(DTE_Lifespans_existing!H43=1,Use_case_lifespans!$B43,0)</f>
        <v>0</v>
      </c>
      <c r="I43" s="107">
        <f>IF(DTE_Lifespans_existing!I43=1,Use_case_lifespans!$B43,0)</f>
        <v>0</v>
      </c>
      <c r="J43" s="107">
        <f>IF(DTE_Lifespans_existing!J43=1,Use_case_lifespans!$B43,0)</f>
        <v>0</v>
      </c>
      <c r="K43" s="107">
        <f>IF(DTE_Lifespans_existing!K43=1,Use_case_lifespans!$B43,0)</f>
        <v>0</v>
      </c>
      <c r="L43" s="107">
        <f>IF(DTE_Lifespans_existing!L43=1,Use_case_lifespans!$B43,0)</f>
        <v>0</v>
      </c>
      <c r="M43" s="107">
        <f>IF(DTE_Lifespans_existing!M43=1,Use_case_lifespans!$B43,0)</f>
        <v>0</v>
      </c>
      <c r="N43" s="107">
        <f>IF(DTE_Lifespans_existing!N43=1,Use_case_lifespans!$B43,0)</f>
        <v>0</v>
      </c>
      <c r="O43" s="107">
        <f>IF(DTE_Lifespans_existing!O43=1,Use_case_lifespans!$B43,0)</f>
        <v>0</v>
      </c>
      <c r="P43" s="107">
        <f>IF(DTE_Lifespans_existing!P43=1,Use_case_lifespans!$B43,0)</f>
        <v>0</v>
      </c>
      <c r="Q43" s="107">
        <f>IF(DTE_Lifespans_existing!Q43=1,Use_case_lifespans!$B43,0)</f>
        <v>0</v>
      </c>
      <c r="R43" s="107">
        <f>IF(DTE_Lifespans_existing!R43=1,Use_case_lifespans!$B43,0)</f>
        <v>0</v>
      </c>
      <c r="S43" s="107">
        <f>IF(DTE_Lifespans_existing!S43=1,Use_case_lifespans!$B43,0)</f>
        <v>0</v>
      </c>
      <c r="T43" s="107">
        <f>IF(DTE_Lifespans_existing!T43=1,Use_case_lifespans!$B43,0)</f>
        <v>0</v>
      </c>
      <c r="U43" s="107">
        <f>IF(DTE_Lifespans_existing!U43=1,Use_case_lifespans!$B43,0)</f>
        <v>0</v>
      </c>
      <c r="V43" s="107">
        <f>IF(DTE_Lifespans_existing!V43=1,Use_case_lifespans!$B43,0)</f>
        <v>0</v>
      </c>
      <c r="W43" s="107">
        <f>IF(DTE_Lifespans_existing!W43=1,Use_case_lifespans!$B43,0)</f>
        <v>0</v>
      </c>
    </row>
    <row r="44" spans="1:23" x14ac:dyDescent="0.3">
      <c r="A44" s="46" t="s">
        <v>81</v>
      </c>
      <c r="B44" s="47" t="s">
        <v>57</v>
      </c>
      <c r="C44" s="48" t="s">
        <v>89</v>
      </c>
      <c r="D44" s="107" t="str">
        <f>IF(DTE_Lifespans_existing!D44=1,Use_case_lifespans!$B44,0)</f>
        <v>Near Earth Robotic - LEO Science</v>
      </c>
      <c r="E44" s="107" t="str">
        <f>IF(DTE_Lifespans_existing!E44=1,Use_case_lifespans!$B44,0)</f>
        <v>Near Earth Robotic - LEO Science</v>
      </c>
      <c r="F44" s="107" t="str">
        <f>IF(DTE_Lifespans_existing!F44=1,Use_case_lifespans!$B44,0)</f>
        <v>Near Earth Robotic - LEO Science</v>
      </c>
      <c r="G44" s="107" t="str">
        <f>IF(DTE_Lifespans_existing!G44=1,Use_case_lifespans!$B44,0)</f>
        <v>Near Earth Robotic - LEO Science</v>
      </c>
      <c r="H44" s="107" t="str">
        <f>IF(DTE_Lifespans_existing!H44=1,Use_case_lifespans!$B44,0)</f>
        <v>Near Earth Robotic - LEO Science</v>
      </c>
      <c r="I44" s="107" t="str">
        <f>IF(DTE_Lifespans_existing!I44=1,Use_case_lifespans!$B44,0)</f>
        <v>Near Earth Robotic - LEO Science</v>
      </c>
      <c r="J44" s="107" t="str">
        <f>IF(DTE_Lifespans_existing!J44=1,Use_case_lifespans!$B44,0)</f>
        <v>Near Earth Robotic - LEO Science</v>
      </c>
      <c r="K44" s="107">
        <f>IF(DTE_Lifespans_existing!K44=1,Use_case_lifespans!$B44,0)</f>
        <v>0</v>
      </c>
      <c r="L44" s="107">
        <f>IF(DTE_Lifespans_existing!L44=1,Use_case_lifespans!$B44,0)</f>
        <v>0</v>
      </c>
      <c r="M44" s="107">
        <f>IF(DTE_Lifespans_existing!M44=1,Use_case_lifespans!$B44,0)</f>
        <v>0</v>
      </c>
      <c r="N44" s="107">
        <f>IF(DTE_Lifespans_existing!N44=1,Use_case_lifespans!$B44,0)</f>
        <v>0</v>
      </c>
      <c r="O44" s="107">
        <f>IF(DTE_Lifespans_existing!O44=1,Use_case_lifespans!$B44,0)</f>
        <v>0</v>
      </c>
      <c r="P44" s="107">
        <f>IF(DTE_Lifespans_existing!P44=1,Use_case_lifespans!$B44,0)</f>
        <v>0</v>
      </c>
      <c r="Q44" s="107">
        <f>IF(DTE_Lifespans_existing!Q44=1,Use_case_lifespans!$B44,0)</f>
        <v>0</v>
      </c>
      <c r="R44" s="107">
        <f>IF(DTE_Lifespans_existing!R44=1,Use_case_lifespans!$B44,0)</f>
        <v>0</v>
      </c>
      <c r="S44" s="107">
        <f>IF(DTE_Lifespans_existing!S44=1,Use_case_lifespans!$B44,0)</f>
        <v>0</v>
      </c>
      <c r="T44" s="107">
        <f>IF(DTE_Lifespans_existing!T44=1,Use_case_lifespans!$B44,0)</f>
        <v>0</v>
      </c>
      <c r="U44" s="107">
        <f>IF(DTE_Lifespans_existing!U44=1,Use_case_lifespans!$B44,0)</f>
        <v>0</v>
      </c>
      <c r="V44" s="107">
        <f>IF(DTE_Lifespans_existing!V44=1,Use_case_lifespans!$B44,0)</f>
        <v>0</v>
      </c>
      <c r="W44" s="107">
        <f>IF(DTE_Lifespans_existing!W44=1,Use_case_lifespans!$B44,0)</f>
        <v>0</v>
      </c>
    </row>
    <row r="45" spans="1:23" x14ac:dyDescent="0.3">
      <c r="A45" s="46" t="s">
        <v>51</v>
      </c>
      <c r="B45" s="47" t="s">
        <v>56</v>
      </c>
      <c r="C45" s="48"/>
      <c r="D45" s="107" t="str">
        <f>IF(DTE_Lifespans_existing!D45=1,Use_case_lifespans!$B45,0)</f>
        <v>Near Earth Robotic - GEO and Near Earth</v>
      </c>
      <c r="E45" s="107" t="str">
        <f>IF(DTE_Lifespans_existing!E45=1,Use_case_lifespans!$B45,0)</f>
        <v>Near Earth Robotic - GEO and Near Earth</v>
      </c>
      <c r="F45" s="107">
        <f>IF(DTE_Lifespans_existing!F45=1,Use_case_lifespans!$B45,0)</f>
        <v>0</v>
      </c>
      <c r="G45" s="107">
        <f>IF(DTE_Lifespans_existing!G45=1,Use_case_lifespans!$B45,0)</f>
        <v>0</v>
      </c>
      <c r="H45" s="107">
        <f>IF(DTE_Lifespans_existing!H45=1,Use_case_lifespans!$B45,0)</f>
        <v>0</v>
      </c>
      <c r="I45" s="107">
        <f>IF(DTE_Lifespans_existing!I45=1,Use_case_lifespans!$B45,0)</f>
        <v>0</v>
      </c>
      <c r="J45" s="107">
        <f>IF(DTE_Lifespans_existing!J45=1,Use_case_lifespans!$B45,0)</f>
        <v>0</v>
      </c>
      <c r="K45" s="107">
        <f>IF(DTE_Lifespans_existing!K45=1,Use_case_lifespans!$B45,0)</f>
        <v>0</v>
      </c>
      <c r="L45" s="107">
        <f>IF(DTE_Lifespans_existing!L45=1,Use_case_lifespans!$B45,0)</f>
        <v>0</v>
      </c>
      <c r="M45" s="107">
        <f>IF(DTE_Lifespans_existing!M45=1,Use_case_lifespans!$B45,0)</f>
        <v>0</v>
      </c>
      <c r="N45" s="107">
        <f>IF(DTE_Lifespans_existing!N45=1,Use_case_lifespans!$B45,0)</f>
        <v>0</v>
      </c>
      <c r="O45" s="107">
        <f>IF(DTE_Lifespans_existing!O45=1,Use_case_lifespans!$B45,0)</f>
        <v>0</v>
      </c>
      <c r="P45" s="107">
        <f>IF(DTE_Lifespans_existing!P45=1,Use_case_lifespans!$B45,0)</f>
        <v>0</v>
      </c>
      <c r="Q45" s="107">
        <f>IF(DTE_Lifespans_existing!Q45=1,Use_case_lifespans!$B45,0)</f>
        <v>0</v>
      </c>
      <c r="R45" s="107">
        <f>IF(DTE_Lifespans_existing!R45=1,Use_case_lifespans!$B45,0)</f>
        <v>0</v>
      </c>
      <c r="S45" s="107">
        <f>IF(DTE_Lifespans_existing!S45=1,Use_case_lifespans!$B45,0)</f>
        <v>0</v>
      </c>
      <c r="T45" s="107">
        <f>IF(DTE_Lifespans_existing!T45=1,Use_case_lifespans!$B45,0)</f>
        <v>0</v>
      </c>
      <c r="U45" s="107">
        <f>IF(DTE_Lifespans_existing!U45=1,Use_case_lifespans!$B45,0)</f>
        <v>0</v>
      </c>
      <c r="V45" s="107">
        <f>IF(DTE_Lifespans_existing!V45=1,Use_case_lifespans!$B45,0)</f>
        <v>0</v>
      </c>
      <c r="W45" s="107">
        <f>IF(DTE_Lifespans_existing!W45=1,Use_case_lifespans!$B45,0)</f>
        <v>0</v>
      </c>
    </row>
    <row r="46" spans="1:23" x14ac:dyDescent="0.3">
      <c r="A46" s="46" t="s">
        <v>52</v>
      </c>
      <c r="B46" s="47" t="s">
        <v>56</v>
      </c>
      <c r="C46" s="48"/>
      <c r="D46" s="107" t="str">
        <f>IF(DTE_Lifespans_existing!D46=1,Use_case_lifespans!$B46,0)</f>
        <v>Near Earth Robotic - GEO and Near Earth</v>
      </c>
      <c r="E46" s="107" t="str">
        <f>IF(DTE_Lifespans_existing!E46=1,Use_case_lifespans!$B46,0)</f>
        <v>Near Earth Robotic - GEO and Near Earth</v>
      </c>
      <c r="F46" s="107">
        <f>IF(DTE_Lifespans_existing!F46=1,Use_case_lifespans!$B46,0)</f>
        <v>0</v>
      </c>
      <c r="G46" s="107">
        <f>IF(DTE_Lifespans_existing!G46=1,Use_case_lifespans!$B46,0)</f>
        <v>0</v>
      </c>
      <c r="H46" s="107">
        <f>IF(DTE_Lifespans_existing!H46=1,Use_case_lifespans!$B46,0)</f>
        <v>0</v>
      </c>
      <c r="I46" s="107">
        <f>IF(DTE_Lifespans_existing!I46=1,Use_case_lifespans!$B46,0)</f>
        <v>0</v>
      </c>
      <c r="J46" s="107">
        <f>IF(DTE_Lifespans_existing!J46=1,Use_case_lifespans!$B46,0)</f>
        <v>0</v>
      </c>
      <c r="K46" s="107">
        <f>IF(DTE_Lifespans_existing!K46=1,Use_case_lifespans!$B46,0)</f>
        <v>0</v>
      </c>
      <c r="L46" s="107">
        <f>IF(DTE_Lifespans_existing!L46=1,Use_case_lifespans!$B46,0)</f>
        <v>0</v>
      </c>
      <c r="M46" s="107">
        <f>IF(DTE_Lifespans_existing!M46=1,Use_case_lifespans!$B46,0)</f>
        <v>0</v>
      </c>
      <c r="N46" s="107">
        <f>IF(DTE_Lifespans_existing!N46=1,Use_case_lifespans!$B46,0)</f>
        <v>0</v>
      </c>
      <c r="O46" s="107">
        <f>IF(DTE_Lifespans_existing!O46=1,Use_case_lifespans!$B46,0)</f>
        <v>0</v>
      </c>
      <c r="P46" s="107">
        <f>IF(DTE_Lifespans_existing!P46=1,Use_case_lifespans!$B46,0)</f>
        <v>0</v>
      </c>
      <c r="Q46" s="107">
        <f>IF(DTE_Lifespans_existing!Q46=1,Use_case_lifespans!$B46,0)</f>
        <v>0</v>
      </c>
      <c r="R46" s="107">
        <f>IF(DTE_Lifespans_existing!R46=1,Use_case_lifespans!$B46,0)</f>
        <v>0</v>
      </c>
      <c r="S46" s="107">
        <f>IF(DTE_Lifespans_existing!S46=1,Use_case_lifespans!$B46,0)</f>
        <v>0</v>
      </c>
      <c r="T46" s="107">
        <f>IF(DTE_Lifespans_existing!T46=1,Use_case_lifespans!$B46,0)</f>
        <v>0</v>
      </c>
      <c r="U46" s="107">
        <f>IF(DTE_Lifespans_existing!U46=1,Use_case_lifespans!$B46,0)</f>
        <v>0</v>
      </c>
      <c r="V46" s="107">
        <f>IF(DTE_Lifespans_existing!V46=1,Use_case_lifespans!$B46,0)</f>
        <v>0</v>
      </c>
      <c r="W46" s="107">
        <f>IF(DTE_Lifespans_existing!W46=1,Use_case_lifespans!$B46,0)</f>
        <v>0</v>
      </c>
    </row>
    <row r="47" spans="1:23" x14ac:dyDescent="0.3">
      <c r="A47" s="46" t="s">
        <v>53</v>
      </c>
      <c r="B47" s="47" t="s">
        <v>56</v>
      </c>
      <c r="C47" s="48"/>
      <c r="D47" s="107" t="str">
        <f>IF(DTE_Lifespans_existing!D47=1,Use_case_lifespans!$B47,0)</f>
        <v>Near Earth Robotic - GEO and Near Earth</v>
      </c>
      <c r="E47" s="107" t="str">
        <f>IF(DTE_Lifespans_existing!E47=1,Use_case_lifespans!$B47,0)</f>
        <v>Near Earth Robotic - GEO and Near Earth</v>
      </c>
      <c r="F47" s="107">
        <f>IF(DTE_Lifespans_existing!F47=1,Use_case_lifespans!$B47,0)</f>
        <v>0</v>
      </c>
      <c r="G47" s="107">
        <f>IF(DTE_Lifespans_existing!G47=1,Use_case_lifespans!$B47,0)</f>
        <v>0</v>
      </c>
      <c r="H47" s="107">
        <f>IF(DTE_Lifespans_existing!H47=1,Use_case_lifespans!$B47,0)</f>
        <v>0</v>
      </c>
      <c r="I47" s="107">
        <f>IF(DTE_Lifespans_existing!I47=1,Use_case_lifespans!$B47,0)</f>
        <v>0</v>
      </c>
      <c r="J47" s="107">
        <f>IF(DTE_Lifespans_existing!J47=1,Use_case_lifespans!$B47,0)</f>
        <v>0</v>
      </c>
      <c r="K47" s="107">
        <f>IF(DTE_Lifespans_existing!K47=1,Use_case_lifespans!$B47,0)</f>
        <v>0</v>
      </c>
      <c r="L47" s="107">
        <f>IF(DTE_Lifespans_existing!L47=1,Use_case_lifespans!$B47,0)</f>
        <v>0</v>
      </c>
      <c r="M47" s="107">
        <f>IF(DTE_Lifespans_existing!M47=1,Use_case_lifespans!$B47,0)</f>
        <v>0</v>
      </c>
      <c r="N47" s="107">
        <f>IF(DTE_Lifespans_existing!N47=1,Use_case_lifespans!$B47,0)</f>
        <v>0</v>
      </c>
      <c r="O47" s="107">
        <f>IF(DTE_Lifespans_existing!O47=1,Use_case_lifespans!$B47,0)</f>
        <v>0</v>
      </c>
      <c r="P47" s="107">
        <f>IF(DTE_Lifespans_existing!P47=1,Use_case_lifespans!$B47,0)</f>
        <v>0</v>
      </c>
      <c r="Q47" s="107">
        <f>IF(DTE_Lifespans_existing!Q47=1,Use_case_lifespans!$B47,0)</f>
        <v>0</v>
      </c>
      <c r="R47" s="107">
        <f>IF(DTE_Lifespans_existing!R47=1,Use_case_lifespans!$B47,0)</f>
        <v>0</v>
      </c>
      <c r="S47" s="107">
        <f>IF(DTE_Lifespans_existing!S47=1,Use_case_lifespans!$B47,0)</f>
        <v>0</v>
      </c>
      <c r="T47" s="107">
        <f>IF(DTE_Lifespans_existing!T47=1,Use_case_lifespans!$B47,0)</f>
        <v>0</v>
      </c>
      <c r="U47" s="107">
        <f>IF(DTE_Lifespans_existing!U47=1,Use_case_lifespans!$B47,0)</f>
        <v>0</v>
      </c>
      <c r="V47" s="107">
        <f>IF(DTE_Lifespans_existing!V47=1,Use_case_lifespans!$B47,0)</f>
        <v>0</v>
      </c>
      <c r="W47" s="107">
        <f>IF(DTE_Lifespans_existing!W47=1,Use_case_lifespans!$B47,0)</f>
        <v>0</v>
      </c>
    </row>
    <row r="48" spans="1:23" x14ac:dyDescent="0.3">
      <c r="A48" s="46" t="s">
        <v>54</v>
      </c>
      <c r="B48" s="47" t="s">
        <v>57</v>
      </c>
      <c r="C48" s="48"/>
      <c r="D48" s="107" t="str">
        <f>IF(DTE_Lifespans_existing!D48=1,Use_case_lifespans!$B48,0)</f>
        <v>Near Earth Robotic - LEO Science</v>
      </c>
      <c r="E48" s="107">
        <f>IF(DTE_Lifespans_existing!E48=1,Use_case_lifespans!$B48,0)</f>
        <v>0</v>
      </c>
      <c r="F48" s="107">
        <f>IF(DTE_Lifespans_existing!F48=1,Use_case_lifespans!$B48,0)</f>
        <v>0</v>
      </c>
      <c r="G48" s="107">
        <f>IF(DTE_Lifespans_existing!G48=1,Use_case_lifespans!$B48,0)</f>
        <v>0</v>
      </c>
      <c r="H48" s="107">
        <f>IF(DTE_Lifespans_existing!H48=1,Use_case_lifespans!$B48,0)</f>
        <v>0</v>
      </c>
      <c r="I48" s="107">
        <f>IF(DTE_Lifespans_existing!I48=1,Use_case_lifespans!$B48,0)</f>
        <v>0</v>
      </c>
      <c r="J48" s="107">
        <f>IF(DTE_Lifespans_existing!J48=1,Use_case_lifespans!$B48,0)</f>
        <v>0</v>
      </c>
      <c r="K48" s="107">
        <f>IF(DTE_Lifespans_existing!K48=1,Use_case_lifespans!$B48,0)</f>
        <v>0</v>
      </c>
      <c r="L48" s="107">
        <f>IF(DTE_Lifespans_existing!L48=1,Use_case_lifespans!$B48,0)</f>
        <v>0</v>
      </c>
      <c r="M48" s="107">
        <f>IF(DTE_Lifespans_existing!M48=1,Use_case_lifespans!$B48,0)</f>
        <v>0</v>
      </c>
      <c r="N48" s="107">
        <f>IF(DTE_Lifespans_existing!N48=1,Use_case_lifespans!$B48,0)</f>
        <v>0</v>
      </c>
      <c r="O48" s="107">
        <f>IF(DTE_Lifespans_existing!O48=1,Use_case_lifespans!$B48,0)</f>
        <v>0</v>
      </c>
      <c r="P48" s="107">
        <f>IF(DTE_Lifespans_existing!P48=1,Use_case_lifespans!$B48,0)</f>
        <v>0</v>
      </c>
      <c r="Q48" s="107">
        <f>IF(DTE_Lifespans_existing!Q48=1,Use_case_lifespans!$B48,0)</f>
        <v>0</v>
      </c>
      <c r="R48" s="107">
        <f>IF(DTE_Lifespans_existing!R48=1,Use_case_lifespans!$B48,0)</f>
        <v>0</v>
      </c>
      <c r="S48" s="107">
        <f>IF(DTE_Lifespans_existing!S48=1,Use_case_lifespans!$B48,0)</f>
        <v>0</v>
      </c>
      <c r="T48" s="107">
        <f>IF(DTE_Lifespans_existing!T48=1,Use_case_lifespans!$B48,0)</f>
        <v>0</v>
      </c>
      <c r="U48" s="107">
        <f>IF(DTE_Lifespans_existing!U48=1,Use_case_lifespans!$B48,0)</f>
        <v>0</v>
      </c>
      <c r="V48" s="107">
        <f>IF(DTE_Lifespans_existing!V48=1,Use_case_lifespans!$B48,0)</f>
        <v>0</v>
      </c>
      <c r="W48" s="107">
        <f>IF(DTE_Lifespans_existing!W48=1,Use_case_lifespans!$B48,0)</f>
        <v>0</v>
      </c>
    </row>
    <row r="49" spans="1:23" x14ac:dyDescent="0.3">
      <c r="D49" s="107"/>
      <c r="E49" s="107"/>
      <c r="F49" s="107"/>
      <c r="G49" s="107"/>
      <c r="H49" s="107"/>
      <c r="I49" s="107"/>
      <c r="J49" s="107"/>
      <c r="K49" s="107"/>
      <c r="L49" s="107"/>
      <c r="M49" s="107"/>
      <c r="N49" s="107"/>
      <c r="O49" s="107"/>
      <c r="P49" s="107"/>
      <c r="Q49" s="107"/>
      <c r="R49" s="107"/>
      <c r="S49" s="107"/>
      <c r="T49" s="107"/>
      <c r="U49" s="107"/>
      <c r="V49" s="107"/>
      <c r="W49" s="107"/>
    </row>
    <row r="50" spans="1:23" x14ac:dyDescent="0.3">
      <c r="A50" s="105" t="s">
        <v>153</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D8F4-2572-419D-9209-A7874310E3D2}">
  <sheetPr codeName="Sheet20">
    <tabColor rgb="FF92D050"/>
  </sheetPr>
  <dimension ref="A1:W96"/>
  <sheetViews>
    <sheetView zoomScaleNormal="100" workbookViewId="0">
      <selection activeCell="I27" sqref="I27"/>
    </sheetView>
  </sheetViews>
  <sheetFormatPr defaultRowHeight="13.8" x14ac:dyDescent="0.25"/>
  <cols>
    <col min="1" max="1" width="14.21875" style="66" customWidth="1"/>
    <col min="2" max="2" width="51.88671875" style="66" bestFit="1" customWidth="1"/>
    <col min="3" max="3" width="8.88671875" style="66"/>
    <col min="4" max="23" width="9.44140625" style="67" customWidth="1"/>
    <col min="24" max="16384" width="8.88671875" style="66"/>
  </cols>
  <sheetData>
    <row r="1" spans="1:23" s="12" customFormat="1" x14ac:dyDescent="0.25">
      <c r="A1" s="44" t="s">
        <v>32</v>
      </c>
      <c r="B1" s="44" t="s">
        <v>102</v>
      </c>
      <c r="C1" s="45" t="s">
        <v>88</v>
      </c>
      <c r="D1" s="44">
        <v>2021</v>
      </c>
      <c r="E1" s="45">
        <v>2022</v>
      </c>
      <c r="F1" s="44">
        <v>2023</v>
      </c>
      <c r="G1" s="45">
        <v>2024</v>
      </c>
      <c r="H1" s="44">
        <v>2025</v>
      </c>
      <c r="I1" s="45">
        <v>2026</v>
      </c>
      <c r="J1" s="44">
        <v>2027</v>
      </c>
      <c r="K1" s="45">
        <v>2028</v>
      </c>
      <c r="L1" s="44">
        <v>2029</v>
      </c>
      <c r="M1" s="45">
        <v>2030</v>
      </c>
      <c r="N1" s="44">
        <v>2031</v>
      </c>
      <c r="O1" s="45">
        <v>2032</v>
      </c>
      <c r="P1" s="44">
        <v>2033</v>
      </c>
      <c r="Q1" s="45">
        <v>2034</v>
      </c>
      <c r="R1" s="44">
        <v>2035</v>
      </c>
      <c r="S1" s="45">
        <v>2036</v>
      </c>
      <c r="T1" s="44">
        <v>2037</v>
      </c>
      <c r="U1" s="45">
        <v>2038</v>
      </c>
      <c r="V1" s="44">
        <v>2039</v>
      </c>
      <c r="W1" s="45">
        <v>2040</v>
      </c>
    </row>
    <row r="2" spans="1:23" s="3" customFormat="1" ht="14.4" customHeight="1" x14ac:dyDescent="0.25">
      <c r="A2" s="163" t="s">
        <v>105</v>
      </c>
      <c r="B2" s="47" t="s">
        <v>59</v>
      </c>
      <c r="C2" s="65" t="s">
        <v>11</v>
      </c>
      <c r="D2" s="51">
        <f>COUNTIF(Use_case_lifespans!D$2:D$48,$B2)</f>
        <v>6</v>
      </c>
      <c r="E2" s="51">
        <f>COUNTIF(Use_case_lifespans!E$2:E$48,$B2)</f>
        <v>6</v>
      </c>
      <c r="F2" s="51">
        <f>COUNTIF(Use_case_lifespans!F$2:F$48,$B2)</f>
        <v>6</v>
      </c>
      <c r="G2" s="51">
        <f>COUNTIF(Use_case_lifespans!G$2:G$48,$B2)</f>
        <v>6</v>
      </c>
      <c r="H2" s="51">
        <f>COUNTIF(Use_case_lifespans!H$2:H$48,$B2)</f>
        <v>6</v>
      </c>
      <c r="I2" s="51">
        <f>COUNTIF(Use_case_lifespans!I$2:I$48,$B2)</f>
        <v>6</v>
      </c>
      <c r="J2" s="51">
        <f>COUNTIF(Use_case_lifespans!J$2:J$48,$B2)</f>
        <v>6</v>
      </c>
      <c r="K2" s="51">
        <f>COUNTIF(Use_case_lifespans!K$2:K$48,$B2)</f>
        <v>6</v>
      </c>
      <c r="L2" s="51">
        <f>COUNTIF(Use_case_lifespans!L$2:L$48,$B2)</f>
        <v>6</v>
      </c>
      <c r="M2" s="51">
        <f>COUNTIF(Use_case_lifespans!M$2:M$48,$B2)</f>
        <v>6</v>
      </c>
      <c r="N2" s="51">
        <f>COUNTIF(Use_case_lifespans!N$2:N$48,$B2)</f>
        <v>4</v>
      </c>
      <c r="O2" s="51">
        <f>COUNTIF(Use_case_lifespans!O$2:O$48,$B2)</f>
        <v>4</v>
      </c>
      <c r="P2" s="51">
        <f>COUNTIF(Use_case_lifespans!P$2:P$48,$B2)</f>
        <v>4</v>
      </c>
      <c r="Q2" s="51">
        <f>COUNTIF(Use_case_lifespans!Q$2:Q$48,$B2)</f>
        <v>4</v>
      </c>
      <c r="R2" s="51">
        <f>COUNTIF(Use_case_lifespans!R$2:R$48,$B2)</f>
        <v>4</v>
      </c>
      <c r="S2" s="51">
        <f>COUNTIF(Use_case_lifespans!S$2:S$48,$B2)</f>
        <v>4</v>
      </c>
      <c r="T2" s="51">
        <f>COUNTIF(Use_case_lifespans!T$2:T$48,$B2)</f>
        <v>4</v>
      </c>
      <c r="U2" s="51">
        <f>COUNTIF(Use_case_lifespans!U$2:U$48,$B2)</f>
        <v>4</v>
      </c>
      <c r="V2" s="51">
        <f>COUNTIF(Use_case_lifespans!V$2:V$48,$B2)</f>
        <v>4</v>
      </c>
      <c r="W2" s="51">
        <f>COUNTIF(Use_case_lifespans!W$2:W$48,$B2)</f>
        <v>4</v>
      </c>
    </row>
    <row r="3" spans="1:23" s="3" customFormat="1" x14ac:dyDescent="0.25">
      <c r="A3" s="163"/>
      <c r="B3" s="47" t="s">
        <v>57</v>
      </c>
      <c r="C3" s="65" t="s">
        <v>11</v>
      </c>
      <c r="D3" s="51">
        <f>COUNTIF(Use_case_lifespans!D$2:D$48,$B3)</f>
        <v>17</v>
      </c>
      <c r="E3" s="51">
        <f>COUNTIF(Use_case_lifespans!E$2:E$48,$B3)</f>
        <v>15</v>
      </c>
      <c r="F3" s="51">
        <f>COUNTIF(Use_case_lifespans!F$2:F$48,$B3)</f>
        <v>14</v>
      </c>
      <c r="G3" s="51">
        <f>COUNTIF(Use_case_lifespans!G$2:G$48,$B3)</f>
        <v>12</v>
      </c>
      <c r="H3" s="51">
        <f>COUNTIF(Use_case_lifespans!H$2:H$48,$B3)</f>
        <v>9</v>
      </c>
      <c r="I3" s="51">
        <f>COUNTIF(Use_case_lifespans!I$2:I$48,$B3)</f>
        <v>6</v>
      </c>
      <c r="J3" s="51">
        <f>COUNTIF(Use_case_lifespans!J$2:J$48,$B3)</f>
        <v>3</v>
      </c>
      <c r="K3" s="51">
        <f>COUNTIF(Use_case_lifespans!K$2:K$48,$B3)</f>
        <v>1</v>
      </c>
      <c r="L3" s="51">
        <f>COUNTIF(Use_case_lifespans!L$2:L$48,$B3)</f>
        <v>1</v>
      </c>
      <c r="M3" s="51">
        <f>COUNTIF(Use_case_lifespans!M$2:M$48,$B3)</f>
        <v>1</v>
      </c>
      <c r="N3" s="51">
        <f>COUNTIF(Use_case_lifespans!N$2:N$48,$B3)</f>
        <v>1</v>
      </c>
      <c r="O3" s="51">
        <f>COUNTIF(Use_case_lifespans!O$2:O$48,$B3)</f>
        <v>1</v>
      </c>
      <c r="P3" s="51">
        <f>COUNTIF(Use_case_lifespans!P$2:P$48,$B3)</f>
        <v>1</v>
      </c>
      <c r="Q3" s="51">
        <f>COUNTIF(Use_case_lifespans!Q$2:Q$48,$B3)</f>
        <v>1</v>
      </c>
      <c r="R3" s="51">
        <f>COUNTIF(Use_case_lifespans!R$2:R$48,$B3)</f>
        <v>1</v>
      </c>
      <c r="S3" s="51">
        <f>COUNTIF(Use_case_lifespans!S$2:S$48,$B3)</f>
        <v>1</v>
      </c>
      <c r="T3" s="51">
        <f>COUNTIF(Use_case_lifespans!T$2:T$48,$B3)</f>
        <v>1</v>
      </c>
      <c r="U3" s="51">
        <f>COUNTIF(Use_case_lifespans!U$2:U$48,$B3)</f>
        <v>1</v>
      </c>
      <c r="V3" s="51">
        <f>COUNTIF(Use_case_lifespans!V$2:V$48,$B3)</f>
        <v>1</v>
      </c>
      <c r="W3" s="51">
        <f>COUNTIF(Use_case_lifespans!W$2:W$48,$B3)</f>
        <v>1</v>
      </c>
    </row>
    <row r="4" spans="1:23" s="3" customFormat="1" x14ac:dyDescent="0.25">
      <c r="A4" s="163"/>
      <c r="B4" s="47" t="s">
        <v>56</v>
      </c>
      <c r="C4" s="65" t="s">
        <v>11</v>
      </c>
      <c r="D4" s="51">
        <f>COUNTIF(Use_case_lifespans!D$2:D$48,$B4)</f>
        <v>8</v>
      </c>
      <c r="E4" s="51">
        <f>COUNTIF(Use_case_lifespans!E$2:E$48,$B4)</f>
        <v>8</v>
      </c>
      <c r="F4" s="51">
        <f>COUNTIF(Use_case_lifespans!F$2:F$48,$B4)</f>
        <v>4</v>
      </c>
      <c r="G4" s="51">
        <f>COUNTIF(Use_case_lifespans!G$2:G$48,$B4)</f>
        <v>4</v>
      </c>
      <c r="H4" s="51">
        <f>COUNTIF(Use_case_lifespans!H$2:H$48,$B4)</f>
        <v>4</v>
      </c>
      <c r="I4" s="51">
        <f>COUNTIF(Use_case_lifespans!I$2:I$48,$B4)</f>
        <v>4</v>
      </c>
      <c r="J4" s="51">
        <f>COUNTIF(Use_case_lifespans!J$2:J$48,$B4)</f>
        <v>4</v>
      </c>
      <c r="K4" s="51">
        <f>COUNTIF(Use_case_lifespans!K$2:K$48,$B4)</f>
        <v>4</v>
      </c>
      <c r="L4" s="51">
        <f>COUNTIF(Use_case_lifespans!L$2:L$48,$B4)</f>
        <v>4</v>
      </c>
      <c r="M4" s="51">
        <f>COUNTIF(Use_case_lifespans!M$2:M$48,$B4)</f>
        <v>4</v>
      </c>
      <c r="N4" s="51">
        <f>COUNTIF(Use_case_lifespans!N$2:N$48,$B4)</f>
        <v>4</v>
      </c>
      <c r="O4" s="51">
        <f>COUNTIF(Use_case_lifespans!O$2:O$48,$B4)</f>
        <v>4</v>
      </c>
      <c r="P4" s="51">
        <f>COUNTIF(Use_case_lifespans!P$2:P$48,$B4)</f>
        <v>4</v>
      </c>
      <c r="Q4" s="51">
        <f>COUNTIF(Use_case_lifespans!Q$2:Q$48,$B4)</f>
        <v>4</v>
      </c>
      <c r="R4" s="51">
        <f>COUNTIF(Use_case_lifespans!R$2:R$48,$B4)</f>
        <v>4</v>
      </c>
      <c r="S4" s="51">
        <f>COUNTIF(Use_case_lifespans!S$2:S$48,$B4)</f>
        <v>4</v>
      </c>
      <c r="T4" s="51">
        <f>COUNTIF(Use_case_lifespans!T$2:T$48,$B4)</f>
        <v>4</v>
      </c>
      <c r="U4" s="51">
        <f>COUNTIF(Use_case_lifespans!U$2:U$48,$B4)</f>
        <v>4</v>
      </c>
      <c r="V4" s="51">
        <f>COUNTIF(Use_case_lifespans!V$2:V$48,$B4)</f>
        <v>4</v>
      </c>
      <c r="W4" s="51">
        <f>COUNTIF(Use_case_lifespans!W$2:W$48,$B4)</f>
        <v>4</v>
      </c>
    </row>
    <row r="5" spans="1:23" s="3" customFormat="1" x14ac:dyDescent="0.25">
      <c r="A5" s="163"/>
      <c r="B5" s="47" t="s">
        <v>100</v>
      </c>
      <c r="C5" s="65" t="s">
        <v>11</v>
      </c>
      <c r="D5" s="51">
        <f>COUNTIF(Use_case_lifespans!D$2:D$48,$B5)</f>
        <v>0</v>
      </c>
      <c r="E5" s="51">
        <f>COUNTIF(Use_case_lifespans!E$2:E$48,$B5)</f>
        <v>0</v>
      </c>
      <c r="F5" s="51">
        <f>COUNTIF(Use_case_lifespans!F$2:F$48,$B5)</f>
        <v>0</v>
      </c>
      <c r="G5" s="51">
        <f>COUNTIF(Use_case_lifespans!G$2:G$48,$B5)</f>
        <v>0</v>
      </c>
      <c r="H5" s="51">
        <f>COUNTIF(Use_case_lifespans!H$2:H$48,$B5)</f>
        <v>0</v>
      </c>
      <c r="I5" s="51">
        <f>COUNTIF(Use_case_lifespans!I$2:I$48,$B5)</f>
        <v>0</v>
      </c>
      <c r="J5" s="51">
        <f>COUNTIF(Use_case_lifespans!J$2:J$48,$B5)</f>
        <v>0</v>
      </c>
      <c r="K5" s="51">
        <f>COUNTIF(Use_case_lifespans!K$2:K$48,$B5)</f>
        <v>0</v>
      </c>
      <c r="L5" s="51">
        <f>COUNTIF(Use_case_lifespans!L$2:L$48,$B5)</f>
        <v>0</v>
      </c>
      <c r="M5" s="51">
        <f>COUNTIF(Use_case_lifespans!M$2:M$48,$B5)</f>
        <v>0</v>
      </c>
      <c r="N5" s="51">
        <f>COUNTIF(Use_case_lifespans!N$2:N$48,$B5)</f>
        <v>0</v>
      </c>
      <c r="O5" s="51">
        <f>COUNTIF(Use_case_lifespans!O$2:O$48,$B5)</f>
        <v>0</v>
      </c>
      <c r="P5" s="51">
        <f>COUNTIF(Use_case_lifespans!P$2:P$48,$B5)</f>
        <v>0</v>
      </c>
      <c r="Q5" s="51">
        <f>COUNTIF(Use_case_lifespans!Q$2:Q$48,$B5)</f>
        <v>0</v>
      </c>
      <c r="R5" s="51">
        <f>COUNTIF(Use_case_lifespans!R$2:R$48,$B5)</f>
        <v>0</v>
      </c>
      <c r="S5" s="51">
        <f>COUNTIF(Use_case_lifespans!S$2:S$48,$B5)</f>
        <v>0</v>
      </c>
      <c r="T5" s="51">
        <f>COUNTIF(Use_case_lifespans!T$2:T$48,$B5)</f>
        <v>0</v>
      </c>
      <c r="U5" s="51">
        <f>COUNTIF(Use_case_lifespans!U$2:U$48,$B5)</f>
        <v>0</v>
      </c>
      <c r="V5" s="51">
        <f>COUNTIF(Use_case_lifespans!V$2:V$48,$B5)</f>
        <v>0</v>
      </c>
      <c r="W5" s="51">
        <f>COUNTIF(Use_case_lifespans!W$2:W$48,$B5)</f>
        <v>0</v>
      </c>
    </row>
    <row r="6" spans="1:23" s="3" customFormat="1" x14ac:dyDescent="0.25">
      <c r="A6" s="163"/>
      <c r="B6" s="47" t="s">
        <v>60</v>
      </c>
      <c r="C6" s="65" t="s">
        <v>11</v>
      </c>
      <c r="D6" s="51">
        <f>COUNTIF(Use_case_lifespans!D$2:D$48,$B6)</f>
        <v>1</v>
      </c>
      <c r="E6" s="51">
        <f>COUNTIF(Use_case_lifespans!E$2:E$48,$B6)</f>
        <v>1</v>
      </c>
      <c r="F6" s="51">
        <f>COUNTIF(Use_case_lifespans!F$2:F$48,$B6)</f>
        <v>1</v>
      </c>
      <c r="G6" s="51">
        <f>COUNTIF(Use_case_lifespans!G$2:G$48,$B6)</f>
        <v>1</v>
      </c>
      <c r="H6" s="51">
        <f>COUNTIF(Use_case_lifespans!H$2:H$48,$B6)</f>
        <v>0</v>
      </c>
      <c r="I6" s="51">
        <f>COUNTIF(Use_case_lifespans!I$2:I$48,$B6)</f>
        <v>0</v>
      </c>
      <c r="J6" s="51">
        <f>COUNTIF(Use_case_lifespans!J$2:J$48,$B6)</f>
        <v>0</v>
      </c>
      <c r="K6" s="51">
        <f>COUNTIF(Use_case_lifespans!K$2:K$48,$B6)</f>
        <v>0</v>
      </c>
      <c r="L6" s="51">
        <f>COUNTIF(Use_case_lifespans!L$2:L$48,$B6)</f>
        <v>0</v>
      </c>
      <c r="M6" s="51">
        <f>COUNTIF(Use_case_lifespans!M$2:M$48,$B6)</f>
        <v>0</v>
      </c>
      <c r="N6" s="51">
        <f>COUNTIF(Use_case_lifespans!N$2:N$48,$B6)</f>
        <v>0</v>
      </c>
      <c r="O6" s="51">
        <f>COUNTIF(Use_case_lifespans!O$2:O$48,$B6)</f>
        <v>0</v>
      </c>
      <c r="P6" s="51">
        <f>COUNTIF(Use_case_lifespans!P$2:P$48,$B6)</f>
        <v>0</v>
      </c>
      <c r="Q6" s="51">
        <f>COUNTIF(Use_case_lifespans!Q$2:Q$48,$B6)</f>
        <v>0</v>
      </c>
      <c r="R6" s="51">
        <f>COUNTIF(Use_case_lifespans!R$2:R$48,$B6)</f>
        <v>0</v>
      </c>
      <c r="S6" s="51">
        <f>COUNTIF(Use_case_lifespans!S$2:S$48,$B6)</f>
        <v>0</v>
      </c>
      <c r="T6" s="51">
        <f>COUNTIF(Use_case_lifespans!T$2:T$48,$B6)</f>
        <v>0</v>
      </c>
      <c r="U6" s="51">
        <f>COUNTIF(Use_case_lifespans!U$2:U$48,$B6)</f>
        <v>0</v>
      </c>
      <c r="V6" s="51">
        <f>COUNTIF(Use_case_lifespans!V$2:V$48,$B6)</f>
        <v>0</v>
      </c>
      <c r="W6" s="51">
        <f>COUNTIF(Use_case_lifespans!W$2:W$48,$B6)</f>
        <v>0</v>
      </c>
    </row>
    <row r="7" spans="1:23" s="3" customFormat="1" x14ac:dyDescent="0.25">
      <c r="A7" s="163"/>
      <c r="B7" s="47" t="s">
        <v>101</v>
      </c>
      <c r="C7" s="65" t="s">
        <v>11</v>
      </c>
      <c r="D7" s="51">
        <f>COUNTIF(Use_case_lifespans!D$2:D$48,$B7)</f>
        <v>0</v>
      </c>
      <c r="E7" s="51">
        <f>COUNTIF(Use_case_lifespans!E$2:E$48,$B7)</f>
        <v>0</v>
      </c>
      <c r="F7" s="51">
        <f>COUNTIF(Use_case_lifespans!F$2:F$48,$B7)</f>
        <v>0</v>
      </c>
      <c r="G7" s="51">
        <f>COUNTIF(Use_case_lifespans!G$2:G$48,$B7)</f>
        <v>0</v>
      </c>
      <c r="H7" s="51">
        <f>COUNTIF(Use_case_lifespans!H$2:H$48,$B7)</f>
        <v>0</v>
      </c>
      <c r="I7" s="51">
        <f>COUNTIF(Use_case_lifespans!I$2:I$48,$B7)</f>
        <v>0</v>
      </c>
      <c r="J7" s="51">
        <f>COUNTIF(Use_case_lifespans!J$2:J$48,$B7)</f>
        <v>0</v>
      </c>
      <c r="K7" s="51">
        <f>COUNTIF(Use_case_lifespans!K$2:K$48,$B7)</f>
        <v>0</v>
      </c>
      <c r="L7" s="51">
        <f>COUNTIF(Use_case_lifespans!L$2:L$48,$B7)</f>
        <v>0</v>
      </c>
      <c r="M7" s="51">
        <f>COUNTIF(Use_case_lifespans!M$2:M$48,$B7)</f>
        <v>0</v>
      </c>
      <c r="N7" s="51">
        <f>COUNTIF(Use_case_lifespans!N$2:N$48,$B7)</f>
        <v>0</v>
      </c>
      <c r="O7" s="51">
        <f>COUNTIF(Use_case_lifespans!O$2:O$48,$B7)</f>
        <v>0</v>
      </c>
      <c r="P7" s="51">
        <f>COUNTIF(Use_case_lifespans!P$2:P$48,$B7)</f>
        <v>0</v>
      </c>
      <c r="Q7" s="51">
        <f>COUNTIF(Use_case_lifespans!Q$2:Q$48,$B7)</f>
        <v>0</v>
      </c>
      <c r="R7" s="51">
        <f>COUNTIF(Use_case_lifespans!R$2:R$48,$B7)</f>
        <v>0</v>
      </c>
      <c r="S7" s="51">
        <f>COUNTIF(Use_case_lifespans!S$2:S$48,$B7)</f>
        <v>0</v>
      </c>
      <c r="T7" s="51">
        <f>COUNTIF(Use_case_lifespans!T$2:T$48,$B7)</f>
        <v>0</v>
      </c>
      <c r="U7" s="51">
        <f>COUNTIF(Use_case_lifespans!U$2:U$48,$B7)</f>
        <v>0</v>
      </c>
      <c r="V7" s="51">
        <f>COUNTIF(Use_case_lifespans!V$2:V$48,$B7)</f>
        <v>0</v>
      </c>
      <c r="W7" s="51">
        <f>COUNTIF(Use_case_lifespans!W$2:W$48,$B7)</f>
        <v>0</v>
      </c>
    </row>
    <row r="8" spans="1:23" s="3" customFormat="1" x14ac:dyDescent="0.25">
      <c r="A8" s="163"/>
      <c r="B8" s="47" t="s">
        <v>58</v>
      </c>
      <c r="C8" s="65" t="s">
        <v>11</v>
      </c>
      <c r="D8" s="51">
        <f>COUNTIF(Use_case_lifespans!D$2:D$48,$B8)</f>
        <v>3</v>
      </c>
      <c r="E8" s="51">
        <f>COUNTIF(Use_case_lifespans!E$2:E$48,$B8)</f>
        <v>3</v>
      </c>
      <c r="F8" s="51">
        <f>COUNTIF(Use_case_lifespans!F$2:F$48,$B8)</f>
        <v>3</v>
      </c>
      <c r="G8" s="51">
        <f>COUNTIF(Use_case_lifespans!G$2:G$48,$B8)</f>
        <v>3</v>
      </c>
      <c r="H8" s="51">
        <f>COUNTIF(Use_case_lifespans!H$2:H$48,$B8)</f>
        <v>2</v>
      </c>
      <c r="I8" s="51">
        <f>COUNTIF(Use_case_lifespans!I$2:I$48,$B8)</f>
        <v>2</v>
      </c>
      <c r="J8" s="51">
        <f>COUNTIF(Use_case_lifespans!J$2:J$48,$B8)</f>
        <v>2</v>
      </c>
      <c r="K8" s="51">
        <f>COUNTIF(Use_case_lifespans!K$2:K$48,$B8)</f>
        <v>2</v>
      </c>
      <c r="L8" s="51">
        <f>COUNTIF(Use_case_lifespans!L$2:L$48,$B8)</f>
        <v>2</v>
      </c>
      <c r="M8" s="51">
        <f>COUNTIF(Use_case_lifespans!M$2:M$48,$B8)</f>
        <v>2</v>
      </c>
      <c r="N8" s="51">
        <f>COUNTIF(Use_case_lifespans!N$2:N$48,$B8)</f>
        <v>2</v>
      </c>
      <c r="O8" s="51">
        <f>COUNTIF(Use_case_lifespans!O$2:O$48,$B8)</f>
        <v>2</v>
      </c>
      <c r="P8" s="51">
        <f>COUNTIF(Use_case_lifespans!P$2:P$48,$B8)</f>
        <v>2</v>
      </c>
      <c r="Q8" s="51">
        <f>COUNTIF(Use_case_lifespans!Q$2:Q$48,$B8)</f>
        <v>2</v>
      </c>
      <c r="R8" s="51">
        <f>COUNTIF(Use_case_lifespans!R$2:R$48,$B8)</f>
        <v>2</v>
      </c>
      <c r="S8" s="51">
        <f>COUNTIF(Use_case_lifespans!S$2:S$48,$B8)</f>
        <v>2</v>
      </c>
      <c r="T8" s="51">
        <f>COUNTIF(Use_case_lifespans!T$2:T$48,$B8)</f>
        <v>2</v>
      </c>
      <c r="U8" s="51">
        <f>COUNTIF(Use_case_lifespans!U$2:U$48,$B8)</f>
        <v>2</v>
      </c>
      <c r="V8" s="51">
        <f>COUNTIF(Use_case_lifespans!V$2:V$48,$B8)</f>
        <v>2</v>
      </c>
      <c r="W8" s="51">
        <f>COUNTIF(Use_case_lifespans!W$2:W$48,$B8)</f>
        <v>2</v>
      </c>
    </row>
    <row r="9" spans="1:23" s="3" customFormat="1" x14ac:dyDescent="0.25">
      <c r="A9" s="163"/>
      <c r="B9" s="47" t="s">
        <v>61</v>
      </c>
      <c r="C9" s="65" t="s">
        <v>11</v>
      </c>
      <c r="D9" s="51">
        <f>COUNTIF(Use_case_lifespans!D$2:D$48,$B9)</f>
        <v>3</v>
      </c>
      <c r="E9" s="51">
        <f>COUNTIF(Use_case_lifespans!E$2:E$48,$B9)</f>
        <v>2</v>
      </c>
      <c r="F9" s="51">
        <f>COUNTIF(Use_case_lifespans!F$2:F$48,$B9)</f>
        <v>2</v>
      </c>
      <c r="G9" s="51">
        <f>COUNTIF(Use_case_lifespans!G$2:G$48,$B9)</f>
        <v>2</v>
      </c>
      <c r="H9" s="51">
        <f>COUNTIF(Use_case_lifespans!H$2:H$48,$B9)</f>
        <v>2</v>
      </c>
      <c r="I9" s="51">
        <f>COUNTIF(Use_case_lifespans!I$2:I$48,$B9)</f>
        <v>1</v>
      </c>
      <c r="J9" s="51">
        <f>COUNTIF(Use_case_lifespans!J$2:J$48,$B9)</f>
        <v>1</v>
      </c>
      <c r="K9" s="51">
        <f>COUNTIF(Use_case_lifespans!K$2:K$48,$B9)</f>
        <v>1</v>
      </c>
      <c r="L9" s="51">
        <f>COUNTIF(Use_case_lifespans!L$2:L$48,$B9)</f>
        <v>1</v>
      </c>
      <c r="M9" s="51">
        <f>COUNTIF(Use_case_lifespans!M$2:M$48,$B9)</f>
        <v>1</v>
      </c>
      <c r="N9" s="51">
        <f>COUNTIF(Use_case_lifespans!N$2:N$48,$B9)</f>
        <v>1</v>
      </c>
      <c r="O9" s="51">
        <f>COUNTIF(Use_case_lifespans!O$2:O$48,$B9)</f>
        <v>1</v>
      </c>
      <c r="P9" s="51">
        <f>COUNTIF(Use_case_lifespans!P$2:P$48,$B9)</f>
        <v>1</v>
      </c>
      <c r="Q9" s="51">
        <f>COUNTIF(Use_case_lifespans!Q$2:Q$48,$B9)</f>
        <v>1</v>
      </c>
      <c r="R9" s="51">
        <f>COUNTIF(Use_case_lifespans!R$2:R$48,$B9)</f>
        <v>1</v>
      </c>
      <c r="S9" s="51">
        <f>COUNTIF(Use_case_lifespans!S$2:S$48,$B9)</f>
        <v>1</v>
      </c>
      <c r="T9" s="51">
        <f>COUNTIF(Use_case_lifespans!T$2:T$48,$B9)</f>
        <v>1</v>
      </c>
      <c r="U9" s="51">
        <f>COUNTIF(Use_case_lifespans!U$2:U$48,$B9)</f>
        <v>1</v>
      </c>
      <c r="V9" s="51">
        <f>COUNTIF(Use_case_lifespans!V$2:V$48,$B9)</f>
        <v>1</v>
      </c>
      <c r="W9" s="51">
        <f>COUNTIF(Use_case_lifespans!W$2:W$48,$B9)</f>
        <v>1</v>
      </c>
    </row>
    <row r="10" spans="1:23" s="3" customFormat="1" x14ac:dyDescent="0.25">
      <c r="A10" s="163"/>
      <c r="B10" s="68" t="s">
        <v>104</v>
      </c>
      <c r="C10" s="59"/>
      <c r="D10" s="69">
        <f>SUM(D2:D9)</f>
        <v>38</v>
      </c>
      <c r="E10" s="69">
        <f t="shared" ref="E10:W10" si="0">SUM(E2:E9)</f>
        <v>35</v>
      </c>
      <c r="F10" s="69">
        <f t="shared" si="0"/>
        <v>30</v>
      </c>
      <c r="G10" s="69">
        <f t="shared" si="0"/>
        <v>28</v>
      </c>
      <c r="H10" s="69">
        <f t="shared" si="0"/>
        <v>23</v>
      </c>
      <c r="I10" s="69">
        <f t="shared" si="0"/>
        <v>19</v>
      </c>
      <c r="J10" s="69">
        <f t="shared" si="0"/>
        <v>16</v>
      </c>
      <c r="K10" s="69">
        <f t="shared" si="0"/>
        <v>14</v>
      </c>
      <c r="L10" s="69">
        <f t="shared" si="0"/>
        <v>14</v>
      </c>
      <c r="M10" s="69">
        <f t="shared" si="0"/>
        <v>14</v>
      </c>
      <c r="N10" s="69">
        <f t="shared" si="0"/>
        <v>12</v>
      </c>
      <c r="O10" s="69">
        <f t="shared" si="0"/>
        <v>12</v>
      </c>
      <c r="P10" s="69">
        <f t="shared" si="0"/>
        <v>12</v>
      </c>
      <c r="Q10" s="69">
        <f t="shared" si="0"/>
        <v>12</v>
      </c>
      <c r="R10" s="69">
        <f t="shared" si="0"/>
        <v>12</v>
      </c>
      <c r="S10" s="69">
        <f t="shared" si="0"/>
        <v>12</v>
      </c>
      <c r="T10" s="69">
        <f t="shared" si="0"/>
        <v>12</v>
      </c>
      <c r="U10" s="69">
        <f t="shared" si="0"/>
        <v>12</v>
      </c>
      <c r="V10" s="69">
        <f t="shared" si="0"/>
        <v>12</v>
      </c>
      <c r="W10" s="69">
        <f t="shared" si="0"/>
        <v>12</v>
      </c>
    </row>
    <row r="11" spans="1:23" s="81" customFormat="1" x14ac:dyDescent="0.25">
      <c r="A11" s="78"/>
      <c r="B11" s="79"/>
      <c r="C11" s="78"/>
      <c r="D11" s="80"/>
      <c r="E11" s="80"/>
      <c r="F11" s="80"/>
      <c r="G11" s="80"/>
      <c r="H11" s="80"/>
      <c r="I11" s="80"/>
      <c r="J11" s="80"/>
      <c r="K11" s="80"/>
      <c r="L11" s="80"/>
      <c r="M11" s="80"/>
      <c r="N11" s="80"/>
      <c r="O11" s="80"/>
      <c r="P11" s="80"/>
      <c r="Q11" s="80"/>
      <c r="R11" s="80"/>
      <c r="S11" s="80"/>
      <c r="T11" s="80"/>
      <c r="U11" s="80"/>
      <c r="V11" s="80"/>
      <c r="W11" s="80"/>
    </row>
    <row r="12" spans="1:23" s="81" customFormat="1" x14ac:dyDescent="0.25">
      <c r="A12" s="78"/>
      <c r="B12" s="79"/>
      <c r="C12" s="78"/>
      <c r="D12" s="80"/>
      <c r="E12" s="80"/>
      <c r="F12" s="80"/>
      <c r="G12" s="80"/>
      <c r="H12" s="80"/>
      <c r="I12" s="80"/>
      <c r="J12" s="80"/>
      <c r="K12" s="80"/>
      <c r="L12" s="80"/>
      <c r="M12" s="80"/>
      <c r="N12" s="80"/>
      <c r="O12" s="80"/>
      <c r="P12" s="80"/>
      <c r="Q12" s="80"/>
      <c r="R12" s="80"/>
      <c r="S12" s="80"/>
      <c r="T12" s="80"/>
      <c r="U12" s="80"/>
      <c r="V12" s="80"/>
      <c r="W12" s="80"/>
    </row>
    <row r="13" spans="1:23" s="3" customFormat="1" x14ac:dyDescent="0.25">
      <c r="A13" s="44" t="s">
        <v>32</v>
      </c>
      <c r="B13" s="44" t="s">
        <v>102</v>
      </c>
      <c r="C13" s="45" t="s">
        <v>88</v>
      </c>
      <c r="D13" s="44">
        <v>2021</v>
      </c>
      <c r="E13" s="45">
        <v>2022</v>
      </c>
      <c r="F13" s="44">
        <v>2023</v>
      </c>
      <c r="G13" s="45">
        <v>2024</v>
      </c>
      <c r="H13" s="44">
        <v>2025</v>
      </c>
      <c r="I13" s="45">
        <v>2026</v>
      </c>
      <c r="J13" s="44">
        <v>2027</v>
      </c>
      <c r="K13" s="45">
        <v>2028</v>
      </c>
      <c r="L13" s="44">
        <v>2029</v>
      </c>
      <c r="M13" s="45">
        <v>2030</v>
      </c>
      <c r="N13" s="44">
        <v>2031</v>
      </c>
      <c r="O13" s="45">
        <v>2032</v>
      </c>
      <c r="P13" s="44">
        <v>2033</v>
      </c>
      <c r="Q13" s="45">
        <v>2034</v>
      </c>
      <c r="R13" s="44">
        <v>2035</v>
      </c>
      <c r="S13" s="45">
        <v>2036</v>
      </c>
      <c r="T13" s="44">
        <v>2037</v>
      </c>
      <c r="U13" s="45">
        <v>2038</v>
      </c>
      <c r="V13" s="44">
        <v>2039</v>
      </c>
      <c r="W13" s="45">
        <v>2040</v>
      </c>
    </row>
    <row r="14" spans="1:23" s="3" customFormat="1" ht="14.4" customHeight="1" x14ac:dyDescent="0.25">
      <c r="A14" s="163" t="s">
        <v>106</v>
      </c>
      <c r="B14" s="47" t="s">
        <v>59</v>
      </c>
      <c r="C14" s="65" t="s">
        <v>11</v>
      </c>
      <c r="D14" s="51">
        <v>0</v>
      </c>
      <c r="E14" s="51">
        <f t="shared" ref="E14:W14" si="1">$D2-E2</f>
        <v>0</v>
      </c>
      <c r="F14" s="51">
        <f t="shared" si="1"/>
        <v>0</v>
      </c>
      <c r="G14" s="51">
        <f t="shared" si="1"/>
        <v>0</v>
      </c>
      <c r="H14" s="51">
        <f t="shared" si="1"/>
        <v>0</v>
      </c>
      <c r="I14" s="51">
        <f t="shared" si="1"/>
        <v>0</v>
      </c>
      <c r="J14" s="51">
        <f t="shared" si="1"/>
        <v>0</v>
      </c>
      <c r="K14" s="51">
        <f t="shared" si="1"/>
        <v>0</v>
      </c>
      <c r="L14" s="51">
        <f t="shared" si="1"/>
        <v>0</v>
      </c>
      <c r="M14" s="51">
        <f t="shared" si="1"/>
        <v>0</v>
      </c>
      <c r="N14" s="51">
        <f t="shared" si="1"/>
        <v>2</v>
      </c>
      <c r="O14" s="51">
        <f t="shared" si="1"/>
        <v>2</v>
      </c>
      <c r="P14" s="51">
        <f t="shared" si="1"/>
        <v>2</v>
      </c>
      <c r="Q14" s="51">
        <f t="shared" si="1"/>
        <v>2</v>
      </c>
      <c r="R14" s="51">
        <f t="shared" si="1"/>
        <v>2</v>
      </c>
      <c r="S14" s="51">
        <f t="shared" si="1"/>
        <v>2</v>
      </c>
      <c r="T14" s="51">
        <f t="shared" si="1"/>
        <v>2</v>
      </c>
      <c r="U14" s="51">
        <f t="shared" si="1"/>
        <v>2</v>
      </c>
      <c r="V14" s="51">
        <f t="shared" si="1"/>
        <v>2</v>
      </c>
      <c r="W14" s="51">
        <f t="shared" si="1"/>
        <v>2</v>
      </c>
    </row>
    <row r="15" spans="1:23" s="3" customFormat="1" x14ac:dyDescent="0.25">
      <c r="A15" s="163"/>
      <c r="B15" s="47" t="s">
        <v>57</v>
      </c>
      <c r="C15" s="65" t="s">
        <v>11</v>
      </c>
      <c r="D15" s="51">
        <v>0</v>
      </c>
      <c r="E15" s="51">
        <f t="shared" ref="E15:W15" si="2">$D3-E3</f>
        <v>2</v>
      </c>
      <c r="F15" s="51">
        <f t="shared" si="2"/>
        <v>3</v>
      </c>
      <c r="G15" s="51">
        <f t="shared" si="2"/>
        <v>5</v>
      </c>
      <c r="H15" s="51">
        <f t="shared" si="2"/>
        <v>8</v>
      </c>
      <c r="I15" s="51">
        <f t="shared" si="2"/>
        <v>11</v>
      </c>
      <c r="J15" s="51">
        <f t="shared" si="2"/>
        <v>14</v>
      </c>
      <c r="K15" s="51">
        <f t="shared" si="2"/>
        <v>16</v>
      </c>
      <c r="L15" s="51">
        <f t="shared" si="2"/>
        <v>16</v>
      </c>
      <c r="M15" s="51">
        <f t="shared" si="2"/>
        <v>16</v>
      </c>
      <c r="N15" s="51">
        <f t="shared" si="2"/>
        <v>16</v>
      </c>
      <c r="O15" s="51">
        <f t="shared" si="2"/>
        <v>16</v>
      </c>
      <c r="P15" s="51">
        <f t="shared" si="2"/>
        <v>16</v>
      </c>
      <c r="Q15" s="51">
        <f t="shared" si="2"/>
        <v>16</v>
      </c>
      <c r="R15" s="51">
        <f t="shared" si="2"/>
        <v>16</v>
      </c>
      <c r="S15" s="51">
        <f t="shared" si="2"/>
        <v>16</v>
      </c>
      <c r="T15" s="51">
        <f t="shared" si="2"/>
        <v>16</v>
      </c>
      <c r="U15" s="51">
        <f t="shared" si="2"/>
        <v>16</v>
      </c>
      <c r="V15" s="51">
        <f t="shared" si="2"/>
        <v>16</v>
      </c>
      <c r="W15" s="51">
        <f t="shared" si="2"/>
        <v>16</v>
      </c>
    </row>
    <row r="16" spans="1:23" s="3" customFormat="1" x14ac:dyDescent="0.25">
      <c r="A16" s="163"/>
      <c r="B16" s="47" t="s">
        <v>56</v>
      </c>
      <c r="C16" s="65" t="s">
        <v>11</v>
      </c>
      <c r="D16" s="51">
        <v>0</v>
      </c>
      <c r="E16" s="51">
        <f t="shared" ref="E16:W16" si="3">$D4-E4</f>
        <v>0</v>
      </c>
      <c r="F16" s="51">
        <f t="shared" si="3"/>
        <v>4</v>
      </c>
      <c r="G16" s="51">
        <f t="shared" si="3"/>
        <v>4</v>
      </c>
      <c r="H16" s="51">
        <f t="shared" si="3"/>
        <v>4</v>
      </c>
      <c r="I16" s="51">
        <f t="shared" si="3"/>
        <v>4</v>
      </c>
      <c r="J16" s="51">
        <f t="shared" si="3"/>
        <v>4</v>
      </c>
      <c r="K16" s="51">
        <f t="shared" si="3"/>
        <v>4</v>
      </c>
      <c r="L16" s="51">
        <f t="shared" si="3"/>
        <v>4</v>
      </c>
      <c r="M16" s="51">
        <f t="shared" si="3"/>
        <v>4</v>
      </c>
      <c r="N16" s="51">
        <f t="shared" si="3"/>
        <v>4</v>
      </c>
      <c r="O16" s="51">
        <f t="shared" si="3"/>
        <v>4</v>
      </c>
      <c r="P16" s="51">
        <f t="shared" si="3"/>
        <v>4</v>
      </c>
      <c r="Q16" s="51">
        <f t="shared" si="3"/>
        <v>4</v>
      </c>
      <c r="R16" s="51">
        <f t="shared" si="3"/>
        <v>4</v>
      </c>
      <c r="S16" s="51">
        <f t="shared" si="3"/>
        <v>4</v>
      </c>
      <c r="T16" s="51">
        <f t="shared" si="3"/>
        <v>4</v>
      </c>
      <c r="U16" s="51">
        <f t="shared" si="3"/>
        <v>4</v>
      </c>
      <c r="V16" s="51">
        <f t="shared" si="3"/>
        <v>4</v>
      </c>
      <c r="W16" s="51">
        <f t="shared" si="3"/>
        <v>4</v>
      </c>
    </row>
    <row r="17" spans="1:23" s="3" customFormat="1" x14ac:dyDescent="0.25">
      <c r="A17" s="163"/>
      <c r="B17" s="47" t="s">
        <v>100</v>
      </c>
      <c r="C17" s="65" t="s">
        <v>11</v>
      </c>
      <c r="D17" s="51">
        <v>0</v>
      </c>
      <c r="E17" s="51">
        <f t="shared" ref="E17:W17" si="4">$D5-E5</f>
        <v>0</v>
      </c>
      <c r="F17" s="51">
        <f t="shared" si="4"/>
        <v>0</v>
      </c>
      <c r="G17" s="51">
        <f t="shared" si="4"/>
        <v>0</v>
      </c>
      <c r="H17" s="51">
        <f t="shared" si="4"/>
        <v>0</v>
      </c>
      <c r="I17" s="51">
        <f t="shared" si="4"/>
        <v>0</v>
      </c>
      <c r="J17" s="51">
        <f t="shared" si="4"/>
        <v>0</v>
      </c>
      <c r="K17" s="51">
        <f t="shared" si="4"/>
        <v>0</v>
      </c>
      <c r="L17" s="51">
        <f t="shared" si="4"/>
        <v>0</v>
      </c>
      <c r="M17" s="51">
        <f t="shared" si="4"/>
        <v>0</v>
      </c>
      <c r="N17" s="51">
        <f t="shared" si="4"/>
        <v>0</v>
      </c>
      <c r="O17" s="51">
        <f t="shared" si="4"/>
        <v>0</v>
      </c>
      <c r="P17" s="51">
        <f t="shared" si="4"/>
        <v>0</v>
      </c>
      <c r="Q17" s="51">
        <f t="shared" si="4"/>
        <v>0</v>
      </c>
      <c r="R17" s="51">
        <f t="shared" si="4"/>
        <v>0</v>
      </c>
      <c r="S17" s="51">
        <f t="shared" si="4"/>
        <v>0</v>
      </c>
      <c r="T17" s="51">
        <f t="shared" si="4"/>
        <v>0</v>
      </c>
      <c r="U17" s="51">
        <f t="shared" si="4"/>
        <v>0</v>
      </c>
      <c r="V17" s="51">
        <f t="shared" si="4"/>
        <v>0</v>
      </c>
      <c r="W17" s="51">
        <f t="shared" si="4"/>
        <v>0</v>
      </c>
    </row>
    <row r="18" spans="1:23" s="3" customFormat="1" x14ac:dyDescent="0.25">
      <c r="A18" s="163"/>
      <c r="B18" s="47" t="s">
        <v>60</v>
      </c>
      <c r="C18" s="65" t="s">
        <v>11</v>
      </c>
      <c r="D18" s="51">
        <v>0</v>
      </c>
      <c r="E18" s="51">
        <f t="shared" ref="E18:W18" si="5">$D6-E6</f>
        <v>0</v>
      </c>
      <c r="F18" s="51">
        <f t="shared" si="5"/>
        <v>0</v>
      </c>
      <c r="G18" s="51">
        <f t="shared" si="5"/>
        <v>0</v>
      </c>
      <c r="H18" s="51">
        <f t="shared" si="5"/>
        <v>1</v>
      </c>
      <c r="I18" s="51">
        <f t="shared" si="5"/>
        <v>1</v>
      </c>
      <c r="J18" s="51">
        <f t="shared" si="5"/>
        <v>1</v>
      </c>
      <c r="K18" s="51">
        <f t="shared" si="5"/>
        <v>1</v>
      </c>
      <c r="L18" s="51">
        <f t="shared" si="5"/>
        <v>1</v>
      </c>
      <c r="M18" s="51">
        <f t="shared" si="5"/>
        <v>1</v>
      </c>
      <c r="N18" s="51">
        <f t="shared" si="5"/>
        <v>1</v>
      </c>
      <c r="O18" s="51">
        <f t="shared" si="5"/>
        <v>1</v>
      </c>
      <c r="P18" s="51">
        <f t="shared" si="5"/>
        <v>1</v>
      </c>
      <c r="Q18" s="51">
        <f t="shared" si="5"/>
        <v>1</v>
      </c>
      <c r="R18" s="51">
        <f t="shared" si="5"/>
        <v>1</v>
      </c>
      <c r="S18" s="51">
        <f t="shared" si="5"/>
        <v>1</v>
      </c>
      <c r="T18" s="51">
        <f t="shared" si="5"/>
        <v>1</v>
      </c>
      <c r="U18" s="51">
        <f t="shared" si="5"/>
        <v>1</v>
      </c>
      <c r="V18" s="51">
        <f t="shared" si="5"/>
        <v>1</v>
      </c>
      <c r="W18" s="51">
        <f t="shared" si="5"/>
        <v>1</v>
      </c>
    </row>
    <row r="19" spans="1:23" s="3" customFormat="1" x14ac:dyDescent="0.25">
      <c r="A19" s="163"/>
      <c r="B19" s="47" t="s">
        <v>101</v>
      </c>
      <c r="C19" s="65" t="s">
        <v>11</v>
      </c>
      <c r="D19" s="51">
        <v>0</v>
      </c>
      <c r="E19" s="51">
        <f t="shared" ref="E19:W19" si="6">$D7-E7</f>
        <v>0</v>
      </c>
      <c r="F19" s="51">
        <f t="shared" si="6"/>
        <v>0</v>
      </c>
      <c r="G19" s="51">
        <f t="shared" si="6"/>
        <v>0</v>
      </c>
      <c r="H19" s="51">
        <f t="shared" si="6"/>
        <v>0</v>
      </c>
      <c r="I19" s="51">
        <f t="shared" si="6"/>
        <v>0</v>
      </c>
      <c r="J19" s="51">
        <f t="shared" si="6"/>
        <v>0</v>
      </c>
      <c r="K19" s="51">
        <f t="shared" si="6"/>
        <v>0</v>
      </c>
      <c r="L19" s="51">
        <f t="shared" si="6"/>
        <v>0</v>
      </c>
      <c r="M19" s="51">
        <f t="shared" si="6"/>
        <v>0</v>
      </c>
      <c r="N19" s="51">
        <f t="shared" si="6"/>
        <v>0</v>
      </c>
      <c r="O19" s="51">
        <f t="shared" si="6"/>
        <v>0</v>
      </c>
      <c r="P19" s="51">
        <f t="shared" si="6"/>
        <v>0</v>
      </c>
      <c r="Q19" s="51">
        <f t="shared" si="6"/>
        <v>0</v>
      </c>
      <c r="R19" s="51">
        <f t="shared" si="6"/>
        <v>0</v>
      </c>
      <c r="S19" s="51">
        <f t="shared" si="6"/>
        <v>0</v>
      </c>
      <c r="T19" s="51">
        <f t="shared" si="6"/>
        <v>0</v>
      </c>
      <c r="U19" s="51">
        <f t="shared" si="6"/>
        <v>0</v>
      </c>
      <c r="V19" s="51">
        <f t="shared" si="6"/>
        <v>0</v>
      </c>
      <c r="W19" s="51">
        <f t="shared" si="6"/>
        <v>0</v>
      </c>
    </row>
    <row r="20" spans="1:23" s="3" customFormat="1" x14ac:dyDescent="0.25">
      <c r="A20" s="163"/>
      <c r="B20" s="47" t="s">
        <v>58</v>
      </c>
      <c r="C20" s="65" t="s">
        <v>11</v>
      </c>
      <c r="D20" s="51">
        <v>0</v>
      </c>
      <c r="E20" s="51">
        <f t="shared" ref="E20:W20" si="7">$D8-E8</f>
        <v>0</v>
      </c>
      <c r="F20" s="51">
        <f t="shared" si="7"/>
        <v>0</v>
      </c>
      <c r="G20" s="51">
        <f t="shared" si="7"/>
        <v>0</v>
      </c>
      <c r="H20" s="51">
        <f t="shared" si="7"/>
        <v>1</v>
      </c>
      <c r="I20" s="51">
        <f t="shared" si="7"/>
        <v>1</v>
      </c>
      <c r="J20" s="51">
        <f t="shared" si="7"/>
        <v>1</v>
      </c>
      <c r="K20" s="51">
        <f t="shared" si="7"/>
        <v>1</v>
      </c>
      <c r="L20" s="51">
        <f t="shared" si="7"/>
        <v>1</v>
      </c>
      <c r="M20" s="51">
        <f t="shared" si="7"/>
        <v>1</v>
      </c>
      <c r="N20" s="51">
        <f t="shared" si="7"/>
        <v>1</v>
      </c>
      <c r="O20" s="51">
        <f t="shared" si="7"/>
        <v>1</v>
      </c>
      <c r="P20" s="51">
        <f t="shared" si="7"/>
        <v>1</v>
      </c>
      <c r="Q20" s="51">
        <f t="shared" si="7"/>
        <v>1</v>
      </c>
      <c r="R20" s="51">
        <f t="shared" si="7"/>
        <v>1</v>
      </c>
      <c r="S20" s="51">
        <f t="shared" si="7"/>
        <v>1</v>
      </c>
      <c r="T20" s="51">
        <f t="shared" si="7"/>
        <v>1</v>
      </c>
      <c r="U20" s="51">
        <f t="shared" si="7"/>
        <v>1</v>
      </c>
      <c r="V20" s="51">
        <f t="shared" si="7"/>
        <v>1</v>
      </c>
      <c r="W20" s="51">
        <f t="shared" si="7"/>
        <v>1</v>
      </c>
    </row>
    <row r="21" spans="1:23" s="3" customFormat="1" x14ac:dyDescent="0.25">
      <c r="A21" s="163"/>
      <c r="B21" s="47" t="s">
        <v>61</v>
      </c>
      <c r="C21" s="65" t="s">
        <v>11</v>
      </c>
      <c r="D21" s="51">
        <v>0</v>
      </c>
      <c r="E21" s="51">
        <f t="shared" ref="E21:W21" si="8">$D9-E9</f>
        <v>1</v>
      </c>
      <c r="F21" s="51">
        <f t="shared" si="8"/>
        <v>1</v>
      </c>
      <c r="G21" s="51">
        <f t="shared" si="8"/>
        <v>1</v>
      </c>
      <c r="H21" s="51">
        <f t="shared" si="8"/>
        <v>1</v>
      </c>
      <c r="I21" s="51">
        <f t="shared" si="8"/>
        <v>2</v>
      </c>
      <c r="J21" s="51">
        <f t="shared" si="8"/>
        <v>2</v>
      </c>
      <c r="K21" s="51">
        <f t="shared" si="8"/>
        <v>2</v>
      </c>
      <c r="L21" s="51">
        <f t="shared" si="8"/>
        <v>2</v>
      </c>
      <c r="M21" s="51">
        <f t="shared" si="8"/>
        <v>2</v>
      </c>
      <c r="N21" s="51">
        <f t="shared" si="8"/>
        <v>2</v>
      </c>
      <c r="O21" s="51">
        <f t="shared" si="8"/>
        <v>2</v>
      </c>
      <c r="P21" s="51">
        <f t="shared" si="8"/>
        <v>2</v>
      </c>
      <c r="Q21" s="51">
        <f t="shared" si="8"/>
        <v>2</v>
      </c>
      <c r="R21" s="51">
        <f t="shared" si="8"/>
        <v>2</v>
      </c>
      <c r="S21" s="51">
        <f t="shared" si="8"/>
        <v>2</v>
      </c>
      <c r="T21" s="51">
        <f t="shared" si="8"/>
        <v>2</v>
      </c>
      <c r="U21" s="51">
        <f t="shared" si="8"/>
        <v>2</v>
      </c>
      <c r="V21" s="51">
        <f t="shared" si="8"/>
        <v>2</v>
      </c>
      <c r="W21" s="51">
        <f t="shared" si="8"/>
        <v>2</v>
      </c>
    </row>
    <row r="22" spans="1:23" s="3" customFormat="1" x14ac:dyDescent="0.25">
      <c r="A22" s="163"/>
      <c r="B22" s="68" t="s">
        <v>104</v>
      </c>
      <c r="C22" s="59"/>
      <c r="D22" s="69">
        <f>SUM(D14:D21)</f>
        <v>0</v>
      </c>
      <c r="E22" s="69">
        <f t="shared" ref="E22:W22" si="9">SUM(E14:E21)</f>
        <v>3</v>
      </c>
      <c r="F22" s="69">
        <f t="shared" si="9"/>
        <v>8</v>
      </c>
      <c r="G22" s="69">
        <f t="shared" si="9"/>
        <v>10</v>
      </c>
      <c r="H22" s="69">
        <f t="shared" si="9"/>
        <v>15</v>
      </c>
      <c r="I22" s="69">
        <f t="shared" si="9"/>
        <v>19</v>
      </c>
      <c r="J22" s="69">
        <f t="shared" si="9"/>
        <v>22</v>
      </c>
      <c r="K22" s="69">
        <f t="shared" si="9"/>
        <v>24</v>
      </c>
      <c r="L22" s="69">
        <f t="shared" si="9"/>
        <v>24</v>
      </c>
      <c r="M22" s="69">
        <f t="shared" si="9"/>
        <v>24</v>
      </c>
      <c r="N22" s="69">
        <f t="shared" si="9"/>
        <v>26</v>
      </c>
      <c r="O22" s="69">
        <f t="shared" si="9"/>
        <v>26</v>
      </c>
      <c r="P22" s="69">
        <f t="shared" si="9"/>
        <v>26</v>
      </c>
      <c r="Q22" s="69">
        <f t="shared" si="9"/>
        <v>26</v>
      </c>
      <c r="R22" s="69">
        <f t="shared" si="9"/>
        <v>26</v>
      </c>
      <c r="S22" s="69">
        <f t="shared" si="9"/>
        <v>26</v>
      </c>
      <c r="T22" s="69">
        <f t="shared" si="9"/>
        <v>26</v>
      </c>
      <c r="U22" s="69">
        <f t="shared" si="9"/>
        <v>26</v>
      </c>
      <c r="V22" s="69">
        <f t="shared" si="9"/>
        <v>26</v>
      </c>
      <c r="W22" s="69">
        <f t="shared" si="9"/>
        <v>26</v>
      </c>
    </row>
    <row r="23" spans="1:23" s="84" customFormat="1" x14ac:dyDescent="0.25">
      <c r="A23" s="82"/>
      <c r="B23" s="83"/>
      <c r="C23" s="78"/>
      <c r="D23" s="80"/>
      <c r="E23" s="80"/>
      <c r="F23" s="80"/>
      <c r="G23" s="80"/>
      <c r="H23" s="80"/>
      <c r="I23" s="80"/>
      <c r="J23" s="80"/>
      <c r="K23" s="80"/>
      <c r="L23" s="80"/>
      <c r="M23" s="80"/>
      <c r="N23" s="80"/>
      <c r="O23" s="80"/>
      <c r="P23" s="80"/>
      <c r="Q23" s="80"/>
      <c r="R23" s="80"/>
      <c r="S23" s="80"/>
      <c r="T23" s="80"/>
      <c r="U23" s="80"/>
      <c r="V23" s="80"/>
      <c r="W23" s="80"/>
    </row>
    <row r="24" spans="1:23" x14ac:dyDescent="0.25">
      <c r="A24" s="164" t="s">
        <v>145</v>
      </c>
      <c r="B24" s="164"/>
      <c r="C24" s="78"/>
      <c r="D24" s="80"/>
      <c r="E24" s="80"/>
      <c r="F24" s="80"/>
      <c r="G24" s="80"/>
      <c r="H24" s="80"/>
      <c r="I24" s="80"/>
      <c r="J24" s="80"/>
      <c r="K24" s="80"/>
      <c r="L24" s="80"/>
      <c r="M24" s="80"/>
      <c r="N24" s="80"/>
      <c r="O24" s="80"/>
      <c r="P24" s="80"/>
      <c r="Q24" s="80"/>
      <c r="R24" s="80"/>
      <c r="S24" s="80"/>
      <c r="T24" s="80"/>
      <c r="U24" s="80"/>
      <c r="V24" s="80"/>
      <c r="W24" s="80"/>
    </row>
    <row r="25" spans="1:23" s="3" customFormat="1" x14ac:dyDescent="0.25">
      <c r="A25" s="44" t="s">
        <v>32</v>
      </c>
      <c r="B25" s="44" t="s">
        <v>102</v>
      </c>
      <c r="C25" s="45" t="s">
        <v>88</v>
      </c>
      <c r="D25" s="44">
        <v>2021</v>
      </c>
      <c r="E25" s="45">
        <v>2022</v>
      </c>
      <c r="F25" s="44">
        <v>2023</v>
      </c>
      <c r="G25" s="45">
        <v>2024</v>
      </c>
      <c r="H25" s="44">
        <v>2025</v>
      </c>
      <c r="I25" s="45">
        <v>2026</v>
      </c>
      <c r="J25" s="44">
        <v>2027</v>
      </c>
      <c r="K25" s="45">
        <v>2028</v>
      </c>
      <c r="L25" s="44">
        <v>2029</v>
      </c>
      <c r="M25" s="45">
        <v>2030</v>
      </c>
      <c r="N25" s="44">
        <v>2031</v>
      </c>
      <c r="O25" s="45">
        <v>2032</v>
      </c>
      <c r="P25" s="44">
        <v>2033</v>
      </c>
      <c r="Q25" s="45">
        <v>2034</v>
      </c>
      <c r="R25" s="44">
        <v>2035</v>
      </c>
      <c r="S25" s="45">
        <v>2036</v>
      </c>
      <c r="T25" s="44">
        <v>2037</v>
      </c>
      <c r="U25" s="45">
        <v>2038</v>
      </c>
      <c r="V25" s="44">
        <v>2039</v>
      </c>
      <c r="W25" s="45">
        <v>2040</v>
      </c>
    </row>
    <row r="26" spans="1:23" s="3" customFormat="1" ht="14.4" customHeight="1" x14ac:dyDescent="0.25">
      <c r="A26" s="163" t="s">
        <v>114</v>
      </c>
      <c r="B26" s="47" t="s">
        <v>59</v>
      </c>
      <c r="C26" s="65" t="s">
        <v>11</v>
      </c>
      <c r="D26" s="70">
        <f>(Settings!$P6-SUM($W2,$W14))/COUNTA($D$25:$M$25)</f>
        <v>0.1</v>
      </c>
      <c r="E26" s="70">
        <f>D26+(Settings!$P6-SUM($W2,$W14))/COUNTA($D$25:$M$25)</f>
        <v>0.2</v>
      </c>
      <c r="F26" s="70">
        <f>E26+(Settings!$P6-SUM($W2,$W14))/COUNTA($D$25:$M$25)</f>
        <v>0.30000000000000004</v>
      </c>
      <c r="G26" s="70">
        <f>F26+(Settings!$P6-SUM($W2,$W14))/COUNTA($D$25:$M$25)</f>
        <v>0.4</v>
      </c>
      <c r="H26" s="70">
        <f>G26+(Settings!$P6-SUM($W2,$W14))/COUNTA($D$25:$M$25)</f>
        <v>0.5</v>
      </c>
      <c r="I26" s="70">
        <f>H26+(Settings!$P6-SUM($W2,$W14))/COUNTA($D$25:$M$25)</f>
        <v>0.6</v>
      </c>
      <c r="J26" s="70">
        <f>I26+(Settings!$P6-SUM($W2,$W14))/COUNTA($D$25:$M$25)</f>
        <v>0.7</v>
      </c>
      <c r="K26" s="70">
        <f>J26+(Settings!$P6-SUM($W2,$W14))/COUNTA($D$25:$M$25)</f>
        <v>0.79999999999999993</v>
      </c>
      <c r="L26" s="70">
        <f>K26+(Settings!$P6-SUM($W2,$W14))/COUNTA($D$25:$M$25)</f>
        <v>0.89999999999999991</v>
      </c>
      <c r="M26" s="70">
        <f>L26+(Settings!$P6-SUM($W2,$W14))/COUNTA($D$25:$M$25)</f>
        <v>0.99999999999999989</v>
      </c>
      <c r="N26" s="51">
        <f>M26</f>
        <v>0.99999999999999989</v>
      </c>
      <c r="O26" s="51">
        <f t="shared" ref="O26:W26" si="10">N26</f>
        <v>0.99999999999999989</v>
      </c>
      <c r="P26" s="51">
        <f t="shared" si="10"/>
        <v>0.99999999999999989</v>
      </c>
      <c r="Q26" s="51">
        <f t="shared" si="10"/>
        <v>0.99999999999999989</v>
      </c>
      <c r="R26" s="51">
        <f t="shared" si="10"/>
        <v>0.99999999999999989</v>
      </c>
      <c r="S26" s="51">
        <f t="shared" si="10"/>
        <v>0.99999999999999989</v>
      </c>
      <c r="T26" s="51">
        <f t="shared" si="10"/>
        <v>0.99999999999999989</v>
      </c>
      <c r="U26" s="51">
        <f t="shared" si="10"/>
        <v>0.99999999999999989</v>
      </c>
      <c r="V26" s="51">
        <f t="shared" si="10"/>
        <v>0.99999999999999989</v>
      </c>
      <c r="W26" s="51">
        <f t="shared" si="10"/>
        <v>0.99999999999999989</v>
      </c>
    </row>
    <row r="27" spans="1:23" s="3" customFormat="1" x14ac:dyDescent="0.25">
      <c r="A27" s="163"/>
      <c r="B27" s="47" t="s">
        <v>57</v>
      </c>
      <c r="C27" s="65" t="s">
        <v>11</v>
      </c>
      <c r="D27" s="70">
        <f>(Settings!$P7-SUM($W3,$W15))/COUNTA($D$25:$M$25)</f>
        <v>0.6</v>
      </c>
      <c r="E27" s="70">
        <f>D27+(Settings!$P7-SUM($W3,$W15))/COUNTA($D$25:$M$25)</f>
        <v>1.2</v>
      </c>
      <c r="F27" s="70">
        <f>E27+(Settings!$P7-SUM($W3,$W15))/COUNTA($D$25:$M$25)</f>
        <v>1.7999999999999998</v>
      </c>
      <c r="G27" s="70">
        <f>F27+(Settings!$P7-SUM($W3,$W15))/COUNTA($D$25:$M$25)</f>
        <v>2.4</v>
      </c>
      <c r="H27" s="70">
        <f>G27+(Settings!$P7-SUM($W3,$W15))/COUNTA($D$25:$M$25)</f>
        <v>3</v>
      </c>
      <c r="I27" s="70">
        <f>H27+(Settings!$P7-SUM($W3,$W15))/COUNTA($D$25:$M$25)</f>
        <v>3.6</v>
      </c>
      <c r="J27" s="70">
        <f>I27+(Settings!$P7-SUM($W3,$W15))/COUNTA($D$25:$M$25)</f>
        <v>4.2</v>
      </c>
      <c r="K27" s="70">
        <f>J27+(Settings!$P7-SUM($W3,$W15))/COUNTA($D$25:$M$25)</f>
        <v>4.8</v>
      </c>
      <c r="L27" s="70">
        <f>K27+(Settings!$P7-SUM($W3,$W15))/COUNTA($D$25:$M$25)</f>
        <v>5.3999999999999995</v>
      </c>
      <c r="M27" s="70">
        <f>L27+(Settings!$P7-SUM($W3,$W15))/COUNTA($D$25:$M$25)</f>
        <v>5.9999999999999991</v>
      </c>
      <c r="N27" s="51">
        <f t="shared" ref="N27:W33" si="11">M27</f>
        <v>5.9999999999999991</v>
      </c>
      <c r="O27" s="51">
        <f t="shared" si="11"/>
        <v>5.9999999999999991</v>
      </c>
      <c r="P27" s="51">
        <f t="shared" si="11"/>
        <v>5.9999999999999991</v>
      </c>
      <c r="Q27" s="51">
        <f t="shared" si="11"/>
        <v>5.9999999999999991</v>
      </c>
      <c r="R27" s="51">
        <f t="shared" si="11"/>
        <v>5.9999999999999991</v>
      </c>
      <c r="S27" s="51">
        <f t="shared" si="11"/>
        <v>5.9999999999999991</v>
      </c>
      <c r="T27" s="51">
        <f t="shared" si="11"/>
        <v>5.9999999999999991</v>
      </c>
      <c r="U27" s="51">
        <f t="shared" si="11"/>
        <v>5.9999999999999991</v>
      </c>
      <c r="V27" s="51">
        <f t="shared" si="11"/>
        <v>5.9999999999999991</v>
      </c>
      <c r="W27" s="51">
        <f t="shared" si="11"/>
        <v>5.9999999999999991</v>
      </c>
    </row>
    <row r="28" spans="1:23" s="3" customFormat="1" x14ac:dyDescent="0.25">
      <c r="A28" s="163"/>
      <c r="B28" s="47" t="s">
        <v>56</v>
      </c>
      <c r="C28" s="65" t="s">
        <v>11</v>
      </c>
      <c r="D28" s="70">
        <f>(Settings!$P8-SUM($W4,$W16))/COUNTA($D$25:$M$25)</f>
        <v>0.2</v>
      </c>
      <c r="E28" s="70">
        <f>D28+(Settings!$P8-SUM($W4,$W16))/COUNTA($D$25:$M$25)</f>
        <v>0.4</v>
      </c>
      <c r="F28" s="70">
        <f>E28+(Settings!$P8-SUM($W4,$W16))/COUNTA($D$25:$M$25)</f>
        <v>0.60000000000000009</v>
      </c>
      <c r="G28" s="70">
        <f>F28+(Settings!$P8-SUM($W4,$W16))/COUNTA($D$25:$M$25)</f>
        <v>0.8</v>
      </c>
      <c r="H28" s="70">
        <f>G28+(Settings!$P8-SUM($W4,$W16))/COUNTA($D$25:$M$25)</f>
        <v>1</v>
      </c>
      <c r="I28" s="70">
        <f>H28+(Settings!$P8-SUM($W4,$W16))/COUNTA($D$25:$M$25)</f>
        <v>1.2</v>
      </c>
      <c r="J28" s="70">
        <f>I28+(Settings!$P8-SUM($W4,$W16))/COUNTA($D$25:$M$25)</f>
        <v>1.4</v>
      </c>
      <c r="K28" s="70">
        <f>J28+(Settings!$P8-SUM($W4,$W16))/COUNTA($D$25:$M$25)</f>
        <v>1.5999999999999999</v>
      </c>
      <c r="L28" s="70">
        <f>K28+(Settings!$P8-SUM($W4,$W16))/COUNTA($D$25:$M$25)</f>
        <v>1.7999999999999998</v>
      </c>
      <c r="M28" s="70">
        <f>L28+(Settings!$P8-SUM($W4,$W16))/COUNTA($D$25:$M$25)</f>
        <v>1.9999999999999998</v>
      </c>
      <c r="N28" s="51">
        <f t="shared" si="11"/>
        <v>1.9999999999999998</v>
      </c>
      <c r="O28" s="51">
        <f t="shared" si="11"/>
        <v>1.9999999999999998</v>
      </c>
      <c r="P28" s="51">
        <f t="shared" si="11"/>
        <v>1.9999999999999998</v>
      </c>
      <c r="Q28" s="51">
        <f t="shared" si="11"/>
        <v>1.9999999999999998</v>
      </c>
      <c r="R28" s="51">
        <f t="shared" si="11"/>
        <v>1.9999999999999998</v>
      </c>
      <c r="S28" s="51">
        <f t="shared" si="11"/>
        <v>1.9999999999999998</v>
      </c>
      <c r="T28" s="51">
        <f t="shared" si="11"/>
        <v>1.9999999999999998</v>
      </c>
      <c r="U28" s="51">
        <f t="shared" si="11"/>
        <v>1.9999999999999998</v>
      </c>
      <c r="V28" s="51">
        <f t="shared" si="11"/>
        <v>1.9999999999999998</v>
      </c>
      <c r="W28" s="51">
        <f t="shared" si="11"/>
        <v>1.9999999999999998</v>
      </c>
    </row>
    <row r="29" spans="1:23" s="3" customFormat="1" x14ac:dyDescent="0.25">
      <c r="A29" s="163"/>
      <c r="B29" s="47" t="s">
        <v>100</v>
      </c>
      <c r="C29" s="65" t="s">
        <v>11</v>
      </c>
      <c r="D29" s="70">
        <f>(Settings!$P9-SUM($W5,$W17))/COUNTA($D$25:$M$25)</f>
        <v>0</v>
      </c>
      <c r="E29" s="70">
        <f>D29+(Settings!$P9-SUM($W5,$W17))/COUNTA($D$25:$M$25)</f>
        <v>0</v>
      </c>
      <c r="F29" s="70">
        <f>E29+(Settings!$P9-SUM($W5,$W17))/COUNTA($D$25:$M$25)</f>
        <v>0</v>
      </c>
      <c r="G29" s="70">
        <f>F29+(Settings!$P9-SUM($W5,$W17))/COUNTA($D$25:$M$25)</f>
        <v>0</v>
      </c>
      <c r="H29" s="70">
        <f>G29+(Settings!$P9-SUM($W5,$W17))/COUNTA($D$25:$M$25)</f>
        <v>0</v>
      </c>
      <c r="I29" s="70">
        <f>H29+(Settings!$P9-SUM($W5,$W17))/COUNTA($D$25:$M$25)</f>
        <v>0</v>
      </c>
      <c r="J29" s="70">
        <f>I29+(Settings!$P9-SUM($W5,$W17))/COUNTA($D$25:$M$25)</f>
        <v>0</v>
      </c>
      <c r="K29" s="70">
        <f>J29+(Settings!$P9-SUM($W5,$W17))/COUNTA($D$25:$M$25)</f>
        <v>0</v>
      </c>
      <c r="L29" s="70">
        <f>K29+(Settings!$P9-SUM($W5,$W17))/COUNTA($D$25:$M$25)</f>
        <v>0</v>
      </c>
      <c r="M29" s="70">
        <f>L29+(Settings!$P9-SUM($W5,$W17))/COUNTA($D$25:$M$25)</f>
        <v>0</v>
      </c>
      <c r="N29" s="51">
        <f>M29</f>
        <v>0</v>
      </c>
      <c r="O29" s="51">
        <f t="shared" si="11"/>
        <v>0</v>
      </c>
      <c r="P29" s="51">
        <f t="shared" si="11"/>
        <v>0</v>
      </c>
      <c r="Q29" s="51">
        <f t="shared" si="11"/>
        <v>0</v>
      </c>
      <c r="R29" s="51">
        <f t="shared" si="11"/>
        <v>0</v>
      </c>
      <c r="S29" s="51">
        <f t="shared" si="11"/>
        <v>0</v>
      </c>
      <c r="T29" s="51">
        <f t="shared" si="11"/>
        <v>0</v>
      </c>
      <c r="U29" s="51">
        <f t="shared" si="11"/>
        <v>0</v>
      </c>
      <c r="V29" s="51">
        <f t="shared" si="11"/>
        <v>0</v>
      </c>
      <c r="W29" s="51">
        <f t="shared" si="11"/>
        <v>0</v>
      </c>
    </row>
    <row r="30" spans="1:23" s="3" customFormat="1" x14ac:dyDescent="0.25">
      <c r="A30" s="163"/>
      <c r="B30" s="47" t="s">
        <v>60</v>
      </c>
      <c r="C30" s="65" t="s">
        <v>11</v>
      </c>
      <c r="D30" s="70">
        <f>(Settings!$P10-SUM($W6,$W18))/COUNTA($D$25:$M$25)</f>
        <v>0</v>
      </c>
      <c r="E30" s="70">
        <f>D30+(Settings!$P10-SUM($W6,$W18))/COUNTA($D$25:$M$25)</f>
        <v>0</v>
      </c>
      <c r="F30" s="70">
        <f>E30+(Settings!$P10-SUM($W6,$W18))/COUNTA($D$25:$M$25)</f>
        <v>0</v>
      </c>
      <c r="G30" s="70">
        <f>F30+(Settings!$P10-SUM($W6,$W18))/COUNTA($D$25:$M$25)</f>
        <v>0</v>
      </c>
      <c r="H30" s="70">
        <f>G30+(Settings!$P10-SUM($W6,$W18))/COUNTA($D$25:$M$25)</f>
        <v>0</v>
      </c>
      <c r="I30" s="70">
        <f>H30+(Settings!$P10-SUM($W6,$W18))/COUNTA($D$25:$M$25)</f>
        <v>0</v>
      </c>
      <c r="J30" s="70">
        <f>I30+(Settings!$P10-SUM($W6,$W18))/COUNTA($D$25:$M$25)</f>
        <v>0</v>
      </c>
      <c r="K30" s="70">
        <f>J30+(Settings!$P10-SUM($W6,$W18))/COUNTA($D$25:$M$25)</f>
        <v>0</v>
      </c>
      <c r="L30" s="70">
        <f>K30+(Settings!$P10-SUM($W6,$W18))/COUNTA($D$25:$M$25)</f>
        <v>0</v>
      </c>
      <c r="M30" s="70">
        <f>L30+(Settings!$P10-SUM($W6,$W18))/COUNTA($D$25:$M$25)</f>
        <v>0</v>
      </c>
      <c r="N30" s="51">
        <f t="shared" si="11"/>
        <v>0</v>
      </c>
      <c r="O30" s="51">
        <f t="shared" si="11"/>
        <v>0</v>
      </c>
      <c r="P30" s="51">
        <f t="shared" si="11"/>
        <v>0</v>
      </c>
      <c r="Q30" s="51">
        <f t="shared" si="11"/>
        <v>0</v>
      </c>
      <c r="R30" s="51">
        <f t="shared" si="11"/>
        <v>0</v>
      </c>
      <c r="S30" s="51">
        <f t="shared" si="11"/>
        <v>0</v>
      </c>
      <c r="T30" s="51">
        <f t="shared" si="11"/>
        <v>0</v>
      </c>
      <c r="U30" s="51">
        <f t="shared" si="11"/>
        <v>0</v>
      </c>
      <c r="V30" s="51">
        <f t="shared" si="11"/>
        <v>0</v>
      </c>
      <c r="W30" s="51">
        <f t="shared" si="11"/>
        <v>0</v>
      </c>
    </row>
    <row r="31" spans="1:23" s="3" customFormat="1" x14ac:dyDescent="0.25">
      <c r="A31" s="163"/>
      <c r="B31" s="47" t="s">
        <v>101</v>
      </c>
      <c r="C31" s="65" t="s">
        <v>11</v>
      </c>
      <c r="D31" s="70">
        <f>(Settings!$P11-SUM($W7,$W19))/COUNTA($D$25:$M$25)</f>
        <v>0</v>
      </c>
      <c r="E31" s="70">
        <f>D31+(Settings!$P11-SUM($W7,$W19))/COUNTA($D$25:$M$25)</f>
        <v>0</v>
      </c>
      <c r="F31" s="70">
        <f>E31+(Settings!$P11-SUM($W7,$W19))/COUNTA($D$25:$M$25)</f>
        <v>0</v>
      </c>
      <c r="G31" s="70">
        <f>F31+(Settings!$P11-SUM($W7,$W19))/COUNTA($D$25:$M$25)</f>
        <v>0</v>
      </c>
      <c r="H31" s="70">
        <f>G31+(Settings!$P11-SUM($W7,$W19))/COUNTA($D$25:$M$25)</f>
        <v>0</v>
      </c>
      <c r="I31" s="70">
        <f>H31+(Settings!$P11-SUM($W7,$W19))/COUNTA($D$25:$M$25)</f>
        <v>0</v>
      </c>
      <c r="J31" s="70">
        <f>I31+(Settings!$P11-SUM($W7,$W19))/COUNTA($D$25:$M$25)</f>
        <v>0</v>
      </c>
      <c r="K31" s="70">
        <f>J31+(Settings!$P11-SUM($W7,$W19))/COUNTA($D$25:$M$25)</f>
        <v>0</v>
      </c>
      <c r="L31" s="70">
        <f>K31+(Settings!$P11-SUM($W7,$W19))/COUNTA($D$25:$M$25)</f>
        <v>0</v>
      </c>
      <c r="M31" s="70">
        <f>L31+(Settings!$P11-SUM($W7,$W19))/COUNTA($D$25:$M$25)</f>
        <v>0</v>
      </c>
      <c r="N31" s="51">
        <f t="shared" si="11"/>
        <v>0</v>
      </c>
      <c r="O31" s="51">
        <f t="shared" si="11"/>
        <v>0</v>
      </c>
      <c r="P31" s="51">
        <f t="shared" si="11"/>
        <v>0</v>
      </c>
      <c r="Q31" s="51">
        <f t="shared" si="11"/>
        <v>0</v>
      </c>
      <c r="R31" s="51">
        <f t="shared" si="11"/>
        <v>0</v>
      </c>
      <c r="S31" s="51">
        <f t="shared" si="11"/>
        <v>0</v>
      </c>
      <c r="T31" s="51">
        <f t="shared" si="11"/>
        <v>0</v>
      </c>
      <c r="U31" s="51">
        <f t="shared" si="11"/>
        <v>0</v>
      </c>
      <c r="V31" s="51">
        <f t="shared" si="11"/>
        <v>0</v>
      </c>
      <c r="W31" s="51">
        <f t="shared" si="11"/>
        <v>0</v>
      </c>
    </row>
    <row r="32" spans="1:23" s="3" customFormat="1" x14ac:dyDescent="0.25">
      <c r="A32" s="163"/>
      <c r="B32" s="47" t="s">
        <v>58</v>
      </c>
      <c r="C32" s="65" t="s">
        <v>11</v>
      </c>
      <c r="D32" s="70">
        <f>(Settings!$P12-SUM($W8,$W20))/COUNTA($D$25:$M$25)</f>
        <v>0.2</v>
      </c>
      <c r="E32" s="70">
        <f>D32+(Settings!$P12-SUM($W8,$W20))/COUNTA($D$25:$M$25)</f>
        <v>0.4</v>
      </c>
      <c r="F32" s="70">
        <f>E32+(Settings!$P12-SUM($W8,$W20))/COUNTA($D$25:$M$25)</f>
        <v>0.60000000000000009</v>
      </c>
      <c r="G32" s="70">
        <f>F32+(Settings!$P12-SUM($W8,$W20))/COUNTA($D$25:$M$25)</f>
        <v>0.8</v>
      </c>
      <c r="H32" s="70">
        <f>G32+(Settings!$P12-SUM($W8,$W20))/COUNTA($D$25:$M$25)</f>
        <v>1</v>
      </c>
      <c r="I32" s="70">
        <f>H32+(Settings!$P12-SUM($W8,$W20))/COUNTA($D$25:$M$25)</f>
        <v>1.2</v>
      </c>
      <c r="J32" s="70">
        <f>I32+(Settings!$P12-SUM($W8,$W20))/COUNTA($D$25:$M$25)</f>
        <v>1.4</v>
      </c>
      <c r="K32" s="70">
        <f>J32+(Settings!$P12-SUM($W8,$W20))/COUNTA($D$25:$M$25)</f>
        <v>1.5999999999999999</v>
      </c>
      <c r="L32" s="70">
        <f>K32+(Settings!$P12-SUM($W8,$W20))/COUNTA($D$25:$M$25)</f>
        <v>1.7999999999999998</v>
      </c>
      <c r="M32" s="70">
        <f>L32+(Settings!$P12-SUM($W8,$W20))/COUNTA($D$25:$M$25)</f>
        <v>1.9999999999999998</v>
      </c>
      <c r="N32" s="51">
        <f t="shared" si="11"/>
        <v>1.9999999999999998</v>
      </c>
      <c r="O32" s="51">
        <f t="shared" si="11"/>
        <v>1.9999999999999998</v>
      </c>
      <c r="P32" s="51">
        <f t="shared" si="11"/>
        <v>1.9999999999999998</v>
      </c>
      <c r="Q32" s="51">
        <f t="shared" si="11"/>
        <v>1.9999999999999998</v>
      </c>
      <c r="R32" s="51">
        <f t="shared" si="11"/>
        <v>1.9999999999999998</v>
      </c>
      <c r="S32" s="51">
        <f t="shared" si="11"/>
        <v>1.9999999999999998</v>
      </c>
      <c r="T32" s="51">
        <f t="shared" si="11"/>
        <v>1.9999999999999998</v>
      </c>
      <c r="U32" s="51">
        <f t="shared" si="11"/>
        <v>1.9999999999999998</v>
      </c>
      <c r="V32" s="51">
        <f t="shared" si="11"/>
        <v>1.9999999999999998</v>
      </c>
      <c r="W32" s="51">
        <f t="shared" si="11"/>
        <v>1.9999999999999998</v>
      </c>
    </row>
    <row r="33" spans="1:23" s="3" customFormat="1" x14ac:dyDescent="0.25">
      <c r="A33" s="163"/>
      <c r="B33" s="47" t="s">
        <v>61</v>
      </c>
      <c r="C33" s="65" t="s">
        <v>11</v>
      </c>
      <c r="D33" s="70">
        <f>(Settings!$P13-SUM($W9,$W21))/COUNTA($D$25:$M$25)</f>
        <v>0.1</v>
      </c>
      <c r="E33" s="70">
        <f>D33+(Settings!$P13-SUM($W9,$W21))/COUNTA($D$25:$M$25)</f>
        <v>0.2</v>
      </c>
      <c r="F33" s="70">
        <f>E33+(Settings!$P13-SUM($W9,$W21))/COUNTA($D$25:$M$25)</f>
        <v>0.30000000000000004</v>
      </c>
      <c r="G33" s="70">
        <f>F33+(Settings!$P13-SUM($W9,$W21))/COUNTA($D$25:$M$25)</f>
        <v>0.4</v>
      </c>
      <c r="H33" s="70">
        <f>G33+(Settings!$P13-SUM($W9,$W21))/COUNTA($D$25:$M$25)</f>
        <v>0.5</v>
      </c>
      <c r="I33" s="70">
        <f>H33+(Settings!$P13-SUM($W9,$W21))/COUNTA($D$25:$M$25)</f>
        <v>0.6</v>
      </c>
      <c r="J33" s="70">
        <f>I33+(Settings!$P13-SUM($W9,$W21))/COUNTA($D$25:$M$25)</f>
        <v>0.7</v>
      </c>
      <c r="K33" s="70">
        <f>J33+(Settings!$P13-SUM($W9,$W21))/COUNTA($D$25:$M$25)</f>
        <v>0.79999999999999993</v>
      </c>
      <c r="L33" s="70">
        <f>K33+(Settings!$P13-SUM($W9,$W21))/COUNTA($D$25:$M$25)</f>
        <v>0.89999999999999991</v>
      </c>
      <c r="M33" s="70">
        <f>L33+(Settings!$P13-SUM($W9,$W21))/COUNTA($D$25:$M$25)</f>
        <v>0.99999999999999989</v>
      </c>
      <c r="N33" s="51">
        <f t="shared" si="11"/>
        <v>0.99999999999999989</v>
      </c>
      <c r="O33" s="51">
        <f t="shared" si="11"/>
        <v>0.99999999999999989</v>
      </c>
      <c r="P33" s="51">
        <f t="shared" si="11"/>
        <v>0.99999999999999989</v>
      </c>
      <c r="Q33" s="51">
        <f t="shared" si="11"/>
        <v>0.99999999999999989</v>
      </c>
      <c r="R33" s="51">
        <f t="shared" si="11"/>
        <v>0.99999999999999989</v>
      </c>
      <c r="S33" s="51">
        <f t="shared" si="11"/>
        <v>0.99999999999999989</v>
      </c>
      <c r="T33" s="51">
        <f t="shared" si="11"/>
        <v>0.99999999999999989</v>
      </c>
      <c r="U33" s="51">
        <f t="shared" si="11"/>
        <v>0.99999999999999989</v>
      </c>
      <c r="V33" s="51">
        <f t="shared" si="11"/>
        <v>0.99999999999999989</v>
      </c>
      <c r="W33" s="51">
        <f t="shared" si="11"/>
        <v>0.99999999999999989</v>
      </c>
    </row>
    <row r="34" spans="1:23" s="3" customFormat="1" x14ac:dyDescent="0.25">
      <c r="A34" s="163"/>
      <c r="B34" s="68" t="s">
        <v>104</v>
      </c>
      <c r="C34" s="59"/>
      <c r="D34" s="69">
        <f t="shared" ref="D34:W34" si="12">SUM(D26:D33)</f>
        <v>1.2</v>
      </c>
      <c r="E34" s="69">
        <f t="shared" si="12"/>
        <v>2.4</v>
      </c>
      <c r="F34" s="69">
        <f t="shared" si="12"/>
        <v>3.5999999999999996</v>
      </c>
      <c r="G34" s="69">
        <f t="shared" si="12"/>
        <v>4.8</v>
      </c>
      <c r="H34" s="69">
        <f t="shared" si="12"/>
        <v>6</v>
      </c>
      <c r="I34" s="69">
        <f t="shared" si="12"/>
        <v>7.2</v>
      </c>
      <c r="J34" s="69">
        <f t="shared" si="12"/>
        <v>8.4</v>
      </c>
      <c r="K34" s="69">
        <f t="shared" si="12"/>
        <v>9.6</v>
      </c>
      <c r="L34" s="69">
        <f t="shared" si="12"/>
        <v>10.799999999999999</v>
      </c>
      <c r="M34" s="69">
        <f t="shared" si="12"/>
        <v>11.999999999999998</v>
      </c>
      <c r="N34" s="69">
        <f t="shared" si="12"/>
        <v>11.999999999999998</v>
      </c>
      <c r="O34" s="69">
        <f t="shared" si="12"/>
        <v>11.999999999999998</v>
      </c>
      <c r="P34" s="69">
        <f t="shared" si="12"/>
        <v>11.999999999999998</v>
      </c>
      <c r="Q34" s="69">
        <f t="shared" si="12"/>
        <v>11.999999999999998</v>
      </c>
      <c r="R34" s="69">
        <f t="shared" si="12"/>
        <v>11.999999999999998</v>
      </c>
      <c r="S34" s="69">
        <f t="shared" si="12"/>
        <v>11.999999999999998</v>
      </c>
      <c r="T34" s="69">
        <f t="shared" si="12"/>
        <v>11.999999999999998</v>
      </c>
      <c r="U34" s="69">
        <f t="shared" si="12"/>
        <v>11.999999999999998</v>
      </c>
      <c r="V34" s="69">
        <f t="shared" si="12"/>
        <v>11.999999999999998</v>
      </c>
      <c r="W34" s="69">
        <f t="shared" si="12"/>
        <v>11.999999999999998</v>
      </c>
    </row>
    <row r="35" spans="1:23" s="84" customFormat="1" x14ac:dyDescent="0.25">
      <c r="A35" s="82"/>
      <c r="B35" s="83"/>
      <c r="C35" s="78"/>
      <c r="D35" s="80"/>
      <c r="E35" s="80"/>
      <c r="F35" s="80"/>
      <c r="G35" s="80"/>
      <c r="H35" s="80"/>
      <c r="I35" s="80"/>
      <c r="J35" s="80"/>
      <c r="K35" s="80"/>
      <c r="L35" s="80"/>
      <c r="M35" s="80"/>
      <c r="N35" s="80"/>
      <c r="O35" s="80"/>
      <c r="P35" s="80"/>
      <c r="Q35" s="80"/>
      <c r="R35" s="80"/>
      <c r="S35" s="80"/>
      <c r="T35" s="80"/>
      <c r="U35" s="80"/>
      <c r="V35" s="80"/>
      <c r="W35" s="80"/>
    </row>
    <row r="36" spans="1:23" x14ac:dyDescent="0.25">
      <c r="A36" s="164" t="s">
        <v>146</v>
      </c>
      <c r="B36" s="164"/>
      <c r="C36" s="78"/>
      <c r="D36" s="80"/>
      <c r="E36" s="80"/>
      <c r="F36" s="80"/>
      <c r="G36" s="80"/>
      <c r="H36" s="80"/>
      <c r="I36" s="80"/>
      <c r="J36" s="80"/>
      <c r="K36" s="80"/>
      <c r="L36" s="80"/>
      <c r="M36" s="80"/>
      <c r="N36" s="80"/>
      <c r="O36" s="80"/>
      <c r="P36" s="80"/>
      <c r="Q36" s="80"/>
      <c r="R36" s="80"/>
      <c r="S36" s="80"/>
      <c r="T36" s="80"/>
      <c r="U36" s="80"/>
      <c r="V36" s="80"/>
      <c r="W36" s="80"/>
    </row>
    <row r="37" spans="1:23" s="3" customFormat="1" x14ac:dyDescent="0.25">
      <c r="A37" s="44" t="s">
        <v>32</v>
      </c>
      <c r="B37" s="44" t="s">
        <v>102</v>
      </c>
      <c r="C37" s="45" t="s">
        <v>88</v>
      </c>
      <c r="D37" s="44">
        <v>2021</v>
      </c>
      <c r="E37" s="45">
        <v>2022</v>
      </c>
      <c r="F37" s="44">
        <v>2023</v>
      </c>
      <c r="G37" s="45">
        <v>2024</v>
      </c>
      <c r="H37" s="44">
        <v>2025</v>
      </c>
      <c r="I37" s="45">
        <v>2026</v>
      </c>
      <c r="J37" s="44">
        <v>2027</v>
      </c>
      <c r="K37" s="45">
        <v>2028</v>
      </c>
      <c r="L37" s="44">
        <v>2029</v>
      </c>
      <c r="M37" s="45">
        <v>2030</v>
      </c>
      <c r="N37" s="44">
        <v>2031</v>
      </c>
      <c r="O37" s="45">
        <v>2032</v>
      </c>
      <c r="P37" s="44">
        <v>2033</v>
      </c>
      <c r="Q37" s="45">
        <v>2034</v>
      </c>
      <c r="R37" s="44">
        <v>2035</v>
      </c>
      <c r="S37" s="45">
        <v>2036</v>
      </c>
      <c r="T37" s="44">
        <v>2037</v>
      </c>
      <c r="U37" s="45">
        <v>2038</v>
      </c>
      <c r="V37" s="44">
        <v>2039</v>
      </c>
      <c r="W37" s="45">
        <v>2040</v>
      </c>
    </row>
    <row r="38" spans="1:23" s="3" customFormat="1" ht="14.4" customHeight="1" x14ac:dyDescent="0.25">
      <c r="A38" s="163" t="s">
        <v>114</v>
      </c>
      <c r="B38" s="47" t="s">
        <v>59</v>
      </c>
      <c r="C38" s="65" t="s">
        <v>11</v>
      </c>
      <c r="D38" s="70">
        <f>(Settings!$Q6-SUM($W2,$W14))/COUNTA($D$25:$M$25)</f>
        <v>0.4</v>
      </c>
      <c r="E38" s="70">
        <f>D38+(Settings!$Q6-SUM($W2,$W14))/COUNTA($D$25:$M$25)</f>
        <v>0.8</v>
      </c>
      <c r="F38" s="70">
        <f>E38+(Settings!$Q6-SUM($W2,$W14))/COUNTA($D$25:$M$25)</f>
        <v>1.2000000000000002</v>
      </c>
      <c r="G38" s="70">
        <f>F38+(Settings!$Q6-SUM($W2,$W14))/COUNTA($D$25:$M$25)</f>
        <v>1.6</v>
      </c>
      <c r="H38" s="70">
        <f>G38+(Settings!$Q6-SUM($W2,$W14))/COUNTA($D$25:$M$25)</f>
        <v>2</v>
      </c>
      <c r="I38" s="70">
        <f>H38+(Settings!$Q6-SUM($W2,$W14))/COUNTA($D$25:$M$25)</f>
        <v>2.4</v>
      </c>
      <c r="J38" s="70">
        <f>I38+(Settings!$Q6-SUM($W2,$W14))/COUNTA($D$25:$M$25)</f>
        <v>2.8</v>
      </c>
      <c r="K38" s="70">
        <f>J38+(Settings!$Q6-SUM($W2,$W14))/COUNTA($D$25:$M$25)</f>
        <v>3.1999999999999997</v>
      </c>
      <c r="L38" s="70">
        <f>K38+(Settings!$Q6-SUM($W2,$W14))/COUNTA($D$25:$M$25)</f>
        <v>3.5999999999999996</v>
      </c>
      <c r="M38" s="70">
        <f>L38+(Settings!$Q6-SUM($W2,$W14))/COUNTA($D$25:$M$25)</f>
        <v>3.9999999999999996</v>
      </c>
      <c r="N38" s="51">
        <f>M38</f>
        <v>3.9999999999999996</v>
      </c>
      <c r="O38" s="51">
        <f t="shared" ref="O38:O45" si="13">N38</f>
        <v>3.9999999999999996</v>
      </c>
      <c r="P38" s="51">
        <f t="shared" ref="P38:P45" si="14">O38</f>
        <v>3.9999999999999996</v>
      </c>
      <c r="Q38" s="51">
        <f t="shared" ref="Q38:Q45" si="15">P38</f>
        <v>3.9999999999999996</v>
      </c>
      <c r="R38" s="51">
        <f t="shared" ref="R38:R45" si="16">Q38</f>
        <v>3.9999999999999996</v>
      </c>
      <c r="S38" s="51">
        <f t="shared" ref="S38:S45" si="17">R38</f>
        <v>3.9999999999999996</v>
      </c>
      <c r="T38" s="51">
        <f t="shared" ref="T38:T45" si="18">S38</f>
        <v>3.9999999999999996</v>
      </c>
      <c r="U38" s="51">
        <f t="shared" ref="U38:U45" si="19">T38</f>
        <v>3.9999999999999996</v>
      </c>
      <c r="V38" s="51">
        <f t="shared" ref="V38:V45" si="20">U38</f>
        <v>3.9999999999999996</v>
      </c>
      <c r="W38" s="51">
        <f t="shared" ref="W38:W45" si="21">V38</f>
        <v>3.9999999999999996</v>
      </c>
    </row>
    <row r="39" spans="1:23" s="3" customFormat="1" x14ac:dyDescent="0.25">
      <c r="A39" s="163"/>
      <c r="B39" s="47" t="s">
        <v>57</v>
      </c>
      <c r="C39" s="65" t="s">
        <v>11</v>
      </c>
      <c r="D39" s="70">
        <f>(Settings!$Q7-SUM($W3,$W15))/COUNTA($D$25:$M$25)</f>
        <v>1.4</v>
      </c>
      <c r="E39" s="70">
        <f>D39+(Settings!$Q7-SUM($W3,$W15))/COUNTA($D$25:$M$25)</f>
        <v>2.8</v>
      </c>
      <c r="F39" s="70">
        <f>E39+(Settings!$Q7-SUM($W3,$W15))/COUNTA($D$25:$M$25)</f>
        <v>4.1999999999999993</v>
      </c>
      <c r="G39" s="70">
        <f>F39+(Settings!$Q7-SUM($W3,$W15))/COUNTA($D$25:$M$25)</f>
        <v>5.6</v>
      </c>
      <c r="H39" s="70">
        <f>G39+(Settings!$Q7-SUM($W3,$W15))/COUNTA($D$25:$M$25)</f>
        <v>7</v>
      </c>
      <c r="I39" s="70">
        <f>H39+(Settings!$Q7-SUM($W3,$W15))/COUNTA($D$25:$M$25)</f>
        <v>8.4</v>
      </c>
      <c r="J39" s="70">
        <f>I39+(Settings!$Q7-SUM($W3,$W15))/COUNTA($D$25:$M$25)</f>
        <v>9.8000000000000007</v>
      </c>
      <c r="K39" s="70">
        <f>J39+(Settings!$Q7-SUM($W3,$W15))/COUNTA($D$25:$M$25)</f>
        <v>11.200000000000001</v>
      </c>
      <c r="L39" s="70">
        <f>K39+(Settings!$Q7-SUM($W3,$W15))/COUNTA($D$25:$M$25)</f>
        <v>12.600000000000001</v>
      </c>
      <c r="M39" s="70">
        <f>L39+(Settings!$Q7-SUM($W3,$W15))/COUNTA($D$25:$M$25)</f>
        <v>14.000000000000002</v>
      </c>
      <c r="N39" s="51">
        <f t="shared" ref="N39:N45" si="22">M39</f>
        <v>14.000000000000002</v>
      </c>
      <c r="O39" s="51">
        <f t="shared" si="13"/>
        <v>14.000000000000002</v>
      </c>
      <c r="P39" s="51">
        <f t="shared" si="14"/>
        <v>14.000000000000002</v>
      </c>
      <c r="Q39" s="51">
        <f t="shared" si="15"/>
        <v>14.000000000000002</v>
      </c>
      <c r="R39" s="51">
        <f t="shared" si="16"/>
        <v>14.000000000000002</v>
      </c>
      <c r="S39" s="51">
        <f t="shared" si="17"/>
        <v>14.000000000000002</v>
      </c>
      <c r="T39" s="51">
        <f t="shared" si="18"/>
        <v>14.000000000000002</v>
      </c>
      <c r="U39" s="51">
        <f t="shared" si="19"/>
        <v>14.000000000000002</v>
      </c>
      <c r="V39" s="51">
        <f t="shared" si="20"/>
        <v>14.000000000000002</v>
      </c>
      <c r="W39" s="51">
        <f t="shared" si="21"/>
        <v>14.000000000000002</v>
      </c>
    </row>
    <row r="40" spans="1:23" s="3" customFormat="1" x14ac:dyDescent="0.25">
      <c r="A40" s="163"/>
      <c r="B40" s="47" t="s">
        <v>56</v>
      </c>
      <c r="C40" s="65" t="s">
        <v>11</v>
      </c>
      <c r="D40" s="70">
        <f>(Settings!$Q8-SUM($W4,$W16))/COUNTA($D$25:$M$25)</f>
        <v>0.5</v>
      </c>
      <c r="E40" s="70">
        <f>D40+(Settings!$Q8-SUM($W4,$W16))/COUNTA($D$25:$M$25)</f>
        <v>1</v>
      </c>
      <c r="F40" s="70">
        <f>E40+(Settings!$Q8-SUM($W4,$W16))/COUNTA($D$25:$M$25)</f>
        <v>1.5</v>
      </c>
      <c r="G40" s="70">
        <f>F40+(Settings!$Q8-SUM($W4,$W16))/COUNTA($D$25:$M$25)</f>
        <v>2</v>
      </c>
      <c r="H40" s="70">
        <f>G40+(Settings!$Q8-SUM($W4,$W16))/COUNTA($D$25:$M$25)</f>
        <v>2.5</v>
      </c>
      <c r="I40" s="70">
        <f>H40+(Settings!$Q8-SUM($W4,$W16))/COUNTA($D$25:$M$25)</f>
        <v>3</v>
      </c>
      <c r="J40" s="70">
        <f>I40+(Settings!$Q8-SUM($W4,$W16))/COUNTA($D$25:$M$25)</f>
        <v>3.5</v>
      </c>
      <c r="K40" s="70">
        <f>J40+(Settings!$Q8-SUM($W4,$W16))/COUNTA($D$25:$M$25)</f>
        <v>4</v>
      </c>
      <c r="L40" s="70">
        <f>K40+(Settings!$Q8-SUM($W4,$W16))/COUNTA($D$25:$M$25)</f>
        <v>4.5</v>
      </c>
      <c r="M40" s="70">
        <f>L40+(Settings!$Q8-SUM($W4,$W16))/COUNTA($D$25:$M$25)</f>
        <v>5</v>
      </c>
      <c r="N40" s="51">
        <f t="shared" si="22"/>
        <v>5</v>
      </c>
      <c r="O40" s="51">
        <f t="shared" si="13"/>
        <v>5</v>
      </c>
      <c r="P40" s="51">
        <f t="shared" si="14"/>
        <v>5</v>
      </c>
      <c r="Q40" s="51">
        <f t="shared" si="15"/>
        <v>5</v>
      </c>
      <c r="R40" s="51">
        <f t="shared" si="16"/>
        <v>5</v>
      </c>
      <c r="S40" s="51">
        <f t="shared" si="17"/>
        <v>5</v>
      </c>
      <c r="T40" s="51">
        <f t="shared" si="18"/>
        <v>5</v>
      </c>
      <c r="U40" s="51">
        <f t="shared" si="19"/>
        <v>5</v>
      </c>
      <c r="V40" s="51">
        <f t="shared" si="20"/>
        <v>5</v>
      </c>
      <c r="W40" s="51">
        <f t="shared" si="21"/>
        <v>5</v>
      </c>
    </row>
    <row r="41" spans="1:23" s="3" customFormat="1" x14ac:dyDescent="0.25">
      <c r="A41" s="163"/>
      <c r="B41" s="47" t="s">
        <v>100</v>
      </c>
      <c r="C41" s="65" t="s">
        <v>11</v>
      </c>
      <c r="D41" s="70">
        <f>(Settings!$Q9-SUM($W5,$W17))/COUNTA($D$25:$M$25)</f>
        <v>0</v>
      </c>
      <c r="E41" s="70">
        <f>D41+(Settings!$Q9-SUM($W5,$W17))/COUNTA($D$25:$M$25)</f>
        <v>0</v>
      </c>
      <c r="F41" s="70">
        <f>E41+(Settings!$Q9-SUM($W5,$W17))/COUNTA($D$25:$M$25)</f>
        <v>0</v>
      </c>
      <c r="G41" s="70">
        <f>F41+(Settings!$Q9-SUM($W5,$W17))/COUNTA($D$25:$M$25)</f>
        <v>0</v>
      </c>
      <c r="H41" s="70">
        <f>G41+(Settings!$Q9-SUM($W5,$W17))/COUNTA($D$25:$M$25)</f>
        <v>0</v>
      </c>
      <c r="I41" s="70">
        <f>H41+(Settings!$Q9-SUM($W5,$W17))/COUNTA($D$25:$M$25)</f>
        <v>0</v>
      </c>
      <c r="J41" s="70">
        <f>I41+(Settings!$Q9-SUM($W5,$W17))/COUNTA($D$25:$M$25)</f>
        <v>0</v>
      </c>
      <c r="K41" s="70">
        <f>J41+(Settings!$Q9-SUM($W5,$W17))/COUNTA($D$25:$M$25)</f>
        <v>0</v>
      </c>
      <c r="L41" s="70">
        <f>K41+(Settings!$Q9-SUM($W5,$W17))/COUNTA($D$25:$M$25)</f>
        <v>0</v>
      </c>
      <c r="M41" s="70">
        <f>L41+(Settings!$Q9-SUM($W5,$W17))/COUNTA($D$25:$M$25)</f>
        <v>0</v>
      </c>
      <c r="N41" s="51">
        <f t="shared" si="22"/>
        <v>0</v>
      </c>
      <c r="O41" s="51">
        <f t="shared" si="13"/>
        <v>0</v>
      </c>
      <c r="P41" s="51">
        <f t="shared" si="14"/>
        <v>0</v>
      </c>
      <c r="Q41" s="51">
        <f t="shared" si="15"/>
        <v>0</v>
      </c>
      <c r="R41" s="51">
        <f t="shared" si="16"/>
        <v>0</v>
      </c>
      <c r="S41" s="51">
        <f t="shared" si="17"/>
        <v>0</v>
      </c>
      <c r="T41" s="51">
        <f t="shared" si="18"/>
        <v>0</v>
      </c>
      <c r="U41" s="51">
        <f t="shared" si="19"/>
        <v>0</v>
      </c>
      <c r="V41" s="51">
        <f t="shared" si="20"/>
        <v>0</v>
      </c>
      <c r="W41" s="51">
        <f t="shared" si="21"/>
        <v>0</v>
      </c>
    </row>
    <row r="42" spans="1:23" s="3" customFormat="1" x14ac:dyDescent="0.25">
      <c r="A42" s="163"/>
      <c r="B42" s="47" t="s">
        <v>60</v>
      </c>
      <c r="C42" s="65" t="s">
        <v>11</v>
      </c>
      <c r="D42" s="70">
        <f>(Settings!$Q10-SUM($W6,$W18))/COUNTA($D$25:$M$25)</f>
        <v>0.1</v>
      </c>
      <c r="E42" s="70">
        <f>D42+(Settings!$Q10-SUM($W6,$W18))/COUNTA($D$25:$M$25)</f>
        <v>0.2</v>
      </c>
      <c r="F42" s="70">
        <f>E42+(Settings!$Q10-SUM($W6,$W18))/COUNTA($D$25:$M$25)</f>
        <v>0.30000000000000004</v>
      </c>
      <c r="G42" s="70">
        <f>F42+(Settings!$Q10-SUM($W6,$W18))/COUNTA($D$25:$M$25)</f>
        <v>0.4</v>
      </c>
      <c r="H42" s="70">
        <f>G42+(Settings!$Q10-SUM($W6,$W18))/COUNTA($D$25:$M$25)</f>
        <v>0.5</v>
      </c>
      <c r="I42" s="70">
        <f>H42+(Settings!$Q10-SUM($W6,$W18))/COUNTA($D$25:$M$25)</f>
        <v>0.6</v>
      </c>
      <c r="J42" s="70">
        <f>I42+(Settings!$Q10-SUM($W6,$W18))/COUNTA($D$25:$M$25)</f>
        <v>0.7</v>
      </c>
      <c r="K42" s="70">
        <f>J42+(Settings!$Q10-SUM($W6,$W18))/COUNTA($D$25:$M$25)</f>
        <v>0.79999999999999993</v>
      </c>
      <c r="L42" s="70">
        <f>K42+(Settings!$Q10-SUM($W6,$W18))/COUNTA($D$25:$M$25)</f>
        <v>0.89999999999999991</v>
      </c>
      <c r="M42" s="70">
        <f>L42+(Settings!$Q10-SUM($W6,$W18))/COUNTA($D$25:$M$25)</f>
        <v>0.99999999999999989</v>
      </c>
      <c r="N42" s="51">
        <f t="shared" si="22"/>
        <v>0.99999999999999989</v>
      </c>
      <c r="O42" s="51">
        <f t="shared" si="13"/>
        <v>0.99999999999999989</v>
      </c>
      <c r="P42" s="51">
        <f t="shared" si="14"/>
        <v>0.99999999999999989</v>
      </c>
      <c r="Q42" s="51">
        <f t="shared" si="15"/>
        <v>0.99999999999999989</v>
      </c>
      <c r="R42" s="51">
        <f t="shared" si="16"/>
        <v>0.99999999999999989</v>
      </c>
      <c r="S42" s="51">
        <f t="shared" si="17"/>
        <v>0.99999999999999989</v>
      </c>
      <c r="T42" s="51">
        <f t="shared" si="18"/>
        <v>0.99999999999999989</v>
      </c>
      <c r="U42" s="51">
        <f t="shared" si="19"/>
        <v>0.99999999999999989</v>
      </c>
      <c r="V42" s="51">
        <f t="shared" si="20"/>
        <v>0.99999999999999989</v>
      </c>
      <c r="W42" s="51">
        <f t="shared" si="21"/>
        <v>0.99999999999999989</v>
      </c>
    </row>
    <row r="43" spans="1:23" s="3" customFormat="1" x14ac:dyDescent="0.25">
      <c r="A43" s="163"/>
      <c r="B43" s="47" t="s">
        <v>101</v>
      </c>
      <c r="C43" s="65" t="s">
        <v>11</v>
      </c>
      <c r="D43" s="70">
        <f>(Settings!$Q11-SUM($W7,$W19))/COUNTA($D$25:$M$25)</f>
        <v>0</v>
      </c>
      <c r="E43" s="70">
        <f>D43+(Settings!$Q11-SUM($W7,$W19))/COUNTA($D$25:$M$25)</f>
        <v>0</v>
      </c>
      <c r="F43" s="70">
        <f>E43+(Settings!$Q11-SUM($W7,$W19))/COUNTA($D$25:$M$25)</f>
        <v>0</v>
      </c>
      <c r="G43" s="70">
        <f>F43+(Settings!$Q11-SUM($W7,$W19))/COUNTA($D$25:$M$25)</f>
        <v>0</v>
      </c>
      <c r="H43" s="70">
        <f>G43+(Settings!$Q11-SUM($W7,$W19))/COUNTA($D$25:$M$25)</f>
        <v>0</v>
      </c>
      <c r="I43" s="70">
        <f>H43+(Settings!$Q11-SUM($W7,$W19))/COUNTA($D$25:$M$25)</f>
        <v>0</v>
      </c>
      <c r="J43" s="70">
        <f>I43+(Settings!$Q11-SUM($W7,$W19))/COUNTA($D$25:$M$25)</f>
        <v>0</v>
      </c>
      <c r="K43" s="70">
        <f>J43+(Settings!$Q11-SUM($W7,$W19))/COUNTA($D$25:$M$25)</f>
        <v>0</v>
      </c>
      <c r="L43" s="70">
        <f>K43+(Settings!$Q11-SUM($W7,$W19))/COUNTA($D$25:$M$25)</f>
        <v>0</v>
      </c>
      <c r="M43" s="70">
        <f>L43+(Settings!$Q11-SUM($W7,$W19))/COUNTA($D$25:$M$25)</f>
        <v>0</v>
      </c>
      <c r="N43" s="51">
        <f t="shared" si="22"/>
        <v>0</v>
      </c>
      <c r="O43" s="51">
        <f t="shared" si="13"/>
        <v>0</v>
      </c>
      <c r="P43" s="51">
        <f t="shared" si="14"/>
        <v>0</v>
      </c>
      <c r="Q43" s="51">
        <f t="shared" si="15"/>
        <v>0</v>
      </c>
      <c r="R43" s="51">
        <f t="shared" si="16"/>
        <v>0</v>
      </c>
      <c r="S43" s="51">
        <f t="shared" si="17"/>
        <v>0</v>
      </c>
      <c r="T43" s="51">
        <f t="shared" si="18"/>
        <v>0</v>
      </c>
      <c r="U43" s="51">
        <f t="shared" si="19"/>
        <v>0</v>
      </c>
      <c r="V43" s="51">
        <f t="shared" si="20"/>
        <v>0</v>
      </c>
      <c r="W43" s="51">
        <f t="shared" si="21"/>
        <v>0</v>
      </c>
    </row>
    <row r="44" spans="1:23" s="3" customFormat="1" x14ac:dyDescent="0.25">
      <c r="A44" s="163"/>
      <c r="B44" s="47" t="s">
        <v>58</v>
      </c>
      <c r="C44" s="65" t="s">
        <v>11</v>
      </c>
      <c r="D44" s="70">
        <f>(Settings!$Q12-SUM($W8,$W20))/COUNTA($D$25:$M$25)</f>
        <v>0.4</v>
      </c>
      <c r="E44" s="70">
        <f>D44+(Settings!$Q12-SUM($W8,$W20))/COUNTA($D$25:$M$25)</f>
        <v>0.8</v>
      </c>
      <c r="F44" s="70">
        <f>E44+(Settings!$Q12-SUM($W8,$W20))/COUNTA($D$25:$M$25)</f>
        <v>1.2000000000000002</v>
      </c>
      <c r="G44" s="70">
        <f>F44+(Settings!$Q12-SUM($W8,$W20))/COUNTA($D$25:$M$25)</f>
        <v>1.6</v>
      </c>
      <c r="H44" s="70">
        <f>G44+(Settings!$Q12-SUM($W8,$W20))/COUNTA($D$25:$M$25)</f>
        <v>2</v>
      </c>
      <c r="I44" s="70">
        <f>H44+(Settings!$Q12-SUM($W8,$W20))/COUNTA($D$25:$M$25)</f>
        <v>2.4</v>
      </c>
      <c r="J44" s="70">
        <f>I44+(Settings!$Q12-SUM($W8,$W20))/COUNTA($D$25:$M$25)</f>
        <v>2.8</v>
      </c>
      <c r="K44" s="70">
        <f>J44+(Settings!$Q12-SUM($W8,$W20))/COUNTA($D$25:$M$25)</f>
        <v>3.1999999999999997</v>
      </c>
      <c r="L44" s="70">
        <f>K44+(Settings!$Q12-SUM($W8,$W20))/COUNTA($D$25:$M$25)</f>
        <v>3.5999999999999996</v>
      </c>
      <c r="M44" s="70">
        <f>L44+(Settings!$Q12-SUM($W8,$W20))/COUNTA($D$25:$M$25)</f>
        <v>3.9999999999999996</v>
      </c>
      <c r="N44" s="51">
        <f t="shared" si="22"/>
        <v>3.9999999999999996</v>
      </c>
      <c r="O44" s="51">
        <f t="shared" si="13"/>
        <v>3.9999999999999996</v>
      </c>
      <c r="P44" s="51">
        <f t="shared" si="14"/>
        <v>3.9999999999999996</v>
      </c>
      <c r="Q44" s="51">
        <f t="shared" si="15"/>
        <v>3.9999999999999996</v>
      </c>
      <c r="R44" s="51">
        <f t="shared" si="16"/>
        <v>3.9999999999999996</v>
      </c>
      <c r="S44" s="51">
        <f t="shared" si="17"/>
        <v>3.9999999999999996</v>
      </c>
      <c r="T44" s="51">
        <f t="shared" si="18"/>
        <v>3.9999999999999996</v>
      </c>
      <c r="U44" s="51">
        <f t="shared" si="19"/>
        <v>3.9999999999999996</v>
      </c>
      <c r="V44" s="51">
        <f t="shared" si="20"/>
        <v>3.9999999999999996</v>
      </c>
      <c r="W44" s="51">
        <f t="shared" si="21"/>
        <v>3.9999999999999996</v>
      </c>
    </row>
    <row r="45" spans="1:23" s="3" customFormat="1" x14ac:dyDescent="0.25">
      <c r="A45" s="163"/>
      <c r="B45" s="47" t="s">
        <v>61</v>
      </c>
      <c r="C45" s="65" t="s">
        <v>11</v>
      </c>
      <c r="D45" s="70">
        <f>(Settings!$Q13-SUM($W9,$W21))/COUNTA($D$25:$M$25)</f>
        <v>0.2</v>
      </c>
      <c r="E45" s="70">
        <f>D45+(Settings!$Q13-SUM($W9,$W21))/COUNTA($D$25:$M$25)</f>
        <v>0.4</v>
      </c>
      <c r="F45" s="70">
        <f>E45+(Settings!$Q13-SUM($W9,$W21))/COUNTA($D$25:$M$25)</f>
        <v>0.60000000000000009</v>
      </c>
      <c r="G45" s="70">
        <f>F45+(Settings!$Q13-SUM($W9,$W21))/COUNTA($D$25:$M$25)</f>
        <v>0.8</v>
      </c>
      <c r="H45" s="70">
        <f>G45+(Settings!$Q13-SUM($W9,$W21))/COUNTA($D$25:$M$25)</f>
        <v>1</v>
      </c>
      <c r="I45" s="70">
        <f>H45+(Settings!$Q13-SUM($W9,$W21))/COUNTA($D$25:$M$25)</f>
        <v>1.2</v>
      </c>
      <c r="J45" s="70">
        <f>I45+(Settings!$Q13-SUM($W9,$W21))/COUNTA($D$25:$M$25)</f>
        <v>1.4</v>
      </c>
      <c r="K45" s="70">
        <f>J45+(Settings!$Q13-SUM($W9,$W21))/COUNTA($D$25:$M$25)</f>
        <v>1.5999999999999999</v>
      </c>
      <c r="L45" s="70">
        <f>K45+(Settings!$Q13-SUM($W9,$W21))/COUNTA($D$25:$M$25)</f>
        <v>1.7999999999999998</v>
      </c>
      <c r="M45" s="70">
        <f>L45+(Settings!$Q13-SUM($W9,$W21))/COUNTA($D$25:$M$25)</f>
        <v>1.9999999999999998</v>
      </c>
      <c r="N45" s="51">
        <f t="shared" si="22"/>
        <v>1.9999999999999998</v>
      </c>
      <c r="O45" s="51">
        <f t="shared" si="13"/>
        <v>1.9999999999999998</v>
      </c>
      <c r="P45" s="51">
        <f t="shared" si="14"/>
        <v>1.9999999999999998</v>
      </c>
      <c r="Q45" s="51">
        <f t="shared" si="15"/>
        <v>1.9999999999999998</v>
      </c>
      <c r="R45" s="51">
        <f t="shared" si="16"/>
        <v>1.9999999999999998</v>
      </c>
      <c r="S45" s="51">
        <f t="shared" si="17"/>
        <v>1.9999999999999998</v>
      </c>
      <c r="T45" s="51">
        <f t="shared" si="18"/>
        <v>1.9999999999999998</v>
      </c>
      <c r="U45" s="51">
        <f t="shared" si="19"/>
        <v>1.9999999999999998</v>
      </c>
      <c r="V45" s="51">
        <f t="shared" si="20"/>
        <v>1.9999999999999998</v>
      </c>
      <c r="W45" s="51">
        <f t="shared" si="21"/>
        <v>1.9999999999999998</v>
      </c>
    </row>
    <row r="46" spans="1:23" s="3" customFormat="1" x14ac:dyDescent="0.25">
      <c r="A46" s="163"/>
      <c r="B46" s="68" t="s">
        <v>104</v>
      </c>
      <c r="C46" s="59"/>
      <c r="D46" s="69">
        <f t="shared" ref="D46:W46" si="23">SUM(D38:D45)</f>
        <v>3</v>
      </c>
      <c r="E46" s="69">
        <f t="shared" si="23"/>
        <v>6</v>
      </c>
      <c r="F46" s="69">
        <f t="shared" si="23"/>
        <v>8.9999999999999982</v>
      </c>
      <c r="G46" s="69">
        <f t="shared" si="23"/>
        <v>12</v>
      </c>
      <c r="H46" s="69">
        <f t="shared" si="23"/>
        <v>15</v>
      </c>
      <c r="I46" s="69">
        <f t="shared" si="23"/>
        <v>18</v>
      </c>
      <c r="J46" s="69">
        <f t="shared" si="23"/>
        <v>21</v>
      </c>
      <c r="K46" s="69">
        <f t="shared" si="23"/>
        <v>24</v>
      </c>
      <c r="L46" s="69">
        <f t="shared" si="23"/>
        <v>27.000000000000004</v>
      </c>
      <c r="M46" s="69">
        <f t="shared" si="23"/>
        <v>30</v>
      </c>
      <c r="N46" s="69">
        <f t="shared" si="23"/>
        <v>30</v>
      </c>
      <c r="O46" s="69">
        <f t="shared" si="23"/>
        <v>30</v>
      </c>
      <c r="P46" s="69">
        <f t="shared" si="23"/>
        <v>30</v>
      </c>
      <c r="Q46" s="69">
        <f t="shared" si="23"/>
        <v>30</v>
      </c>
      <c r="R46" s="69">
        <f t="shared" si="23"/>
        <v>30</v>
      </c>
      <c r="S46" s="69">
        <f t="shared" si="23"/>
        <v>30</v>
      </c>
      <c r="T46" s="69">
        <f t="shared" si="23"/>
        <v>30</v>
      </c>
      <c r="U46" s="69">
        <f t="shared" si="23"/>
        <v>30</v>
      </c>
      <c r="V46" s="69">
        <f t="shared" si="23"/>
        <v>30</v>
      </c>
      <c r="W46" s="69">
        <f t="shared" si="23"/>
        <v>30</v>
      </c>
    </row>
    <row r="47" spans="1:23" s="81" customFormat="1" x14ac:dyDescent="0.25">
      <c r="A47" s="82"/>
      <c r="B47" s="79"/>
      <c r="C47" s="78"/>
      <c r="D47" s="80"/>
      <c r="E47" s="80"/>
      <c r="F47" s="80"/>
      <c r="G47" s="80"/>
      <c r="H47" s="80"/>
      <c r="I47" s="80"/>
      <c r="J47" s="80"/>
      <c r="K47" s="80"/>
      <c r="L47" s="80"/>
      <c r="M47" s="80"/>
      <c r="N47" s="80"/>
      <c r="O47" s="80"/>
      <c r="P47" s="80"/>
      <c r="Q47" s="80"/>
      <c r="R47" s="80"/>
      <c r="S47" s="80"/>
      <c r="T47" s="80"/>
      <c r="U47" s="80"/>
      <c r="V47" s="80"/>
      <c r="W47" s="80"/>
    </row>
    <row r="48" spans="1:23" x14ac:dyDescent="0.25">
      <c r="A48" s="164" t="s">
        <v>147</v>
      </c>
      <c r="B48" s="164"/>
      <c r="C48" s="78"/>
      <c r="D48" s="80"/>
      <c r="E48" s="80"/>
      <c r="F48" s="80"/>
      <c r="G48" s="80"/>
      <c r="H48" s="80"/>
      <c r="I48" s="80"/>
      <c r="J48" s="80"/>
      <c r="K48" s="80"/>
      <c r="L48" s="80"/>
      <c r="M48" s="80"/>
      <c r="N48" s="80"/>
      <c r="O48" s="80"/>
      <c r="P48" s="80"/>
      <c r="Q48" s="80"/>
      <c r="R48" s="80"/>
      <c r="S48" s="80"/>
      <c r="T48" s="80"/>
      <c r="U48" s="80"/>
      <c r="V48" s="80"/>
      <c r="W48" s="80"/>
    </row>
    <row r="49" spans="1:23" s="3" customFormat="1" x14ac:dyDescent="0.25">
      <c r="A49" s="44" t="s">
        <v>32</v>
      </c>
      <c r="B49" s="44" t="s">
        <v>102</v>
      </c>
      <c r="C49" s="45" t="s">
        <v>88</v>
      </c>
      <c r="D49" s="44">
        <v>2021</v>
      </c>
      <c r="E49" s="45">
        <v>2022</v>
      </c>
      <c r="F49" s="44">
        <v>2023</v>
      </c>
      <c r="G49" s="45">
        <v>2024</v>
      </c>
      <c r="H49" s="44">
        <v>2025</v>
      </c>
      <c r="I49" s="45">
        <v>2026</v>
      </c>
      <c r="J49" s="44">
        <v>2027</v>
      </c>
      <c r="K49" s="45">
        <v>2028</v>
      </c>
      <c r="L49" s="44">
        <v>2029</v>
      </c>
      <c r="M49" s="45">
        <v>2030</v>
      </c>
      <c r="N49" s="44">
        <v>2031</v>
      </c>
      <c r="O49" s="45">
        <v>2032</v>
      </c>
      <c r="P49" s="44">
        <v>2033</v>
      </c>
      <c r="Q49" s="45">
        <v>2034</v>
      </c>
      <c r="R49" s="44">
        <v>2035</v>
      </c>
      <c r="S49" s="45">
        <v>2036</v>
      </c>
      <c r="T49" s="44">
        <v>2037</v>
      </c>
      <c r="U49" s="45">
        <v>2038</v>
      </c>
      <c r="V49" s="44">
        <v>2039</v>
      </c>
      <c r="W49" s="45">
        <v>2040</v>
      </c>
    </row>
    <row r="50" spans="1:23" s="3" customFormat="1" ht="14.4" customHeight="1" x14ac:dyDescent="0.25">
      <c r="A50" s="163" t="s">
        <v>114</v>
      </c>
      <c r="B50" s="47" t="s">
        <v>59</v>
      </c>
      <c r="C50" s="65" t="s">
        <v>11</v>
      </c>
      <c r="D50" s="70">
        <f>(Settings!$R6-SUM($W2,$W14))/COUNTA($D$25:$M$25)</f>
        <v>0.6</v>
      </c>
      <c r="E50" s="70">
        <f>D50+(Settings!$R6-SUM($W2,$W14))/COUNTA($D$25:$M$25)</f>
        <v>1.2</v>
      </c>
      <c r="F50" s="70">
        <f>E50+(Settings!$R6-SUM($W2,$W14))/COUNTA($D$25:$M$25)</f>
        <v>1.7999999999999998</v>
      </c>
      <c r="G50" s="70">
        <f>F50+(Settings!$R6-SUM($W2,$W14))/COUNTA($D$25:$M$25)</f>
        <v>2.4</v>
      </c>
      <c r="H50" s="70">
        <f>G50+(Settings!$R6-SUM($W2,$W14))/COUNTA($D$25:$M$25)</f>
        <v>3</v>
      </c>
      <c r="I50" s="70">
        <f>H50+(Settings!$R6-SUM($W2,$W14))/COUNTA($D$25:$M$25)</f>
        <v>3.6</v>
      </c>
      <c r="J50" s="70">
        <f>I50+(Settings!$R6-SUM($W2,$W14))/COUNTA($D$25:$M$25)</f>
        <v>4.2</v>
      </c>
      <c r="K50" s="70">
        <f>J50+(Settings!$R6-SUM($W2,$W14))/COUNTA($D$25:$M$25)</f>
        <v>4.8</v>
      </c>
      <c r="L50" s="70">
        <f>K50+(Settings!$R6-SUM($W2,$W14))/COUNTA($D$25:$M$25)</f>
        <v>5.3999999999999995</v>
      </c>
      <c r="M50" s="70">
        <f>L50+(Settings!$R6-SUM($W2,$W14))/COUNTA($D$25:$M$25)</f>
        <v>5.9999999999999991</v>
      </c>
      <c r="N50" s="51">
        <f>M50</f>
        <v>5.9999999999999991</v>
      </c>
      <c r="O50" s="51">
        <f t="shared" ref="O50:O57" si="24">N50</f>
        <v>5.9999999999999991</v>
      </c>
      <c r="P50" s="51">
        <f t="shared" ref="P50:P57" si="25">O50</f>
        <v>5.9999999999999991</v>
      </c>
      <c r="Q50" s="51">
        <f t="shared" ref="Q50:Q57" si="26">P50</f>
        <v>5.9999999999999991</v>
      </c>
      <c r="R50" s="51">
        <f t="shared" ref="R50:R57" si="27">Q50</f>
        <v>5.9999999999999991</v>
      </c>
      <c r="S50" s="51">
        <f t="shared" ref="S50:S57" si="28">R50</f>
        <v>5.9999999999999991</v>
      </c>
      <c r="T50" s="51">
        <f t="shared" ref="T50:T57" si="29">S50</f>
        <v>5.9999999999999991</v>
      </c>
      <c r="U50" s="51">
        <f t="shared" ref="U50:U57" si="30">T50</f>
        <v>5.9999999999999991</v>
      </c>
      <c r="V50" s="51">
        <f t="shared" ref="V50:V57" si="31">U50</f>
        <v>5.9999999999999991</v>
      </c>
      <c r="W50" s="51">
        <f t="shared" ref="W50:W57" si="32">V50</f>
        <v>5.9999999999999991</v>
      </c>
    </row>
    <row r="51" spans="1:23" s="3" customFormat="1" x14ac:dyDescent="0.25">
      <c r="A51" s="163"/>
      <c r="B51" s="47" t="s">
        <v>57</v>
      </c>
      <c r="C51" s="65" t="s">
        <v>11</v>
      </c>
      <c r="D51" s="70">
        <f>(Settings!$R7-SUM($W3,$W15))/COUNTA($D$25:$M$25)</f>
        <v>2.2000000000000002</v>
      </c>
      <c r="E51" s="70">
        <f>D51+(Settings!$R7-SUM($W3,$W15))/COUNTA($D$25:$M$25)</f>
        <v>4.4000000000000004</v>
      </c>
      <c r="F51" s="70">
        <f>E51+(Settings!$R7-SUM($W3,$W15))/COUNTA($D$25:$M$25)</f>
        <v>6.6000000000000005</v>
      </c>
      <c r="G51" s="70">
        <f>F51+(Settings!$R7-SUM($W3,$W15))/COUNTA($D$25:$M$25)</f>
        <v>8.8000000000000007</v>
      </c>
      <c r="H51" s="70">
        <f>G51+(Settings!$R7-SUM($W3,$W15))/COUNTA($D$25:$M$25)</f>
        <v>11</v>
      </c>
      <c r="I51" s="70">
        <f>H51+(Settings!$R7-SUM($W3,$W15))/COUNTA($D$25:$M$25)</f>
        <v>13.2</v>
      </c>
      <c r="J51" s="70">
        <f>I51+(Settings!$R7-SUM($W3,$W15))/COUNTA($D$25:$M$25)</f>
        <v>15.399999999999999</v>
      </c>
      <c r="K51" s="70">
        <f>J51+(Settings!$R7-SUM($W3,$W15))/COUNTA($D$25:$M$25)</f>
        <v>17.599999999999998</v>
      </c>
      <c r="L51" s="70">
        <f>K51+(Settings!$R7-SUM($W3,$W15))/COUNTA($D$25:$M$25)</f>
        <v>19.799999999999997</v>
      </c>
      <c r="M51" s="70">
        <f>L51+(Settings!$R7-SUM($W3,$W15))/COUNTA($D$25:$M$25)</f>
        <v>21.999999999999996</v>
      </c>
      <c r="N51" s="51">
        <f t="shared" ref="N51:N57" si="33">M51</f>
        <v>21.999999999999996</v>
      </c>
      <c r="O51" s="51">
        <f t="shared" si="24"/>
        <v>21.999999999999996</v>
      </c>
      <c r="P51" s="51">
        <f t="shared" si="25"/>
        <v>21.999999999999996</v>
      </c>
      <c r="Q51" s="51">
        <f t="shared" si="26"/>
        <v>21.999999999999996</v>
      </c>
      <c r="R51" s="51">
        <f t="shared" si="27"/>
        <v>21.999999999999996</v>
      </c>
      <c r="S51" s="51">
        <f t="shared" si="28"/>
        <v>21.999999999999996</v>
      </c>
      <c r="T51" s="51">
        <f t="shared" si="29"/>
        <v>21.999999999999996</v>
      </c>
      <c r="U51" s="51">
        <f t="shared" si="30"/>
        <v>21.999999999999996</v>
      </c>
      <c r="V51" s="51">
        <f t="shared" si="31"/>
        <v>21.999999999999996</v>
      </c>
      <c r="W51" s="51">
        <f t="shared" si="32"/>
        <v>21.999999999999996</v>
      </c>
    </row>
    <row r="52" spans="1:23" s="3" customFormat="1" x14ac:dyDescent="0.25">
      <c r="A52" s="163"/>
      <c r="B52" s="47" t="s">
        <v>56</v>
      </c>
      <c r="C52" s="65" t="s">
        <v>11</v>
      </c>
      <c r="D52" s="70">
        <f>(Settings!$R8-SUM($W4,$W16))/COUNTA($D$25:$M$25)</f>
        <v>0.9</v>
      </c>
      <c r="E52" s="70">
        <f>D52+(Settings!$R8-SUM($W4,$W16))/COUNTA($D$25:$M$25)</f>
        <v>1.8</v>
      </c>
      <c r="F52" s="70">
        <f>E52+(Settings!$R8-SUM($W4,$W16))/COUNTA($D$25:$M$25)</f>
        <v>2.7</v>
      </c>
      <c r="G52" s="70">
        <f>F52+(Settings!$R8-SUM($W4,$W16))/COUNTA($D$25:$M$25)</f>
        <v>3.6</v>
      </c>
      <c r="H52" s="70">
        <f>G52+(Settings!$R8-SUM($W4,$W16))/COUNTA($D$25:$M$25)</f>
        <v>4.5</v>
      </c>
      <c r="I52" s="70">
        <f>H52+(Settings!$R8-SUM($W4,$W16))/COUNTA($D$25:$M$25)</f>
        <v>5.4</v>
      </c>
      <c r="J52" s="70">
        <f>I52+(Settings!$R8-SUM($W4,$W16))/COUNTA($D$25:$M$25)</f>
        <v>6.3000000000000007</v>
      </c>
      <c r="K52" s="70">
        <f>J52+(Settings!$R8-SUM($W4,$W16))/COUNTA($D$25:$M$25)</f>
        <v>7.2000000000000011</v>
      </c>
      <c r="L52" s="70">
        <f>K52+(Settings!$R8-SUM($W4,$W16))/COUNTA($D$25:$M$25)</f>
        <v>8.1000000000000014</v>
      </c>
      <c r="M52" s="70">
        <f>L52+(Settings!$R8-SUM($W4,$W16))/COUNTA($D$25:$M$25)</f>
        <v>9.0000000000000018</v>
      </c>
      <c r="N52" s="51">
        <f t="shared" si="33"/>
        <v>9.0000000000000018</v>
      </c>
      <c r="O52" s="51">
        <f t="shared" si="24"/>
        <v>9.0000000000000018</v>
      </c>
      <c r="P52" s="51">
        <f t="shared" si="25"/>
        <v>9.0000000000000018</v>
      </c>
      <c r="Q52" s="51">
        <f t="shared" si="26"/>
        <v>9.0000000000000018</v>
      </c>
      <c r="R52" s="51">
        <f t="shared" si="27"/>
        <v>9.0000000000000018</v>
      </c>
      <c r="S52" s="51">
        <f t="shared" si="28"/>
        <v>9.0000000000000018</v>
      </c>
      <c r="T52" s="51">
        <f t="shared" si="29"/>
        <v>9.0000000000000018</v>
      </c>
      <c r="U52" s="51">
        <f t="shared" si="30"/>
        <v>9.0000000000000018</v>
      </c>
      <c r="V52" s="51">
        <f t="shared" si="31"/>
        <v>9.0000000000000018</v>
      </c>
      <c r="W52" s="51">
        <f t="shared" si="32"/>
        <v>9.0000000000000018</v>
      </c>
    </row>
    <row r="53" spans="1:23" s="3" customFormat="1" x14ac:dyDescent="0.25">
      <c r="A53" s="163"/>
      <c r="B53" s="47" t="s">
        <v>100</v>
      </c>
      <c r="C53" s="65" t="s">
        <v>11</v>
      </c>
      <c r="D53" s="70">
        <f>(Settings!$R9-SUM($W5,$W17))/COUNTA($D$25:$M$25)</f>
        <v>0</v>
      </c>
      <c r="E53" s="70">
        <f>D53+(Settings!$R9-SUM($W5,$W17))/COUNTA($D$25:$M$25)</f>
        <v>0</v>
      </c>
      <c r="F53" s="70">
        <f>E53+(Settings!$R9-SUM($W5,$W17))/COUNTA($D$25:$M$25)</f>
        <v>0</v>
      </c>
      <c r="G53" s="70">
        <f>F53+(Settings!$R9-SUM($W5,$W17))/COUNTA($D$25:$M$25)</f>
        <v>0</v>
      </c>
      <c r="H53" s="70">
        <f>G53+(Settings!$R9-SUM($W5,$W17))/COUNTA($D$25:$M$25)</f>
        <v>0</v>
      </c>
      <c r="I53" s="70">
        <f>H53+(Settings!$R9-SUM($W5,$W17))/COUNTA($D$25:$M$25)</f>
        <v>0</v>
      </c>
      <c r="J53" s="70">
        <f>I53+(Settings!$R9-SUM($W5,$W17))/COUNTA($D$25:$M$25)</f>
        <v>0</v>
      </c>
      <c r="K53" s="70">
        <f>J53+(Settings!$R9-SUM($W5,$W17))/COUNTA($D$25:$M$25)</f>
        <v>0</v>
      </c>
      <c r="L53" s="70">
        <f>K53+(Settings!$R9-SUM($W5,$W17))/COUNTA($D$25:$M$25)</f>
        <v>0</v>
      </c>
      <c r="M53" s="70">
        <f>L53+(Settings!$R9-SUM($W5,$W17))/COUNTA($D$25:$M$25)</f>
        <v>0</v>
      </c>
      <c r="N53" s="51">
        <f t="shared" si="33"/>
        <v>0</v>
      </c>
      <c r="O53" s="51">
        <f t="shared" si="24"/>
        <v>0</v>
      </c>
      <c r="P53" s="51">
        <f t="shared" si="25"/>
        <v>0</v>
      </c>
      <c r="Q53" s="51">
        <f t="shared" si="26"/>
        <v>0</v>
      </c>
      <c r="R53" s="51">
        <f t="shared" si="27"/>
        <v>0</v>
      </c>
      <c r="S53" s="51">
        <f t="shared" si="28"/>
        <v>0</v>
      </c>
      <c r="T53" s="51">
        <f t="shared" si="29"/>
        <v>0</v>
      </c>
      <c r="U53" s="51">
        <f t="shared" si="30"/>
        <v>0</v>
      </c>
      <c r="V53" s="51">
        <f t="shared" si="31"/>
        <v>0</v>
      </c>
      <c r="W53" s="51">
        <f t="shared" si="32"/>
        <v>0</v>
      </c>
    </row>
    <row r="54" spans="1:23" s="3" customFormat="1" x14ac:dyDescent="0.25">
      <c r="A54" s="163"/>
      <c r="B54" s="47" t="s">
        <v>60</v>
      </c>
      <c r="C54" s="65" t="s">
        <v>11</v>
      </c>
      <c r="D54" s="70">
        <f>(Settings!$R10-SUM($W6,$W18))/COUNTA($D$25:$M$25)</f>
        <v>0.2</v>
      </c>
      <c r="E54" s="70">
        <f>D54+(Settings!$R10-SUM($W6,$W18))/COUNTA($D$25:$M$25)</f>
        <v>0.4</v>
      </c>
      <c r="F54" s="70">
        <f>E54+(Settings!$R10-SUM($W6,$W18))/COUNTA($D$25:$M$25)</f>
        <v>0.60000000000000009</v>
      </c>
      <c r="G54" s="70">
        <f>F54+(Settings!$R10-SUM($W6,$W18))/COUNTA($D$25:$M$25)</f>
        <v>0.8</v>
      </c>
      <c r="H54" s="70">
        <f>G54+(Settings!$R10-SUM($W6,$W18))/COUNTA($D$25:$M$25)</f>
        <v>1</v>
      </c>
      <c r="I54" s="70">
        <f>H54+(Settings!$R10-SUM($W6,$W18))/COUNTA($D$25:$M$25)</f>
        <v>1.2</v>
      </c>
      <c r="J54" s="70">
        <f>I54+(Settings!$R10-SUM($W6,$W18))/COUNTA($D$25:$M$25)</f>
        <v>1.4</v>
      </c>
      <c r="K54" s="70">
        <f>J54+(Settings!$R10-SUM($W6,$W18))/COUNTA($D$25:$M$25)</f>
        <v>1.5999999999999999</v>
      </c>
      <c r="L54" s="70">
        <f>K54+(Settings!$R10-SUM($W6,$W18))/COUNTA($D$25:$M$25)</f>
        <v>1.7999999999999998</v>
      </c>
      <c r="M54" s="70">
        <f>L54+(Settings!$R10-SUM($W6,$W18))/COUNTA($D$25:$M$25)</f>
        <v>1.9999999999999998</v>
      </c>
      <c r="N54" s="51">
        <f t="shared" si="33"/>
        <v>1.9999999999999998</v>
      </c>
      <c r="O54" s="51">
        <f t="shared" si="24"/>
        <v>1.9999999999999998</v>
      </c>
      <c r="P54" s="51">
        <f t="shared" si="25"/>
        <v>1.9999999999999998</v>
      </c>
      <c r="Q54" s="51">
        <f t="shared" si="26"/>
        <v>1.9999999999999998</v>
      </c>
      <c r="R54" s="51">
        <f t="shared" si="27"/>
        <v>1.9999999999999998</v>
      </c>
      <c r="S54" s="51">
        <f t="shared" si="28"/>
        <v>1.9999999999999998</v>
      </c>
      <c r="T54" s="51">
        <f t="shared" si="29"/>
        <v>1.9999999999999998</v>
      </c>
      <c r="U54" s="51">
        <f t="shared" si="30"/>
        <v>1.9999999999999998</v>
      </c>
      <c r="V54" s="51">
        <f t="shared" si="31"/>
        <v>1.9999999999999998</v>
      </c>
      <c r="W54" s="51">
        <f t="shared" si="32"/>
        <v>1.9999999999999998</v>
      </c>
    </row>
    <row r="55" spans="1:23" s="3" customFormat="1" x14ac:dyDescent="0.25">
      <c r="A55" s="163"/>
      <c r="B55" s="47" t="s">
        <v>101</v>
      </c>
      <c r="C55" s="65" t="s">
        <v>11</v>
      </c>
      <c r="D55" s="70">
        <f>(Settings!$R11-SUM($W7,$W19))/COUNTA($D$25:$M$25)</f>
        <v>0</v>
      </c>
      <c r="E55" s="70">
        <f>D55+(Settings!$R11-SUM($W7,$W19))/COUNTA($D$25:$M$25)</f>
        <v>0</v>
      </c>
      <c r="F55" s="70">
        <f>E55+(Settings!$R11-SUM($W7,$W19))/COUNTA($D$25:$M$25)</f>
        <v>0</v>
      </c>
      <c r="G55" s="70">
        <f>F55+(Settings!$R11-SUM($W7,$W19))/COUNTA($D$25:$M$25)</f>
        <v>0</v>
      </c>
      <c r="H55" s="70">
        <f>G55+(Settings!$R11-SUM($W7,$W19))/COUNTA($D$25:$M$25)</f>
        <v>0</v>
      </c>
      <c r="I55" s="70">
        <f>H55+(Settings!$R11-SUM($W7,$W19))/COUNTA($D$25:$M$25)</f>
        <v>0</v>
      </c>
      <c r="J55" s="70">
        <f>I55+(Settings!$R11-SUM($W7,$W19))/COUNTA($D$25:$M$25)</f>
        <v>0</v>
      </c>
      <c r="K55" s="70">
        <f>J55+(Settings!$R11-SUM($W7,$W19))/COUNTA($D$25:$M$25)</f>
        <v>0</v>
      </c>
      <c r="L55" s="70">
        <f>K55+(Settings!$R11-SUM($W7,$W19))/COUNTA($D$25:$M$25)</f>
        <v>0</v>
      </c>
      <c r="M55" s="70">
        <f>L55+(Settings!$R11-SUM($W7,$W19))/COUNTA($D$25:$M$25)</f>
        <v>0</v>
      </c>
      <c r="N55" s="51">
        <f t="shared" si="33"/>
        <v>0</v>
      </c>
      <c r="O55" s="51">
        <f t="shared" si="24"/>
        <v>0</v>
      </c>
      <c r="P55" s="51">
        <f t="shared" si="25"/>
        <v>0</v>
      </c>
      <c r="Q55" s="51">
        <f t="shared" si="26"/>
        <v>0</v>
      </c>
      <c r="R55" s="51">
        <f t="shared" si="27"/>
        <v>0</v>
      </c>
      <c r="S55" s="51">
        <f t="shared" si="28"/>
        <v>0</v>
      </c>
      <c r="T55" s="51">
        <f t="shared" si="29"/>
        <v>0</v>
      </c>
      <c r="U55" s="51">
        <f t="shared" si="30"/>
        <v>0</v>
      </c>
      <c r="V55" s="51">
        <f t="shared" si="31"/>
        <v>0</v>
      </c>
      <c r="W55" s="51">
        <f t="shared" si="32"/>
        <v>0</v>
      </c>
    </row>
    <row r="56" spans="1:23" s="3" customFormat="1" x14ac:dyDescent="0.25">
      <c r="A56" s="163"/>
      <c r="B56" s="47" t="s">
        <v>58</v>
      </c>
      <c r="C56" s="65" t="s">
        <v>11</v>
      </c>
      <c r="D56" s="70">
        <f>(Settings!$R12-SUM($W8,$W20))/COUNTA($D$25:$M$25)</f>
        <v>0.5</v>
      </c>
      <c r="E56" s="70">
        <f>D56+(Settings!$R12-SUM($W8,$W20))/COUNTA($D$25:$M$25)</f>
        <v>1</v>
      </c>
      <c r="F56" s="70">
        <f>E56+(Settings!$R12-SUM($W8,$W20))/COUNTA($D$25:$M$25)</f>
        <v>1.5</v>
      </c>
      <c r="G56" s="70">
        <f>F56+(Settings!$R12-SUM($W8,$W20))/COUNTA($D$25:$M$25)</f>
        <v>2</v>
      </c>
      <c r="H56" s="70">
        <f>G56+(Settings!$R12-SUM($W8,$W20))/COUNTA($D$25:$M$25)</f>
        <v>2.5</v>
      </c>
      <c r="I56" s="70">
        <f>H56+(Settings!$R12-SUM($W8,$W20))/COUNTA($D$25:$M$25)</f>
        <v>3</v>
      </c>
      <c r="J56" s="70">
        <f>I56+(Settings!$R12-SUM($W8,$W20))/COUNTA($D$25:$M$25)</f>
        <v>3.5</v>
      </c>
      <c r="K56" s="70">
        <f>J56+(Settings!$R12-SUM($W8,$W20))/COUNTA($D$25:$M$25)</f>
        <v>4</v>
      </c>
      <c r="L56" s="70">
        <f>K56+(Settings!$R12-SUM($W8,$W20))/COUNTA($D$25:$M$25)</f>
        <v>4.5</v>
      </c>
      <c r="M56" s="70">
        <f>L56+(Settings!$R12-SUM($W8,$W20))/COUNTA($D$25:$M$25)</f>
        <v>5</v>
      </c>
      <c r="N56" s="51">
        <f t="shared" si="33"/>
        <v>5</v>
      </c>
      <c r="O56" s="51">
        <f t="shared" si="24"/>
        <v>5</v>
      </c>
      <c r="P56" s="51">
        <f t="shared" si="25"/>
        <v>5</v>
      </c>
      <c r="Q56" s="51">
        <f t="shared" si="26"/>
        <v>5</v>
      </c>
      <c r="R56" s="51">
        <f t="shared" si="27"/>
        <v>5</v>
      </c>
      <c r="S56" s="51">
        <f t="shared" si="28"/>
        <v>5</v>
      </c>
      <c r="T56" s="51">
        <f t="shared" si="29"/>
        <v>5</v>
      </c>
      <c r="U56" s="51">
        <f t="shared" si="30"/>
        <v>5</v>
      </c>
      <c r="V56" s="51">
        <f t="shared" si="31"/>
        <v>5</v>
      </c>
      <c r="W56" s="51">
        <f t="shared" si="32"/>
        <v>5</v>
      </c>
    </row>
    <row r="57" spans="1:23" s="3" customFormat="1" x14ac:dyDescent="0.25">
      <c r="A57" s="163"/>
      <c r="B57" s="47" t="s">
        <v>61</v>
      </c>
      <c r="C57" s="65" t="s">
        <v>11</v>
      </c>
      <c r="D57" s="70">
        <f>(Settings!$R13-SUM($W9,$W21))/COUNTA($D$25:$M$25)</f>
        <v>0.3</v>
      </c>
      <c r="E57" s="70">
        <f>D57+(Settings!$R13-SUM($W9,$W21))/COUNTA($D$25:$M$25)</f>
        <v>0.6</v>
      </c>
      <c r="F57" s="70">
        <f>E57+(Settings!$R13-SUM($W9,$W21))/COUNTA($D$25:$M$25)</f>
        <v>0.89999999999999991</v>
      </c>
      <c r="G57" s="70">
        <f>F57+(Settings!$R13-SUM($W9,$W21))/COUNTA($D$25:$M$25)</f>
        <v>1.2</v>
      </c>
      <c r="H57" s="70">
        <f>G57+(Settings!$R13-SUM($W9,$W21))/COUNTA($D$25:$M$25)</f>
        <v>1.5</v>
      </c>
      <c r="I57" s="70">
        <f>H57+(Settings!$R13-SUM($W9,$W21))/COUNTA($D$25:$M$25)</f>
        <v>1.8</v>
      </c>
      <c r="J57" s="70">
        <f>I57+(Settings!$R13-SUM($W9,$W21))/COUNTA($D$25:$M$25)</f>
        <v>2.1</v>
      </c>
      <c r="K57" s="70">
        <f>J57+(Settings!$R13-SUM($W9,$W21))/COUNTA($D$25:$M$25)</f>
        <v>2.4</v>
      </c>
      <c r="L57" s="70">
        <f>K57+(Settings!$R13-SUM($W9,$W21))/COUNTA($D$25:$M$25)</f>
        <v>2.6999999999999997</v>
      </c>
      <c r="M57" s="70">
        <f>L57+(Settings!$R13-SUM($W9,$W21))/COUNTA($D$25:$M$25)</f>
        <v>2.9999999999999996</v>
      </c>
      <c r="N57" s="51">
        <f t="shared" si="33"/>
        <v>2.9999999999999996</v>
      </c>
      <c r="O57" s="51">
        <f t="shared" si="24"/>
        <v>2.9999999999999996</v>
      </c>
      <c r="P57" s="51">
        <f t="shared" si="25"/>
        <v>2.9999999999999996</v>
      </c>
      <c r="Q57" s="51">
        <f t="shared" si="26"/>
        <v>2.9999999999999996</v>
      </c>
      <c r="R57" s="51">
        <f t="shared" si="27"/>
        <v>2.9999999999999996</v>
      </c>
      <c r="S57" s="51">
        <f t="shared" si="28"/>
        <v>2.9999999999999996</v>
      </c>
      <c r="T57" s="51">
        <f t="shared" si="29"/>
        <v>2.9999999999999996</v>
      </c>
      <c r="U57" s="51">
        <f t="shared" si="30"/>
        <v>2.9999999999999996</v>
      </c>
      <c r="V57" s="51">
        <f t="shared" si="31"/>
        <v>2.9999999999999996</v>
      </c>
      <c r="W57" s="51">
        <f t="shared" si="32"/>
        <v>2.9999999999999996</v>
      </c>
    </row>
    <row r="58" spans="1:23" s="3" customFormat="1" x14ac:dyDescent="0.25">
      <c r="A58" s="163"/>
      <c r="B58" s="68" t="s">
        <v>104</v>
      </c>
      <c r="C58" s="59"/>
      <c r="D58" s="69">
        <f t="shared" ref="D58:W58" si="34">SUM(D50:D57)</f>
        <v>4.7</v>
      </c>
      <c r="E58" s="69">
        <f t="shared" si="34"/>
        <v>9.4</v>
      </c>
      <c r="F58" s="69">
        <f t="shared" si="34"/>
        <v>14.100000000000001</v>
      </c>
      <c r="G58" s="69">
        <f t="shared" si="34"/>
        <v>18.8</v>
      </c>
      <c r="H58" s="69">
        <f t="shared" si="34"/>
        <v>23.5</v>
      </c>
      <c r="I58" s="69">
        <f t="shared" si="34"/>
        <v>28.200000000000003</v>
      </c>
      <c r="J58" s="69">
        <f t="shared" si="34"/>
        <v>32.9</v>
      </c>
      <c r="K58" s="69">
        <f t="shared" si="34"/>
        <v>37.6</v>
      </c>
      <c r="L58" s="69">
        <f t="shared" si="34"/>
        <v>42.3</v>
      </c>
      <c r="M58" s="69">
        <f t="shared" si="34"/>
        <v>47</v>
      </c>
      <c r="N58" s="69">
        <f t="shared" si="34"/>
        <v>47</v>
      </c>
      <c r="O58" s="69">
        <f t="shared" si="34"/>
        <v>47</v>
      </c>
      <c r="P58" s="69">
        <f t="shared" si="34"/>
        <v>47</v>
      </c>
      <c r="Q58" s="69">
        <f t="shared" si="34"/>
        <v>47</v>
      </c>
      <c r="R58" s="69">
        <f t="shared" si="34"/>
        <v>47</v>
      </c>
      <c r="S58" s="69">
        <f t="shared" si="34"/>
        <v>47</v>
      </c>
      <c r="T58" s="69">
        <f t="shared" si="34"/>
        <v>47</v>
      </c>
      <c r="U58" s="69">
        <f t="shared" si="34"/>
        <v>47</v>
      </c>
      <c r="V58" s="69">
        <f t="shared" si="34"/>
        <v>47</v>
      </c>
      <c r="W58" s="69">
        <f t="shared" si="34"/>
        <v>47</v>
      </c>
    </row>
    <row r="59" spans="1:23" s="3" customFormat="1" x14ac:dyDescent="0.25">
      <c r="A59" s="66"/>
      <c r="B59" s="66"/>
      <c r="C59" s="66"/>
      <c r="D59" s="67"/>
      <c r="E59" s="67"/>
      <c r="F59" s="67"/>
      <c r="G59" s="67"/>
      <c r="H59" s="67"/>
      <c r="I59" s="67"/>
      <c r="J59" s="67"/>
      <c r="K59" s="67"/>
      <c r="L59" s="67"/>
      <c r="M59" s="67"/>
      <c r="N59" s="67"/>
      <c r="O59" s="67"/>
      <c r="P59" s="67"/>
      <c r="Q59" s="67"/>
      <c r="R59" s="67"/>
      <c r="S59" s="67"/>
      <c r="T59" s="67"/>
      <c r="U59" s="67"/>
      <c r="V59" s="67"/>
      <c r="W59" s="67"/>
    </row>
    <row r="60" spans="1:23" s="3" customFormat="1" x14ac:dyDescent="0.25">
      <c r="A60" s="165" t="s">
        <v>142</v>
      </c>
      <c r="B60" s="165"/>
      <c r="C60" s="66"/>
      <c r="D60" s="67"/>
      <c r="E60" s="67"/>
      <c r="F60" s="67"/>
      <c r="G60" s="67"/>
      <c r="H60" s="67"/>
      <c r="I60" s="67"/>
      <c r="J60" s="67"/>
      <c r="K60" s="67"/>
      <c r="L60" s="67"/>
      <c r="M60" s="67"/>
      <c r="N60" s="67"/>
      <c r="O60" s="67"/>
      <c r="P60" s="67"/>
      <c r="Q60" s="67"/>
      <c r="R60" s="67"/>
      <c r="S60" s="67"/>
      <c r="T60" s="67"/>
      <c r="U60" s="67"/>
      <c r="V60" s="67"/>
      <c r="W60" s="67"/>
    </row>
    <row r="61" spans="1:23" s="3" customFormat="1" x14ac:dyDescent="0.25">
      <c r="A61" s="71" t="s">
        <v>32</v>
      </c>
      <c r="B61" s="71" t="s">
        <v>102</v>
      </c>
      <c r="C61" s="72" t="s">
        <v>88</v>
      </c>
      <c r="D61" s="71">
        <v>2021</v>
      </c>
      <c r="E61" s="72">
        <v>2022</v>
      </c>
      <c r="F61" s="71">
        <v>2023</v>
      </c>
      <c r="G61" s="72">
        <v>2024</v>
      </c>
      <c r="H61" s="71">
        <v>2025</v>
      </c>
      <c r="I61" s="72">
        <v>2026</v>
      </c>
      <c r="J61" s="71">
        <v>2027</v>
      </c>
      <c r="K61" s="72">
        <v>2028</v>
      </c>
      <c r="L61" s="71">
        <v>2029</v>
      </c>
      <c r="M61" s="72">
        <v>2030</v>
      </c>
      <c r="N61" s="71">
        <v>2031</v>
      </c>
      <c r="O61" s="72">
        <v>2032</v>
      </c>
      <c r="P61" s="71">
        <v>2033</v>
      </c>
      <c r="Q61" s="72">
        <v>2034</v>
      </c>
      <c r="R61" s="71">
        <v>2035</v>
      </c>
      <c r="S61" s="72">
        <v>2036</v>
      </c>
      <c r="T61" s="71">
        <v>2037</v>
      </c>
      <c r="U61" s="72">
        <v>2038</v>
      </c>
      <c r="V61" s="71">
        <v>2039</v>
      </c>
      <c r="W61" s="72">
        <v>2040</v>
      </c>
    </row>
    <row r="62" spans="1:23" s="3" customFormat="1" x14ac:dyDescent="0.25">
      <c r="A62" s="160" t="s">
        <v>107</v>
      </c>
      <c r="B62" s="47" t="s">
        <v>59</v>
      </c>
      <c r="C62" s="65" t="s">
        <v>11</v>
      </c>
      <c r="D62" s="51">
        <f>SUM(D2,D14,D26)</f>
        <v>6.1</v>
      </c>
      <c r="E62" s="51">
        <f t="shared" ref="E62:W69" si="35">SUM(E2,E14,E26)</f>
        <v>6.2</v>
      </c>
      <c r="F62" s="51">
        <f t="shared" si="35"/>
        <v>6.3</v>
      </c>
      <c r="G62" s="51">
        <f t="shared" si="35"/>
        <v>6.4</v>
      </c>
      <c r="H62" s="51">
        <f t="shared" si="35"/>
        <v>6.5</v>
      </c>
      <c r="I62" s="51">
        <f t="shared" si="35"/>
        <v>6.6</v>
      </c>
      <c r="J62" s="51">
        <f t="shared" si="35"/>
        <v>6.7</v>
      </c>
      <c r="K62" s="51">
        <f t="shared" si="35"/>
        <v>6.8</v>
      </c>
      <c r="L62" s="51">
        <f t="shared" si="35"/>
        <v>6.9</v>
      </c>
      <c r="M62" s="51">
        <f t="shared" si="35"/>
        <v>7</v>
      </c>
      <c r="N62" s="51">
        <f t="shared" si="35"/>
        <v>7</v>
      </c>
      <c r="O62" s="51">
        <f t="shared" si="35"/>
        <v>7</v>
      </c>
      <c r="P62" s="51">
        <f t="shared" si="35"/>
        <v>7</v>
      </c>
      <c r="Q62" s="51">
        <f t="shared" si="35"/>
        <v>7</v>
      </c>
      <c r="R62" s="51">
        <f t="shared" si="35"/>
        <v>7</v>
      </c>
      <c r="S62" s="51">
        <f t="shared" si="35"/>
        <v>7</v>
      </c>
      <c r="T62" s="51">
        <f t="shared" si="35"/>
        <v>7</v>
      </c>
      <c r="U62" s="51">
        <f t="shared" si="35"/>
        <v>7</v>
      </c>
      <c r="V62" s="51">
        <f t="shared" si="35"/>
        <v>7</v>
      </c>
      <c r="W62" s="51">
        <f t="shared" si="35"/>
        <v>7</v>
      </c>
    </row>
    <row r="63" spans="1:23" s="3" customFormat="1" x14ac:dyDescent="0.25">
      <c r="A63" s="161"/>
      <c r="B63" s="47" t="s">
        <v>57</v>
      </c>
      <c r="C63" s="65" t="s">
        <v>11</v>
      </c>
      <c r="D63" s="51">
        <f t="shared" ref="D63:S69" si="36">SUM(D3,D15,D27)</f>
        <v>17.600000000000001</v>
      </c>
      <c r="E63" s="51">
        <f t="shared" si="36"/>
        <v>18.2</v>
      </c>
      <c r="F63" s="51">
        <f t="shared" si="36"/>
        <v>18.8</v>
      </c>
      <c r="G63" s="51">
        <f t="shared" si="36"/>
        <v>19.399999999999999</v>
      </c>
      <c r="H63" s="51">
        <f t="shared" si="36"/>
        <v>20</v>
      </c>
      <c r="I63" s="51">
        <f t="shared" si="36"/>
        <v>20.6</v>
      </c>
      <c r="J63" s="51">
        <f t="shared" si="36"/>
        <v>21.2</v>
      </c>
      <c r="K63" s="51">
        <f t="shared" si="36"/>
        <v>21.8</v>
      </c>
      <c r="L63" s="51">
        <f t="shared" si="36"/>
        <v>22.4</v>
      </c>
      <c r="M63" s="51">
        <f t="shared" si="36"/>
        <v>23</v>
      </c>
      <c r="N63" s="51">
        <f t="shared" si="36"/>
        <v>23</v>
      </c>
      <c r="O63" s="51">
        <f t="shared" si="36"/>
        <v>23</v>
      </c>
      <c r="P63" s="51">
        <f t="shared" si="36"/>
        <v>23</v>
      </c>
      <c r="Q63" s="51">
        <f t="shared" si="36"/>
        <v>23</v>
      </c>
      <c r="R63" s="51">
        <f t="shared" si="36"/>
        <v>23</v>
      </c>
      <c r="S63" s="51">
        <f t="shared" si="36"/>
        <v>23</v>
      </c>
      <c r="T63" s="51">
        <f t="shared" si="35"/>
        <v>23</v>
      </c>
      <c r="U63" s="51">
        <f t="shared" si="35"/>
        <v>23</v>
      </c>
      <c r="V63" s="51">
        <f t="shared" si="35"/>
        <v>23</v>
      </c>
      <c r="W63" s="51">
        <f t="shared" si="35"/>
        <v>23</v>
      </c>
    </row>
    <row r="64" spans="1:23" s="3" customFormat="1" x14ac:dyDescent="0.25">
      <c r="A64" s="161"/>
      <c r="B64" s="47" t="s">
        <v>56</v>
      </c>
      <c r="C64" s="65" t="s">
        <v>11</v>
      </c>
      <c r="D64" s="51">
        <f t="shared" si="36"/>
        <v>8.1999999999999993</v>
      </c>
      <c r="E64" s="51">
        <f t="shared" si="35"/>
        <v>8.4</v>
      </c>
      <c r="F64" s="51">
        <f t="shared" si="35"/>
        <v>8.6</v>
      </c>
      <c r="G64" s="51">
        <f t="shared" si="35"/>
        <v>8.8000000000000007</v>
      </c>
      <c r="H64" s="51">
        <f t="shared" si="35"/>
        <v>9</v>
      </c>
      <c r="I64" s="51">
        <f t="shared" si="35"/>
        <v>9.1999999999999993</v>
      </c>
      <c r="J64" s="51">
        <f t="shared" si="35"/>
        <v>9.4</v>
      </c>
      <c r="K64" s="51">
        <f t="shared" si="35"/>
        <v>9.6</v>
      </c>
      <c r="L64" s="51">
        <f t="shared" si="35"/>
        <v>9.8000000000000007</v>
      </c>
      <c r="M64" s="51">
        <f t="shared" si="35"/>
        <v>10</v>
      </c>
      <c r="N64" s="51">
        <f t="shared" si="35"/>
        <v>10</v>
      </c>
      <c r="O64" s="51">
        <f t="shared" si="35"/>
        <v>10</v>
      </c>
      <c r="P64" s="51">
        <f t="shared" si="35"/>
        <v>10</v>
      </c>
      <c r="Q64" s="51">
        <f t="shared" si="35"/>
        <v>10</v>
      </c>
      <c r="R64" s="51">
        <f t="shared" si="35"/>
        <v>10</v>
      </c>
      <c r="S64" s="51">
        <f t="shared" si="35"/>
        <v>10</v>
      </c>
      <c r="T64" s="51">
        <f t="shared" si="35"/>
        <v>10</v>
      </c>
      <c r="U64" s="51">
        <f t="shared" si="35"/>
        <v>10</v>
      </c>
      <c r="V64" s="51">
        <f t="shared" si="35"/>
        <v>10</v>
      </c>
      <c r="W64" s="51">
        <f t="shared" si="35"/>
        <v>10</v>
      </c>
    </row>
    <row r="65" spans="1:23" s="3" customFormat="1" x14ac:dyDescent="0.25">
      <c r="A65" s="161"/>
      <c r="B65" s="47" t="s">
        <v>100</v>
      </c>
      <c r="C65" s="65" t="s">
        <v>11</v>
      </c>
      <c r="D65" s="51">
        <f t="shared" si="36"/>
        <v>0</v>
      </c>
      <c r="E65" s="51">
        <f t="shared" si="35"/>
        <v>0</v>
      </c>
      <c r="F65" s="51">
        <f t="shared" si="35"/>
        <v>0</v>
      </c>
      <c r="G65" s="51">
        <f t="shared" si="35"/>
        <v>0</v>
      </c>
      <c r="H65" s="51">
        <f t="shared" si="35"/>
        <v>0</v>
      </c>
      <c r="I65" s="51">
        <f t="shared" si="35"/>
        <v>0</v>
      </c>
      <c r="J65" s="51">
        <f t="shared" si="35"/>
        <v>0</v>
      </c>
      <c r="K65" s="51">
        <f t="shared" si="35"/>
        <v>0</v>
      </c>
      <c r="L65" s="51">
        <f t="shared" si="35"/>
        <v>0</v>
      </c>
      <c r="M65" s="51">
        <f t="shared" si="35"/>
        <v>0</v>
      </c>
      <c r="N65" s="51">
        <f t="shared" si="35"/>
        <v>0</v>
      </c>
      <c r="O65" s="51">
        <f t="shared" si="35"/>
        <v>0</v>
      </c>
      <c r="P65" s="51">
        <f t="shared" si="35"/>
        <v>0</v>
      </c>
      <c r="Q65" s="51">
        <f t="shared" si="35"/>
        <v>0</v>
      </c>
      <c r="R65" s="51">
        <f t="shared" si="35"/>
        <v>0</v>
      </c>
      <c r="S65" s="51">
        <f t="shared" si="35"/>
        <v>0</v>
      </c>
      <c r="T65" s="51">
        <f t="shared" si="35"/>
        <v>0</v>
      </c>
      <c r="U65" s="51">
        <f t="shared" si="35"/>
        <v>0</v>
      </c>
      <c r="V65" s="51">
        <f t="shared" si="35"/>
        <v>0</v>
      </c>
      <c r="W65" s="51">
        <f t="shared" si="35"/>
        <v>0</v>
      </c>
    </row>
    <row r="66" spans="1:23" s="3" customFormat="1" x14ac:dyDescent="0.25">
      <c r="A66" s="161"/>
      <c r="B66" s="47" t="s">
        <v>60</v>
      </c>
      <c r="C66" s="65" t="s">
        <v>11</v>
      </c>
      <c r="D66" s="51">
        <f t="shared" si="36"/>
        <v>1</v>
      </c>
      <c r="E66" s="51">
        <f t="shared" si="35"/>
        <v>1</v>
      </c>
      <c r="F66" s="51">
        <f t="shared" si="35"/>
        <v>1</v>
      </c>
      <c r="G66" s="51">
        <f t="shared" si="35"/>
        <v>1</v>
      </c>
      <c r="H66" s="51">
        <f t="shared" si="35"/>
        <v>1</v>
      </c>
      <c r="I66" s="51">
        <f t="shared" si="35"/>
        <v>1</v>
      </c>
      <c r="J66" s="51">
        <f t="shared" si="35"/>
        <v>1</v>
      </c>
      <c r="K66" s="51">
        <f t="shared" si="35"/>
        <v>1</v>
      </c>
      <c r="L66" s="51">
        <f t="shared" si="35"/>
        <v>1</v>
      </c>
      <c r="M66" s="51">
        <f t="shared" si="35"/>
        <v>1</v>
      </c>
      <c r="N66" s="51">
        <f t="shared" si="35"/>
        <v>1</v>
      </c>
      <c r="O66" s="51">
        <f t="shared" si="35"/>
        <v>1</v>
      </c>
      <c r="P66" s="51">
        <f t="shared" si="35"/>
        <v>1</v>
      </c>
      <c r="Q66" s="51">
        <f t="shared" si="35"/>
        <v>1</v>
      </c>
      <c r="R66" s="51">
        <f t="shared" si="35"/>
        <v>1</v>
      </c>
      <c r="S66" s="51">
        <f t="shared" si="35"/>
        <v>1</v>
      </c>
      <c r="T66" s="51">
        <f t="shared" si="35"/>
        <v>1</v>
      </c>
      <c r="U66" s="51">
        <f t="shared" si="35"/>
        <v>1</v>
      </c>
      <c r="V66" s="51">
        <f t="shared" si="35"/>
        <v>1</v>
      </c>
      <c r="W66" s="51">
        <f t="shared" si="35"/>
        <v>1</v>
      </c>
    </row>
    <row r="67" spans="1:23" s="3" customFormat="1" x14ac:dyDescent="0.25">
      <c r="A67" s="161"/>
      <c r="B67" s="47" t="s">
        <v>101</v>
      </c>
      <c r="C67" s="65" t="s">
        <v>11</v>
      </c>
      <c r="D67" s="51">
        <f t="shared" si="36"/>
        <v>0</v>
      </c>
      <c r="E67" s="51">
        <f t="shared" si="35"/>
        <v>0</v>
      </c>
      <c r="F67" s="51">
        <f t="shared" si="35"/>
        <v>0</v>
      </c>
      <c r="G67" s="51">
        <f t="shared" si="35"/>
        <v>0</v>
      </c>
      <c r="H67" s="51">
        <f t="shared" si="35"/>
        <v>0</v>
      </c>
      <c r="I67" s="51">
        <f t="shared" si="35"/>
        <v>0</v>
      </c>
      <c r="J67" s="51">
        <f t="shared" si="35"/>
        <v>0</v>
      </c>
      <c r="K67" s="51">
        <f t="shared" si="35"/>
        <v>0</v>
      </c>
      <c r="L67" s="51">
        <f t="shared" si="35"/>
        <v>0</v>
      </c>
      <c r="M67" s="51">
        <f t="shared" si="35"/>
        <v>0</v>
      </c>
      <c r="N67" s="51">
        <f t="shared" si="35"/>
        <v>0</v>
      </c>
      <c r="O67" s="51">
        <f t="shared" si="35"/>
        <v>0</v>
      </c>
      <c r="P67" s="51">
        <f t="shared" si="35"/>
        <v>0</v>
      </c>
      <c r="Q67" s="51">
        <f t="shared" si="35"/>
        <v>0</v>
      </c>
      <c r="R67" s="51">
        <f t="shared" si="35"/>
        <v>0</v>
      </c>
      <c r="S67" s="51">
        <f t="shared" si="35"/>
        <v>0</v>
      </c>
      <c r="T67" s="51">
        <f t="shared" si="35"/>
        <v>0</v>
      </c>
      <c r="U67" s="51">
        <f t="shared" si="35"/>
        <v>0</v>
      </c>
      <c r="V67" s="51">
        <f t="shared" si="35"/>
        <v>0</v>
      </c>
      <c r="W67" s="51">
        <f t="shared" si="35"/>
        <v>0</v>
      </c>
    </row>
    <row r="68" spans="1:23" s="3" customFormat="1" x14ac:dyDescent="0.25">
      <c r="A68" s="161"/>
      <c r="B68" s="47" t="s">
        <v>58</v>
      </c>
      <c r="C68" s="65" t="s">
        <v>11</v>
      </c>
      <c r="D68" s="51">
        <f t="shared" si="36"/>
        <v>3.2</v>
      </c>
      <c r="E68" s="51">
        <f t="shared" si="35"/>
        <v>3.4</v>
      </c>
      <c r="F68" s="51">
        <f t="shared" si="35"/>
        <v>3.6</v>
      </c>
      <c r="G68" s="51">
        <f t="shared" si="35"/>
        <v>3.8</v>
      </c>
      <c r="H68" s="51">
        <f t="shared" si="35"/>
        <v>4</v>
      </c>
      <c r="I68" s="51">
        <f t="shared" si="35"/>
        <v>4.2</v>
      </c>
      <c r="J68" s="51">
        <f t="shared" si="35"/>
        <v>4.4000000000000004</v>
      </c>
      <c r="K68" s="51">
        <f t="shared" si="35"/>
        <v>4.5999999999999996</v>
      </c>
      <c r="L68" s="51">
        <f t="shared" si="35"/>
        <v>4.8</v>
      </c>
      <c r="M68" s="51">
        <f t="shared" si="35"/>
        <v>5</v>
      </c>
      <c r="N68" s="51">
        <f t="shared" si="35"/>
        <v>5</v>
      </c>
      <c r="O68" s="51">
        <f t="shared" si="35"/>
        <v>5</v>
      </c>
      <c r="P68" s="51">
        <f t="shared" si="35"/>
        <v>5</v>
      </c>
      <c r="Q68" s="51">
        <f t="shared" si="35"/>
        <v>5</v>
      </c>
      <c r="R68" s="51">
        <f t="shared" si="35"/>
        <v>5</v>
      </c>
      <c r="S68" s="51">
        <f t="shared" si="35"/>
        <v>5</v>
      </c>
      <c r="T68" s="51">
        <f t="shared" si="35"/>
        <v>5</v>
      </c>
      <c r="U68" s="51">
        <f t="shared" si="35"/>
        <v>5</v>
      </c>
      <c r="V68" s="51">
        <f t="shared" si="35"/>
        <v>5</v>
      </c>
      <c r="W68" s="51">
        <f t="shared" si="35"/>
        <v>5</v>
      </c>
    </row>
    <row r="69" spans="1:23" s="3" customFormat="1" x14ac:dyDescent="0.25">
      <c r="A69" s="161"/>
      <c r="B69" s="47" t="s">
        <v>61</v>
      </c>
      <c r="C69" s="65" t="s">
        <v>11</v>
      </c>
      <c r="D69" s="51">
        <f t="shared" si="36"/>
        <v>3.1</v>
      </c>
      <c r="E69" s="51">
        <f t="shared" si="35"/>
        <v>3.2</v>
      </c>
      <c r="F69" s="51">
        <f t="shared" si="35"/>
        <v>3.3</v>
      </c>
      <c r="G69" s="51">
        <f t="shared" si="35"/>
        <v>3.4</v>
      </c>
      <c r="H69" s="51">
        <f t="shared" si="35"/>
        <v>3.5</v>
      </c>
      <c r="I69" s="51">
        <f t="shared" si="35"/>
        <v>3.6</v>
      </c>
      <c r="J69" s="51">
        <f t="shared" si="35"/>
        <v>3.7</v>
      </c>
      <c r="K69" s="51">
        <f t="shared" si="35"/>
        <v>3.8</v>
      </c>
      <c r="L69" s="51">
        <f t="shared" si="35"/>
        <v>3.9</v>
      </c>
      <c r="M69" s="51">
        <f t="shared" si="35"/>
        <v>4</v>
      </c>
      <c r="N69" s="51">
        <f t="shared" si="35"/>
        <v>4</v>
      </c>
      <c r="O69" s="51">
        <f t="shared" si="35"/>
        <v>4</v>
      </c>
      <c r="P69" s="51">
        <f t="shared" si="35"/>
        <v>4</v>
      </c>
      <c r="Q69" s="51">
        <f t="shared" si="35"/>
        <v>4</v>
      </c>
      <c r="R69" s="51">
        <f t="shared" si="35"/>
        <v>4</v>
      </c>
      <c r="S69" s="51">
        <f t="shared" si="35"/>
        <v>4</v>
      </c>
      <c r="T69" s="51">
        <f t="shared" si="35"/>
        <v>4</v>
      </c>
      <c r="U69" s="51">
        <f t="shared" si="35"/>
        <v>4</v>
      </c>
      <c r="V69" s="51">
        <f t="shared" si="35"/>
        <v>4</v>
      </c>
      <c r="W69" s="51">
        <f t="shared" si="35"/>
        <v>4</v>
      </c>
    </row>
    <row r="70" spans="1:23" s="3" customFormat="1" x14ac:dyDescent="0.25">
      <c r="A70" s="162"/>
      <c r="B70" s="68" t="s">
        <v>104</v>
      </c>
      <c r="C70" s="59"/>
      <c r="D70" s="69">
        <f>SUM(D62:D69)</f>
        <v>39.20000000000001</v>
      </c>
      <c r="E70" s="69">
        <f t="shared" ref="E70:W70" si="37">SUM(E62:E69)</f>
        <v>40.4</v>
      </c>
      <c r="F70" s="69">
        <f t="shared" si="37"/>
        <v>41.6</v>
      </c>
      <c r="G70" s="69">
        <f t="shared" si="37"/>
        <v>42.79999999999999</v>
      </c>
      <c r="H70" s="69">
        <f t="shared" si="37"/>
        <v>44</v>
      </c>
      <c r="I70" s="69">
        <f t="shared" si="37"/>
        <v>45.20000000000001</v>
      </c>
      <c r="J70" s="69">
        <f t="shared" si="37"/>
        <v>46.4</v>
      </c>
      <c r="K70" s="69">
        <f t="shared" si="37"/>
        <v>47.6</v>
      </c>
      <c r="L70" s="69">
        <f t="shared" si="37"/>
        <v>48.79999999999999</v>
      </c>
      <c r="M70" s="69">
        <f t="shared" si="37"/>
        <v>50</v>
      </c>
      <c r="N70" s="69">
        <f t="shared" si="37"/>
        <v>50</v>
      </c>
      <c r="O70" s="69">
        <f t="shared" si="37"/>
        <v>50</v>
      </c>
      <c r="P70" s="69">
        <f t="shared" si="37"/>
        <v>50</v>
      </c>
      <c r="Q70" s="69">
        <f t="shared" si="37"/>
        <v>50</v>
      </c>
      <c r="R70" s="69">
        <f t="shared" si="37"/>
        <v>50</v>
      </c>
      <c r="S70" s="69">
        <f t="shared" si="37"/>
        <v>50</v>
      </c>
      <c r="T70" s="69">
        <f t="shared" si="37"/>
        <v>50</v>
      </c>
      <c r="U70" s="69">
        <f t="shared" si="37"/>
        <v>50</v>
      </c>
      <c r="V70" s="69">
        <f t="shared" si="37"/>
        <v>50</v>
      </c>
      <c r="W70" s="69">
        <f t="shared" si="37"/>
        <v>50</v>
      </c>
    </row>
    <row r="71" spans="1:23" s="3" customFormat="1" x14ac:dyDescent="0.25">
      <c r="A71" s="66"/>
      <c r="B71" s="66"/>
      <c r="C71" s="66"/>
      <c r="D71" s="67"/>
      <c r="E71" s="67"/>
      <c r="F71" s="67"/>
      <c r="G71" s="67"/>
      <c r="H71" s="67"/>
      <c r="I71" s="67"/>
      <c r="J71" s="67"/>
      <c r="K71" s="67"/>
      <c r="L71" s="67"/>
      <c r="M71" s="67"/>
      <c r="N71" s="67"/>
      <c r="O71" s="67"/>
      <c r="P71" s="67"/>
      <c r="Q71" s="67"/>
      <c r="R71" s="67"/>
      <c r="S71" s="67"/>
      <c r="T71" s="67"/>
      <c r="U71" s="67"/>
      <c r="V71" s="67"/>
      <c r="W71" s="67"/>
    </row>
    <row r="72" spans="1:23" s="3" customFormat="1" x14ac:dyDescent="0.25">
      <c r="A72" s="165" t="s">
        <v>143</v>
      </c>
      <c r="B72" s="165"/>
      <c r="C72" s="66"/>
      <c r="D72" s="67"/>
      <c r="E72" s="67"/>
      <c r="F72" s="67"/>
      <c r="G72" s="67"/>
      <c r="H72" s="67"/>
      <c r="I72" s="67"/>
      <c r="J72" s="67"/>
      <c r="K72" s="67"/>
      <c r="L72" s="67"/>
      <c r="M72" s="67"/>
      <c r="N72" s="67"/>
      <c r="O72" s="67"/>
      <c r="P72" s="67"/>
      <c r="Q72" s="67"/>
      <c r="R72" s="67"/>
      <c r="S72" s="67"/>
      <c r="T72" s="67"/>
      <c r="U72" s="67"/>
      <c r="V72" s="67"/>
      <c r="W72" s="67"/>
    </row>
    <row r="73" spans="1:23" s="3" customFormat="1" x14ac:dyDescent="0.25">
      <c r="A73" s="71" t="s">
        <v>32</v>
      </c>
      <c r="B73" s="71" t="s">
        <v>102</v>
      </c>
      <c r="C73" s="72" t="s">
        <v>88</v>
      </c>
      <c r="D73" s="71">
        <v>2021</v>
      </c>
      <c r="E73" s="72">
        <v>2022</v>
      </c>
      <c r="F73" s="71">
        <v>2023</v>
      </c>
      <c r="G73" s="72">
        <v>2024</v>
      </c>
      <c r="H73" s="71">
        <v>2025</v>
      </c>
      <c r="I73" s="72">
        <v>2026</v>
      </c>
      <c r="J73" s="71">
        <v>2027</v>
      </c>
      <c r="K73" s="72">
        <v>2028</v>
      </c>
      <c r="L73" s="71">
        <v>2029</v>
      </c>
      <c r="M73" s="72">
        <v>2030</v>
      </c>
      <c r="N73" s="71">
        <v>2031</v>
      </c>
      <c r="O73" s="72">
        <v>2032</v>
      </c>
      <c r="P73" s="71">
        <v>2033</v>
      </c>
      <c r="Q73" s="72">
        <v>2034</v>
      </c>
      <c r="R73" s="71">
        <v>2035</v>
      </c>
      <c r="S73" s="72">
        <v>2036</v>
      </c>
      <c r="T73" s="71">
        <v>2037</v>
      </c>
      <c r="U73" s="72">
        <v>2038</v>
      </c>
      <c r="V73" s="71">
        <v>2039</v>
      </c>
      <c r="W73" s="72">
        <v>2040</v>
      </c>
    </row>
    <row r="74" spans="1:23" s="3" customFormat="1" x14ac:dyDescent="0.25">
      <c r="A74" s="160" t="s">
        <v>107</v>
      </c>
      <c r="B74" s="47" t="s">
        <v>59</v>
      </c>
      <c r="C74" s="65" t="s">
        <v>11</v>
      </c>
      <c r="D74" s="51">
        <f>SUM(D2,D14,D38)</f>
        <v>6.4</v>
      </c>
      <c r="E74" s="51">
        <f t="shared" ref="E74:W81" si="38">SUM(E2,E14,E38)</f>
        <v>6.8</v>
      </c>
      <c r="F74" s="51">
        <f t="shared" si="38"/>
        <v>7.2</v>
      </c>
      <c r="G74" s="51">
        <f t="shared" si="38"/>
        <v>7.6</v>
      </c>
      <c r="H74" s="51">
        <f t="shared" si="38"/>
        <v>8</v>
      </c>
      <c r="I74" s="51">
        <f t="shared" si="38"/>
        <v>8.4</v>
      </c>
      <c r="J74" s="51">
        <f t="shared" si="38"/>
        <v>8.8000000000000007</v>
      </c>
      <c r="K74" s="51">
        <f t="shared" si="38"/>
        <v>9.1999999999999993</v>
      </c>
      <c r="L74" s="51">
        <f t="shared" si="38"/>
        <v>9.6</v>
      </c>
      <c r="M74" s="51">
        <f t="shared" si="38"/>
        <v>10</v>
      </c>
      <c r="N74" s="51">
        <f t="shared" si="38"/>
        <v>10</v>
      </c>
      <c r="O74" s="51">
        <f t="shared" si="38"/>
        <v>10</v>
      </c>
      <c r="P74" s="51">
        <f t="shared" si="38"/>
        <v>10</v>
      </c>
      <c r="Q74" s="51">
        <f t="shared" si="38"/>
        <v>10</v>
      </c>
      <c r="R74" s="51">
        <f t="shared" si="38"/>
        <v>10</v>
      </c>
      <c r="S74" s="51">
        <f t="shared" si="38"/>
        <v>10</v>
      </c>
      <c r="T74" s="51">
        <f t="shared" si="38"/>
        <v>10</v>
      </c>
      <c r="U74" s="51">
        <f t="shared" si="38"/>
        <v>10</v>
      </c>
      <c r="V74" s="51">
        <f t="shared" si="38"/>
        <v>10</v>
      </c>
      <c r="W74" s="51">
        <f t="shared" si="38"/>
        <v>10</v>
      </c>
    </row>
    <row r="75" spans="1:23" s="3" customFormat="1" x14ac:dyDescent="0.25">
      <c r="A75" s="161"/>
      <c r="B75" s="47" t="s">
        <v>57</v>
      </c>
      <c r="C75" s="65" t="s">
        <v>11</v>
      </c>
      <c r="D75" s="51">
        <f t="shared" ref="D75:S81" si="39">SUM(D3,D15,D39)</f>
        <v>18.399999999999999</v>
      </c>
      <c r="E75" s="51">
        <f t="shared" si="39"/>
        <v>19.8</v>
      </c>
      <c r="F75" s="51">
        <f t="shared" si="39"/>
        <v>21.2</v>
      </c>
      <c r="G75" s="51">
        <f t="shared" si="39"/>
        <v>22.6</v>
      </c>
      <c r="H75" s="51">
        <f t="shared" si="39"/>
        <v>24</v>
      </c>
      <c r="I75" s="51">
        <f t="shared" si="39"/>
        <v>25.4</v>
      </c>
      <c r="J75" s="51">
        <f t="shared" si="39"/>
        <v>26.8</v>
      </c>
      <c r="K75" s="51">
        <f t="shared" si="39"/>
        <v>28.200000000000003</v>
      </c>
      <c r="L75" s="51">
        <f t="shared" si="39"/>
        <v>29.6</v>
      </c>
      <c r="M75" s="51">
        <f t="shared" si="39"/>
        <v>31</v>
      </c>
      <c r="N75" s="51">
        <f t="shared" si="39"/>
        <v>31</v>
      </c>
      <c r="O75" s="51">
        <f t="shared" si="39"/>
        <v>31</v>
      </c>
      <c r="P75" s="51">
        <f t="shared" si="39"/>
        <v>31</v>
      </c>
      <c r="Q75" s="51">
        <f t="shared" si="39"/>
        <v>31</v>
      </c>
      <c r="R75" s="51">
        <f t="shared" si="39"/>
        <v>31</v>
      </c>
      <c r="S75" s="51">
        <f t="shared" si="39"/>
        <v>31</v>
      </c>
      <c r="T75" s="51">
        <f t="shared" si="38"/>
        <v>31</v>
      </c>
      <c r="U75" s="51">
        <f t="shared" si="38"/>
        <v>31</v>
      </c>
      <c r="V75" s="51">
        <f t="shared" si="38"/>
        <v>31</v>
      </c>
      <c r="W75" s="51">
        <f t="shared" si="38"/>
        <v>31</v>
      </c>
    </row>
    <row r="76" spans="1:23" s="3" customFormat="1" x14ac:dyDescent="0.25">
      <c r="A76" s="161"/>
      <c r="B76" s="47" t="s">
        <v>56</v>
      </c>
      <c r="C76" s="65" t="s">
        <v>11</v>
      </c>
      <c r="D76" s="51">
        <f t="shared" si="39"/>
        <v>8.5</v>
      </c>
      <c r="E76" s="51">
        <f t="shared" si="38"/>
        <v>9</v>
      </c>
      <c r="F76" s="51">
        <f t="shared" si="38"/>
        <v>9.5</v>
      </c>
      <c r="G76" s="51">
        <f t="shared" si="38"/>
        <v>10</v>
      </c>
      <c r="H76" s="51">
        <f t="shared" si="38"/>
        <v>10.5</v>
      </c>
      <c r="I76" s="51">
        <f t="shared" si="38"/>
        <v>11</v>
      </c>
      <c r="J76" s="51">
        <f t="shared" si="38"/>
        <v>11.5</v>
      </c>
      <c r="K76" s="51">
        <f t="shared" si="38"/>
        <v>12</v>
      </c>
      <c r="L76" s="51">
        <f t="shared" si="38"/>
        <v>12.5</v>
      </c>
      <c r="M76" s="51">
        <f t="shared" si="38"/>
        <v>13</v>
      </c>
      <c r="N76" s="51">
        <f t="shared" si="38"/>
        <v>13</v>
      </c>
      <c r="O76" s="51">
        <f t="shared" si="38"/>
        <v>13</v>
      </c>
      <c r="P76" s="51">
        <f t="shared" si="38"/>
        <v>13</v>
      </c>
      <c r="Q76" s="51">
        <f t="shared" si="38"/>
        <v>13</v>
      </c>
      <c r="R76" s="51">
        <f t="shared" si="38"/>
        <v>13</v>
      </c>
      <c r="S76" s="51">
        <f t="shared" si="38"/>
        <v>13</v>
      </c>
      <c r="T76" s="51">
        <f t="shared" si="38"/>
        <v>13</v>
      </c>
      <c r="U76" s="51">
        <f t="shared" si="38"/>
        <v>13</v>
      </c>
      <c r="V76" s="51">
        <f t="shared" si="38"/>
        <v>13</v>
      </c>
      <c r="W76" s="51">
        <f t="shared" si="38"/>
        <v>13</v>
      </c>
    </row>
    <row r="77" spans="1:23" s="3" customFormat="1" x14ac:dyDescent="0.25">
      <c r="A77" s="161"/>
      <c r="B77" s="47" t="s">
        <v>100</v>
      </c>
      <c r="C77" s="65" t="s">
        <v>11</v>
      </c>
      <c r="D77" s="51">
        <f t="shared" si="39"/>
        <v>0</v>
      </c>
      <c r="E77" s="51">
        <f t="shared" si="38"/>
        <v>0</v>
      </c>
      <c r="F77" s="51">
        <f t="shared" si="38"/>
        <v>0</v>
      </c>
      <c r="G77" s="51">
        <f t="shared" si="38"/>
        <v>0</v>
      </c>
      <c r="H77" s="51">
        <f t="shared" si="38"/>
        <v>0</v>
      </c>
      <c r="I77" s="51">
        <f t="shared" si="38"/>
        <v>0</v>
      </c>
      <c r="J77" s="51">
        <f t="shared" si="38"/>
        <v>0</v>
      </c>
      <c r="K77" s="51">
        <f t="shared" si="38"/>
        <v>0</v>
      </c>
      <c r="L77" s="51">
        <f t="shared" si="38"/>
        <v>0</v>
      </c>
      <c r="M77" s="51">
        <f t="shared" si="38"/>
        <v>0</v>
      </c>
      <c r="N77" s="51">
        <f t="shared" si="38"/>
        <v>0</v>
      </c>
      <c r="O77" s="51">
        <f t="shared" si="38"/>
        <v>0</v>
      </c>
      <c r="P77" s="51">
        <f t="shared" si="38"/>
        <v>0</v>
      </c>
      <c r="Q77" s="51">
        <f t="shared" si="38"/>
        <v>0</v>
      </c>
      <c r="R77" s="51">
        <f t="shared" si="38"/>
        <v>0</v>
      </c>
      <c r="S77" s="51">
        <f t="shared" si="38"/>
        <v>0</v>
      </c>
      <c r="T77" s="51">
        <f t="shared" si="38"/>
        <v>0</v>
      </c>
      <c r="U77" s="51">
        <f t="shared" si="38"/>
        <v>0</v>
      </c>
      <c r="V77" s="51">
        <f t="shared" si="38"/>
        <v>0</v>
      </c>
      <c r="W77" s="51">
        <f t="shared" si="38"/>
        <v>0</v>
      </c>
    </row>
    <row r="78" spans="1:23" s="3" customFormat="1" x14ac:dyDescent="0.25">
      <c r="A78" s="161"/>
      <c r="B78" s="47" t="s">
        <v>60</v>
      </c>
      <c r="C78" s="65" t="s">
        <v>11</v>
      </c>
      <c r="D78" s="51">
        <f t="shared" si="39"/>
        <v>1.1000000000000001</v>
      </c>
      <c r="E78" s="51">
        <f t="shared" si="38"/>
        <v>1.2</v>
      </c>
      <c r="F78" s="51">
        <f t="shared" si="38"/>
        <v>1.3</v>
      </c>
      <c r="G78" s="51">
        <f t="shared" si="38"/>
        <v>1.4</v>
      </c>
      <c r="H78" s="51">
        <f t="shared" si="38"/>
        <v>1.5</v>
      </c>
      <c r="I78" s="51">
        <f t="shared" si="38"/>
        <v>1.6</v>
      </c>
      <c r="J78" s="51">
        <f t="shared" si="38"/>
        <v>1.7</v>
      </c>
      <c r="K78" s="51">
        <f t="shared" si="38"/>
        <v>1.7999999999999998</v>
      </c>
      <c r="L78" s="51">
        <f t="shared" si="38"/>
        <v>1.9</v>
      </c>
      <c r="M78" s="51">
        <f t="shared" si="38"/>
        <v>2</v>
      </c>
      <c r="N78" s="51">
        <f t="shared" si="38"/>
        <v>2</v>
      </c>
      <c r="O78" s="51">
        <f t="shared" si="38"/>
        <v>2</v>
      </c>
      <c r="P78" s="51">
        <f t="shared" si="38"/>
        <v>2</v>
      </c>
      <c r="Q78" s="51">
        <f t="shared" si="38"/>
        <v>2</v>
      </c>
      <c r="R78" s="51">
        <f t="shared" si="38"/>
        <v>2</v>
      </c>
      <c r="S78" s="51">
        <f t="shared" si="38"/>
        <v>2</v>
      </c>
      <c r="T78" s="51">
        <f t="shared" si="38"/>
        <v>2</v>
      </c>
      <c r="U78" s="51">
        <f t="shared" si="38"/>
        <v>2</v>
      </c>
      <c r="V78" s="51">
        <f t="shared" si="38"/>
        <v>2</v>
      </c>
      <c r="W78" s="51">
        <f t="shared" si="38"/>
        <v>2</v>
      </c>
    </row>
    <row r="79" spans="1:23" s="3" customFormat="1" x14ac:dyDescent="0.25">
      <c r="A79" s="161"/>
      <c r="B79" s="47" t="s">
        <v>101</v>
      </c>
      <c r="C79" s="65" t="s">
        <v>11</v>
      </c>
      <c r="D79" s="51">
        <f t="shared" si="39"/>
        <v>0</v>
      </c>
      <c r="E79" s="51">
        <f t="shared" si="38"/>
        <v>0</v>
      </c>
      <c r="F79" s="51">
        <f t="shared" si="38"/>
        <v>0</v>
      </c>
      <c r="G79" s="51">
        <f t="shared" si="38"/>
        <v>0</v>
      </c>
      <c r="H79" s="51">
        <f t="shared" si="38"/>
        <v>0</v>
      </c>
      <c r="I79" s="51">
        <f t="shared" si="38"/>
        <v>0</v>
      </c>
      <c r="J79" s="51">
        <f t="shared" si="38"/>
        <v>0</v>
      </c>
      <c r="K79" s="51">
        <f t="shared" si="38"/>
        <v>0</v>
      </c>
      <c r="L79" s="51">
        <f t="shared" si="38"/>
        <v>0</v>
      </c>
      <c r="M79" s="51">
        <f t="shared" si="38"/>
        <v>0</v>
      </c>
      <c r="N79" s="51">
        <f t="shared" si="38"/>
        <v>0</v>
      </c>
      <c r="O79" s="51">
        <f t="shared" si="38"/>
        <v>0</v>
      </c>
      <c r="P79" s="51">
        <f t="shared" si="38"/>
        <v>0</v>
      </c>
      <c r="Q79" s="51">
        <f t="shared" si="38"/>
        <v>0</v>
      </c>
      <c r="R79" s="51">
        <f t="shared" si="38"/>
        <v>0</v>
      </c>
      <c r="S79" s="51">
        <f t="shared" si="38"/>
        <v>0</v>
      </c>
      <c r="T79" s="51">
        <f t="shared" si="38"/>
        <v>0</v>
      </c>
      <c r="U79" s="51">
        <f t="shared" si="38"/>
        <v>0</v>
      </c>
      <c r="V79" s="51">
        <f t="shared" si="38"/>
        <v>0</v>
      </c>
      <c r="W79" s="51">
        <f t="shared" si="38"/>
        <v>0</v>
      </c>
    </row>
    <row r="80" spans="1:23" s="3" customFormat="1" x14ac:dyDescent="0.25">
      <c r="A80" s="161"/>
      <c r="B80" s="47" t="s">
        <v>58</v>
      </c>
      <c r="C80" s="65" t="s">
        <v>11</v>
      </c>
      <c r="D80" s="51">
        <f t="shared" si="39"/>
        <v>3.4</v>
      </c>
      <c r="E80" s="51">
        <f t="shared" si="38"/>
        <v>3.8</v>
      </c>
      <c r="F80" s="51">
        <f t="shared" si="38"/>
        <v>4.2</v>
      </c>
      <c r="G80" s="51">
        <f t="shared" si="38"/>
        <v>4.5999999999999996</v>
      </c>
      <c r="H80" s="51">
        <f t="shared" si="38"/>
        <v>5</v>
      </c>
      <c r="I80" s="51">
        <f t="shared" si="38"/>
        <v>5.4</v>
      </c>
      <c r="J80" s="51">
        <f t="shared" si="38"/>
        <v>5.8</v>
      </c>
      <c r="K80" s="51">
        <f t="shared" si="38"/>
        <v>6.1999999999999993</v>
      </c>
      <c r="L80" s="51">
        <f t="shared" si="38"/>
        <v>6.6</v>
      </c>
      <c r="M80" s="51">
        <f t="shared" si="38"/>
        <v>7</v>
      </c>
      <c r="N80" s="51">
        <f t="shared" si="38"/>
        <v>7</v>
      </c>
      <c r="O80" s="51">
        <f t="shared" si="38"/>
        <v>7</v>
      </c>
      <c r="P80" s="51">
        <f t="shared" si="38"/>
        <v>7</v>
      </c>
      <c r="Q80" s="51">
        <f t="shared" si="38"/>
        <v>7</v>
      </c>
      <c r="R80" s="51">
        <f t="shared" si="38"/>
        <v>7</v>
      </c>
      <c r="S80" s="51">
        <f t="shared" si="38"/>
        <v>7</v>
      </c>
      <c r="T80" s="51">
        <f t="shared" si="38"/>
        <v>7</v>
      </c>
      <c r="U80" s="51">
        <f t="shared" si="38"/>
        <v>7</v>
      </c>
      <c r="V80" s="51">
        <f t="shared" si="38"/>
        <v>7</v>
      </c>
      <c r="W80" s="51">
        <f t="shared" si="38"/>
        <v>7</v>
      </c>
    </row>
    <row r="81" spans="1:23" s="3" customFormat="1" x14ac:dyDescent="0.25">
      <c r="A81" s="161"/>
      <c r="B81" s="47" t="s">
        <v>61</v>
      </c>
      <c r="C81" s="65" t="s">
        <v>11</v>
      </c>
      <c r="D81" s="51">
        <f t="shared" si="39"/>
        <v>3.2</v>
      </c>
      <c r="E81" s="51">
        <f t="shared" si="38"/>
        <v>3.4</v>
      </c>
      <c r="F81" s="51">
        <f t="shared" si="38"/>
        <v>3.6</v>
      </c>
      <c r="G81" s="51">
        <f t="shared" si="38"/>
        <v>3.8</v>
      </c>
      <c r="H81" s="51">
        <f t="shared" si="38"/>
        <v>4</v>
      </c>
      <c r="I81" s="51">
        <f t="shared" si="38"/>
        <v>4.2</v>
      </c>
      <c r="J81" s="51">
        <f t="shared" si="38"/>
        <v>4.4000000000000004</v>
      </c>
      <c r="K81" s="51">
        <f t="shared" si="38"/>
        <v>4.5999999999999996</v>
      </c>
      <c r="L81" s="51">
        <f t="shared" si="38"/>
        <v>4.8</v>
      </c>
      <c r="M81" s="51">
        <f t="shared" si="38"/>
        <v>5</v>
      </c>
      <c r="N81" s="51">
        <f t="shared" si="38"/>
        <v>5</v>
      </c>
      <c r="O81" s="51">
        <f t="shared" si="38"/>
        <v>5</v>
      </c>
      <c r="P81" s="51">
        <f t="shared" si="38"/>
        <v>5</v>
      </c>
      <c r="Q81" s="51">
        <f t="shared" si="38"/>
        <v>5</v>
      </c>
      <c r="R81" s="51">
        <f t="shared" si="38"/>
        <v>5</v>
      </c>
      <c r="S81" s="51">
        <f t="shared" si="38"/>
        <v>5</v>
      </c>
      <c r="T81" s="51">
        <f t="shared" si="38"/>
        <v>5</v>
      </c>
      <c r="U81" s="51">
        <f t="shared" si="38"/>
        <v>5</v>
      </c>
      <c r="V81" s="51">
        <f t="shared" si="38"/>
        <v>5</v>
      </c>
      <c r="W81" s="51">
        <f t="shared" si="38"/>
        <v>5</v>
      </c>
    </row>
    <row r="82" spans="1:23" s="3" customFormat="1" x14ac:dyDescent="0.25">
      <c r="A82" s="162"/>
      <c r="B82" s="68" t="s">
        <v>104</v>
      </c>
      <c r="C82" s="59"/>
      <c r="D82" s="69">
        <f>SUM(D74:D81)</f>
        <v>41</v>
      </c>
      <c r="E82" s="69">
        <f t="shared" ref="E82:W82" si="40">SUM(E74:E81)</f>
        <v>44</v>
      </c>
      <c r="F82" s="69">
        <f t="shared" si="40"/>
        <v>47</v>
      </c>
      <c r="G82" s="69">
        <f t="shared" si="40"/>
        <v>50</v>
      </c>
      <c r="H82" s="69">
        <f t="shared" si="40"/>
        <v>53</v>
      </c>
      <c r="I82" s="69">
        <f t="shared" si="40"/>
        <v>56</v>
      </c>
      <c r="J82" s="69">
        <f t="shared" si="40"/>
        <v>59</v>
      </c>
      <c r="K82" s="69">
        <f t="shared" si="40"/>
        <v>62.000000000000007</v>
      </c>
      <c r="L82" s="69">
        <f t="shared" si="40"/>
        <v>65</v>
      </c>
      <c r="M82" s="69">
        <f t="shared" si="40"/>
        <v>68</v>
      </c>
      <c r="N82" s="69">
        <f t="shared" si="40"/>
        <v>68</v>
      </c>
      <c r="O82" s="69">
        <f t="shared" si="40"/>
        <v>68</v>
      </c>
      <c r="P82" s="69">
        <f t="shared" si="40"/>
        <v>68</v>
      </c>
      <c r="Q82" s="69">
        <f t="shared" si="40"/>
        <v>68</v>
      </c>
      <c r="R82" s="69">
        <f t="shared" si="40"/>
        <v>68</v>
      </c>
      <c r="S82" s="69">
        <f t="shared" si="40"/>
        <v>68</v>
      </c>
      <c r="T82" s="69">
        <f t="shared" si="40"/>
        <v>68</v>
      </c>
      <c r="U82" s="69">
        <f t="shared" si="40"/>
        <v>68</v>
      </c>
      <c r="V82" s="69">
        <f t="shared" si="40"/>
        <v>68</v>
      </c>
      <c r="W82" s="69">
        <f t="shared" si="40"/>
        <v>68</v>
      </c>
    </row>
    <row r="83" spans="1:23" s="3" customFormat="1" x14ac:dyDescent="0.25">
      <c r="A83" s="66"/>
      <c r="B83" s="66"/>
      <c r="C83" s="66"/>
      <c r="D83" s="67"/>
      <c r="E83" s="67"/>
      <c r="F83" s="67"/>
      <c r="G83" s="67"/>
      <c r="H83" s="67"/>
      <c r="I83" s="67"/>
      <c r="J83" s="67"/>
      <c r="K83" s="67"/>
      <c r="L83" s="67"/>
      <c r="M83" s="67"/>
      <c r="N83" s="67"/>
      <c r="O83" s="67"/>
      <c r="P83" s="67"/>
      <c r="Q83" s="67"/>
      <c r="R83" s="67"/>
      <c r="S83" s="67"/>
      <c r="T83" s="67"/>
      <c r="U83" s="67"/>
      <c r="V83" s="67"/>
      <c r="W83" s="67"/>
    </row>
    <row r="84" spans="1:23" s="3" customFormat="1" x14ac:dyDescent="0.25">
      <c r="A84" s="166" t="s">
        <v>144</v>
      </c>
      <c r="B84" s="166"/>
      <c r="C84" s="66"/>
      <c r="D84" s="67"/>
      <c r="E84" s="67"/>
      <c r="F84" s="67"/>
      <c r="G84" s="67"/>
      <c r="H84" s="67"/>
      <c r="I84" s="67"/>
      <c r="J84" s="67"/>
      <c r="K84" s="67"/>
      <c r="L84" s="67"/>
      <c r="M84" s="67"/>
      <c r="N84" s="67"/>
      <c r="O84" s="67"/>
      <c r="P84" s="67"/>
      <c r="Q84" s="67"/>
      <c r="R84" s="67"/>
      <c r="S84" s="67"/>
      <c r="T84" s="67"/>
      <c r="U84" s="67"/>
      <c r="V84" s="67"/>
      <c r="W84" s="67"/>
    </row>
    <row r="85" spans="1:23" s="3" customFormat="1" x14ac:dyDescent="0.25">
      <c r="A85" s="44" t="s">
        <v>32</v>
      </c>
      <c r="B85" s="44" t="s">
        <v>102</v>
      </c>
      <c r="C85" s="45" t="s">
        <v>88</v>
      </c>
      <c r="D85" s="44">
        <v>2021</v>
      </c>
      <c r="E85" s="45">
        <v>2022</v>
      </c>
      <c r="F85" s="44">
        <v>2023</v>
      </c>
      <c r="G85" s="45">
        <v>2024</v>
      </c>
      <c r="H85" s="44">
        <v>2025</v>
      </c>
      <c r="I85" s="45">
        <v>2026</v>
      </c>
      <c r="J85" s="44">
        <v>2027</v>
      </c>
      <c r="K85" s="45">
        <v>2028</v>
      </c>
      <c r="L85" s="44">
        <v>2029</v>
      </c>
      <c r="M85" s="45">
        <v>2030</v>
      </c>
      <c r="N85" s="44">
        <v>2031</v>
      </c>
      <c r="O85" s="45">
        <v>2032</v>
      </c>
      <c r="P85" s="44">
        <v>2033</v>
      </c>
      <c r="Q85" s="45">
        <v>2034</v>
      </c>
      <c r="R85" s="44">
        <v>2035</v>
      </c>
      <c r="S85" s="45">
        <v>2036</v>
      </c>
      <c r="T85" s="44">
        <v>2037</v>
      </c>
      <c r="U85" s="45">
        <v>2038</v>
      </c>
      <c r="V85" s="44">
        <v>2039</v>
      </c>
      <c r="W85" s="45">
        <v>2040</v>
      </c>
    </row>
    <row r="86" spans="1:23" s="3" customFormat="1" x14ac:dyDescent="0.25">
      <c r="A86" s="163" t="s">
        <v>107</v>
      </c>
      <c r="B86" s="47" t="s">
        <v>59</v>
      </c>
      <c r="C86" s="65" t="s">
        <v>11</v>
      </c>
      <c r="D86" s="51">
        <f>SUM(D2,D14,D50)</f>
        <v>6.6</v>
      </c>
      <c r="E86" s="51">
        <f t="shared" ref="E86:W93" si="41">SUM(E2,E14,E50)</f>
        <v>7.2</v>
      </c>
      <c r="F86" s="51">
        <f t="shared" si="41"/>
        <v>7.8</v>
      </c>
      <c r="G86" s="51">
        <f t="shared" si="41"/>
        <v>8.4</v>
      </c>
      <c r="H86" s="51">
        <f t="shared" si="41"/>
        <v>9</v>
      </c>
      <c r="I86" s="51">
        <f t="shared" si="41"/>
        <v>9.6</v>
      </c>
      <c r="J86" s="51">
        <f t="shared" si="41"/>
        <v>10.199999999999999</v>
      </c>
      <c r="K86" s="51">
        <f t="shared" si="41"/>
        <v>10.8</v>
      </c>
      <c r="L86" s="51">
        <f t="shared" si="41"/>
        <v>11.399999999999999</v>
      </c>
      <c r="M86" s="51">
        <f t="shared" si="41"/>
        <v>12</v>
      </c>
      <c r="N86" s="51">
        <f t="shared" si="41"/>
        <v>12</v>
      </c>
      <c r="O86" s="51">
        <f t="shared" si="41"/>
        <v>12</v>
      </c>
      <c r="P86" s="51">
        <f t="shared" si="41"/>
        <v>12</v>
      </c>
      <c r="Q86" s="51">
        <f t="shared" si="41"/>
        <v>12</v>
      </c>
      <c r="R86" s="51">
        <f t="shared" si="41"/>
        <v>12</v>
      </c>
      <c r="S86" s="51">
        <f t="shared" si="41"/>
        <v>12</v>
      </c>
      <c r="T86" s="51">
        <f t="shared" si="41"/>
        <v>12</v>
      </c>
      <c r="U86" s="51">
        <f t="shared" si="41"/>
        <v>12</v>
      </c>
      <c r="V86" s="51">
        <f t="shared" si="41"/>
        <v>12</v>
      </c>
      <c r="W86" s="51">
        <f t="shared" si="41"/>
        <v>12</v>
      </c>
    </row>
    <row r="87" spans="1:23" s="3" customFormat="1" x14ac:dyDescent="0.25">
      <c r="A87" s="163"/>
      <c r="B87" s="47" t="s">
        <v>57</v>
      </c>
      <c r="C87" s="65" t="s">
        <v>11</v>
      </c>
      <c r="D87" s="51">
        <f t="shared" ref="D87:S93" si="42">SUM(D3,D15,D51)</f>
        <v>19.2</v>
      </c>
      <c r="E87" s="51">
        <f t="shared" si="42"/>
        <v>21.4</v>
      </c>
      <c r="F87" s="51">
        <f t="shared" si="42"/>
        <v>23.6</v>
      </c>
      <c r="G87" s="51">
        <f t="shared" si="42"/>
        <v>25.8</v>
      </c>
      <c r="H87" s="51">
        <f t="shared" si="42"/>
        <v>28</v>
      </c>
      <c r="I87" s="51">
        <f t="shared" si="42"/>
        <v>30.2</v>
      </c>
      <c r="J87" s="51">
        <f t="shared" si="42"/>
        <v>32.4</v>
      </c>
      <c r="K87" s="51">
        <f t="shared" si="42"/>
        <v>34.599999999999994</v>
      </c>
      <c r="L87" s="51">
        <f t="shared" si="42"/>
        <v>36.799999999999997</v>
      </c>
      <c r="M87" s="51">
        <f t="shared" si="42"/>
        <v>39</v>
      </c>
      <c r="N87" s="51">
        <f t="shared" si="42"/>
        <v>39</v>
      </c>
      <c r="O87" s="51">
        <f t="shared" si="42"/>
        <v>39</v>
      </c>
      <c r="P87" s="51">
        <f t="shared" si="42"/>
        <v>39</v>
      </c>
      <c r="Q87" s="51">
        <f t="shared" si="42"/>
        <v>39</v>
      </c>
      <c r="R87" s="51">
        <f t="shared" si="42"/>
        <v>39</v>
      </c>
      <c r="S87" s="51">
        <f t="shared" si="42"/>
        <v>39</v>
      </c>
      <c r="T87" s="51">
        <f t="shared" si="41"/>
        <v>39</v>
      </c>
      <c r="U87" s="51">
        <f t="shared" si="41"/>
        <v>39</v>
      </c>
      <c r="V87" s="51">
        <f t="shared" si="41"/>
        <v>39</v>
      </c>
      <c r="W87" s="51">
        <f t="shared" si="41"/>
        <v>39</v>
      </c>
    </row>
    <row r="88" spans="1:23" s="3" customFormat="1" x14ac:dyDescent="0.25">
      <c r="A88" s="163"/>
      <c r="B88" s="47" t="s">
        <v>56</v>
      </c>
      <c r="C88" s="65" t="s">
        <v>11</v>
      </c>
      <c r="D88" s="51">
        <f t="shared" si="42"/>
        <v>8.9</v>
      </c>
      <c r="E88" s="51">
        <f t="shared" si="41"/>
        <v>9.8000000000000007</v>
      </c>
      <c r="F88" s="51">
        <f t="shared" si="41"/>
        <v>10.7</v>
      </c>
      <c r="G88" s="51">
        <f t="shared" si="41"/>
        <v>11.6</v>
      </c>
      <c r="H88" s="51">
        <f t="shared" si="41"/>
        <v>12.5</v>
      </c>
      <c r="I88" s="51">
        <f t="shared" si="41"/>
        <v>13.4</v>
      </c>
      <c r="J88" s="51">
        <f t="shared" si="41"/>
        <v>14.3</v>
      </c>
      <c r="K88" s="51">
        <f t="shared" si="41"/>
        <v>15.200000000000001</v>
      </c>
      <c r="L88" s="51">
        <f t="shared" si="41"/>
        <v>16.100000000000001</v>
      </c>
      <c r="M88" s="51">
        <f t="shared" si="41"/>
        <v>17</v>
      </c>
      <c r="N88" s="51">
        <f t="shared" si="41"/>
        <v>17</v>
      </c>
      <c r="O88" s="51">
        <f t="shared" si="41"/>
        <v>17</v>
      </c>
      <c r="P88" s="51">
        <f t="shared" si="41"/>
        <v>17</v>
      </c>
      <c r="Q88" s="51">
        <f t="shared" si="41"/>
        <v>17</v>
      </c>
      <c r="R88" s="51">
        <f t="shared" si="41"/>
        <v>17</v>
      </c>
      <c r="S88" s="51">
        <f t="shared" si="41"/>
        <v>17</v>
      </c>
      <c r="T88" s="51">
        <f t="shared" si="41"/>
        <v>17</v>
      </c>
      <c r="U88" s="51">
        <f t="shared" si="41"/>
        <v>17</v>
      </c>
      <c r="V88" s="51">
        <f t="shared" si="41"/>
        <v>17</v>
      </c>
      <c r="W88" s="51">
        <f t="shared" si="41"/>
        <v>17</v>
      </c>
    </row>
    <row r="89" spans="1:23" s="3" customFormat="1" x14ac:dyDescent="0.25">
      <c r="A89" s="163"/>
      <c r="B89" s="47" t="s">
        <v>100</v>
      </c>
      <c r="C89" s="65" t="s">
        <v>11</v>
      </c>
      <c r="D89" s="51">
        <f t="shared" si="42"/>
        <v>0</v>
      </c>
      <c r="E89" s="51">
        <f t="shared" si="41"/>
        <v>0</v>
      </c>
      <c r="F89" s="51">
        <f t="shared" si="41"/>
        <v>0</v>
      </c>
      <c r="G89" s="51">
        <f t="shared" si="41"/>
        <v>0</v>
      </c>
      <c r="H89" s="51">
        <f t="shared" si="41"/>
        <v>0</v>
      </c>
      <c r="I89" s="51">
        <f t="shared" si="41"/>
        <v>0</v>
      </c>
      <c r="J89" s="51">
        <f t="shared" si="41"/>
        <v>0</v>
      </c>
      <c r="K89" s="51">
        <f t="shared" si="41"/>
        <v>0</v>
      </c>
      <c r="L89" s="51">
        <f t="shared" si="41"/>
        <v>0</v>
      </c>
      <c r="M89" s="51">
        <f t="shared" si="41"/>
        <v>0</v>
      </c>
      <c r="N89" s="51">
        <f t="shared" si="41"/>
        <v>0</v>
      </c>
      <c r="O89" s="51">
        <f t="shared" si="41"/>
        <v>0</v>
      </c>
      <c r="P89" s="51">
        <f t="shared" si="41"/>
        <v>0</v>
      </c>
      <c r="Q89" s="51">
        <f t="shared" si="41"/>
        <v>0</v>
      </c>
      <c r="R89" s="51">
        <f t="shared" si="41"/>
        <v>0</v>
      </c>
      <c r="S89" s="51">
        <f t="shared" si="41"/>
        <v>0</v>
      </c>
      <c r="T89" s="51">
        <f t="shared" si="41"/>
        <v>0</v>
      </c>
      <c r="U89" s="51">
        <f t="shared" si="41"/>
        <v>0</v>
      </c>
      <c r="V89" s="51">
        <f t="shared" si="41"/>
        <v>0</v>
      </c>
      <c r="W89" s="51">
        <f t="shared" si="41"/>
        <v>0</v>
      </c>
    </row>
    <row r="90" spans="1:23" s="3" customFormat="1" x14ac:dyDescent="0.25">
      <c r="A90" s="163"/>
      <c r="B90" s="47" t="s">
        <v>60</v>
      </c>
      <c r="C90" s="65" t="s">
        <v>11</v>
      </c>
      <c r="D90" s="51">
        <f t="shared" si="42"/>
        <v>1.2</v>
      </c>
      <c r="E90" s="51">
        <f t="shared" si="41"/>
        <v>1.4</v>
      </c>
      <c r="F90" s="51">
        <f t="shared" si="41"/>
        <v>1.6</v>
      </c>
      <c r="G90" s="51">
        <f t="shared" si="41"/>
        <v>1.8</v>
      </c>
      <c r="H90" s="51">
        <f t="shared" si="41"/>
        <v>2</v>
      </c>
      <c r="I90" s="51">
        <f t="shared" si="41"/>
        <v>2.2000000000000002</v>
      </c>
      <c r="J90" s="51">
        <f t="shared" si="41"/>
        <v>2.4</v>
      </c>
      <c r="K90" s="51">
        <f t="shared" si="41"/>
        <v>2.5999999999999996</v>
      </c>
      <c r="L90" s="51">
        <f t="shared" si="41"/>
        <v>2.8</v>
      </c>
      <c r="M90" s="51">
        <f t="shared" si="41"/>
        <v>3</v>
      </c>
      <c r="N90" s="51">
        <f t="shared" si="41"/>
        <v>3</v>
      </c>
      <c r="O90" s="51">
        <f t="shared" si="41"/>
        <v>3</v>
      </c>
      <c r="P90" s="51">
        <f t="shared" si="41"/>
        <v>3</v>
      </c>
      <c r="Q90" s="51">
        <f t="shared" si="41"/>
        <v>3</v>
      </c>
      <c r="R90" s="51">
        <f t="shared" si="41"/>
        <v>3</v>
      </c>
      <c r="S90" s="51">
        <f t="shared" si="41"/>
        <v>3</v>
      </c>
      <c r="T90" s="51">
        <f t="shared" si="41"/>
        <v>3</v>
      </c>
      <c r="U90" s="51">
        <f t="shared" si="41"/>
        <v>3</v>
      </c>
      <c r="V90" s="51">
        <f t="shared" si="41"/>
        <v>3</v>
      </c>
      <c r="W90" s="51">
        <f t="shared" si="41"/>
        <v>3</v>
      </c>
    </row>
    <row r="91" spans="1:23" s="3" customFormat="1" x14ac:dyDescent="0.25">
      <c r="A91" s="163"/>
      <c r="B91" s="47" t="s">
        <v>101</v>
      </c>
      <c r="C91" s="65" t="s">
        <v>11</v>
      </c>
      <c r="D91" s="51">
        <f t="shared" si="42"/>
        <v>0</v>
      </c>
      <c r="E91" s="51">
        <f t="shared" si="41"/>
        <v>0</v>
      </c>
      <c r="F91" s="51">
        <f t="shared" si="41"/>
        <v>0</v>
      </c>
      <c r="G91" s="51">
        <f t="shared" si="41"/>
        <v>0</v>
      </c>
      <c r="H91" s="51">
        <f t="shared" si="41"/>
        <v>0</v>
      </c>
      <c r="I91" s="51">
        <f t="shared" si="41"/>
        <v>0</v>
      </c>
      <c r="J91" s="51">
        <f t="shared" si="41"/>
        <v>0</v>
      </c>
      <c r="K91" s="51">
        <f t="shared" si="41"/>
        <v>0</v>
      </c>
      <c r="L91" s="51">
        <f t="shared" si="41"/>
        <v>0</v>
      </c>
      <c r="M91" s="51">
        <f t="shared" si="41"/>
        <v>0</v>
      </c>
      <c r="N91" s="51">
        <f t="shared" si="41"/>
        <v>0</v>
      </c>
      <c r="O91" s="51">
        <f t="shared" si="41"/>
        <v>0</v>
      </c>
      <c r="P91" s="51">
        <f t="shared" si="41"/>
        <v>0</v>
      </c>
      <c r="Q91" s="51">
        <f t="shared" si="41"/>
        <v>0</v>
      </c>
      <c r="R91" s="51">
        <f t="shared" si="41"/>
        <v>0</v>
      </c>
      <c r="S91" s="51">
        <f t="shared" si="41"/>
        <v>0</v>
      </c>
      <c r="T91" s="51">
        <f t="shared" si="41"/>
        <v>0</v>
      </c>
      <c r="U91" s="51">
        <f t="shared" si="41"/>
        <v>0</v>
      </c>
      <c r="V91" s="51">
        <f t="shared" si="41"/>
        <v>0</v>
      </c>
      <c r="W91" s="51">
        <f t="shared" si="41"/>
        <v>0</v>
      </c>
    </row>
    <row r="92" spans="1:23" s="3" customFormat="1" x14ac:dyDescent="0.25">
      <c r="A92" s="163"/>
      <c r="B92" s="47" t="s">
        <v>58</v>
      </c>
      <c r="C92" s="65" t="s">
        <v>11</v>
      </c>
      <c r="D92" s="51">
        <f t="shared" si="42"/>
        <v>3.5</v>
      </c>
      <c r="E92" s="51">
        <f t="shared" si="41"/>
        <v>4</v>
      </c>
      <c r="F92" s="51">
        <f t="shared" si="41"/>
        <v>4.5</v>
      </c>
      <c r="G92" s="51">
        <f t="shared" si="41"/>
        <v>5</v>
      </c>
      <c r="H92" s="51">
        <f t="shared" si="41"/>
        <v>5.5</v>
      </c>
      <c r="I92" s="51">
        <f t="shared" si="41"/>
        <v>6</v>
      </c>
      <c r="J92" s="51">
        <f t="shared" si="41"/>
        <v>6.5</v>
      </c>
      <c r="K92" s="51">
        <f t="shared" si="41"/>
        <v>7</v>
      </c>
      <c r="L92" s="51">
        <f t="shared" si="41"/>
        <v>7.5</v>
      </c>
      <c r="M92" s="51">
        <f t="shared" si="41"/>
        <v>8</v>
      </c>
      <c r="N92" s="51">
        <f t="shared" si="41"/>
        <v>8</v>
      </c>
      <c r="O92" s="51">
        <f t="shared" si="41"/>
        <v>8</v>
      </c>
      <c r="P92" s="51">
        <f t="shared" si="41"/>
        <v>8</v>
      </c>
      <c r="Q92" s="51">
        <f t="shared" si="41"/>
        <v>8</v>
      </c>
      <c r="R92" s="51">
        <f t="shared" si="41"/>
        <v>8</v>
      </c>
      <c r="S92" s="51">
        <f t="shared" si="41"/>
        <v>8</v>
      </c>
      <c r="T92" s="51">
        <f t="shared" si="41"/>
        <v>8</v>
      </c>
      <c r="U92" s="51">
        <f t="shared" si="41"/>
        <v>8</v>
      </c>
      <c r="V92" s="51">
        <f t="shared" si="41"/>
        <v>8</v>
      </c>
      <c r="W92" s="51">
        <f t="shared" si="41"/>
        <v>8</v>
      </c>
    </row>
    <row r="93" spans="1:23" s="3" customFormat="1" x14ac:dyDescent="0.25">
      <c r="A93" s="163"/>
      <c r="B93" s="47" t="s">
        <v>61</v>
      </c>
      <c r="C93" s="65" t="s">
        <v>11</v>
      </c>
      <c r="D93" s="51">
        <f t="shared" si="42"/>
        <v>3.3</v>
      </c>
      <c r="E93" s="51">
        <f t="shared" si="41"/>
        <v>3.6</v>
      </c>
      <c r="F93" s="51">
        <f t="shared" si="41"/>
        <v>3.9</v>
      </c>
      <c r="G93" s="51">
        <f t="shared" si="41"/>
        <v>4.2</v>
      </c>
      <c r="H93" s="51">
        <f t="shared" si="41"/>
        <v>4.5</v>
      </c>
      <c r="I93" s="51">
        <f t="shared" si="41"/>
        <v>4.8</v>
      </c>
      <c r="J93" s="51">
        <f t="shared" si="41"/>
        <v>5.0999999999999996</v>
      </c>
      <c r="K93" s="51">
        <f t="shared" si="41"/>
        <v>5.4</v>
      </c>
      <c r="L93" s="51">
        <f t="shared" si="41"/>
        <v>5.6999999999999993</v>
      </c>
      <c r="M93" s="51">
        <f t="shared" si="41"/>
        <v>6</v>
      </c>
      <c r="N93" s="51">
        <f t="shared" si="41"/>
        <v>6</v>
      </c>
      <c r="O93" s="51">
        <f t="shared" si="41"/>
        <v>6</v>
      </c>
      <c r="P93" s="51">
        <f t="shared" si="41"/>
        <v>6</v>
      </c>
      <c r="Q93" s="51">
        <f t="shared" si="41"/>
        <v>6</v>
      </c>
      <c r="R93" s="51">
        <f t="shared" si="41"/>
        <v>6</v>
      </c>
      <c r="S93" s="51">
        <f t="shared" si="41"/>
        <v>6</v>
      </c>
      <c r="T93" s="51">
        <f t="shared" si="41"/>
        <v>6</v>
      </c>
      <c r="U93" s="51">
        <f t="shared" si="41"/>
        <v>6</v>
      </c>
      <c r="V93" s="51">
        <f t="shared" si="41"/>
        <v>6</v>
      </c>
      <c r="W93" s="51">
        <f t="shared" si="41"/>
        <v>6</v>
      </c>
    </row>
    <row r="94" spans="1:23" s="3" customFormat="1" x14ac:dyDescent="0.25">
      <c r="A94" s="163"/>
      <c r="B94" s="68" t="s">
        <v>104</v>
      </c>
      <c r="C94" s="59"/>
      <c r="D94" s="69">
        <f>SUM(D86:D93)</f>
        <v>42.699999999999996</v>
      </c>
      <c r="E94" s="69">
        <f t="shared" ref="E94:W94" si="43">SUM(E86:E93)</f>
        <v>47.4</v>
      </c>
      <c r="F94" s="69">
        <f t="shared" si="43"/>
        <v>52.1</v>
      </c>
      <c r="G94" s="69">
        <f t="shared" si="43"/>
        <v>56.800000000000004</v>
      </c>
      <c r="H94" s="69">
        <f t="shared" si="43"/>
        <v>61.5</v>
      </c>
      <c r="I94" s="69">
        <f t="shared" si="43"/>
        <v>66.2</v>
      </c>
      <c r="J94" s="69">
        <f t="shared" si="43"/>
        <v>70.899999999999977</v>
      </c>
      <c r="K94" s="69">
        <f t="shared" si="43"/>
        <v>75.599999999999994</v>
      </c>
      <c r="L94" s="69">
        <f t="shared" si="43"/>
        <v>80.3</v>
      </c>
      <c r="M94" s="69">
        <f t="shared" si="43"/>
        <v>85</v>
      </c>
      <c r="N94" s="69">
        <f t="shared" si="43"/>
        <v>85</v>
      </c>
      <c r="O94" s="69">
        <f t="shared" si="43"/>
        <v>85</v>
      </c>
      <c r="P94" s="69">
        <f t="shared" si="43"/>
        <v>85</v>
      </c>
      <c r="Q94" s="69">
        <f t="shared" si="43"/>
        <v>85</v>
      </c>
      <c r="R94" s="69">
        <f t="shared" si="43"/>
        <v>85</v>
      </c>
      <c r="S94" s="69">
        <f t="shared" si="43"/>
        <v>85</v>
      </c>
      <c r="T94" s="69">
        <f t="shared" si="43"/>
        <v>85</v>
      </c>
      <c r="U94" s="69">
        <f t="shared" si="43"/>
        <v>85</v>
      </c>
      <c r="V94" s="69">
        <f t="shared" si="43"/>
        <v>85</v>
      </c>
      <c r="W94" s="69">
        <f t="shared" si="43"/>
        <v>85</v>
      </c>
    </row>
    <row r="96" spans="1:23" ht="14.4" x14ac:dyDescent="0.3">
      <c r="A96" s="119" t="s">
        <v>154</v>
      </c>
    </row>
  </sheetData>
  <mergeCells count="14">
    <mergeCell ref="A74:A82"/>
    <mergeCell ref="A86:A94"/>
    <mergeCell ref="A2:A10"/>
    <mergeCell ref="A14:A22"/>
    <mergeCell ref="A26:A34"/>
    <mergeCell ref="A62:A70"/>
    <mergeCell ref="A38:A46"/>
    <mergeCell ref="A50:A58"/>
    <mergeCell ref="A24:B24"/>
    <mergeCell ref="A36:B36"/>
    <mergeCell ref="A48:B48"/>
    <mergeCell ref="A60:B60"/>
    <mergeCell ref="A72:B72"/>
    <mergeCell ref="A84:B84"/>
  </mergeCells>
  <conditionalFormatting sqref="D2:W9">
    <cfRule type="dataBar" priority="1">
      <dataBar>
        <cfvo type="min"/>
        <cfvo type="max"/>
        <color rgb="FF638EC6"/>
      </dataBar>
      <extLst>
        <ext xmlns:x14="http://schemas.microsoft.com/office/spreadsheetml/2009/9/main" uri="{B025F937-C7B1-47D3-B67F-A62EFF666E3E}">
          <x14:id>{231B5313-97E3-4C93-94AB-6D5B432A2F23}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31B5313-97E3-4C93-94AB-6D5B432A2F23}">
            <x14:dataBar minLength="0" maxLength="100" border="1" negativeBarBorderColorSameAsPositive="0">
              <x14:cfvo type="autoMin"/>
              <x14:cfvo type="autoMax"/>
              <x14:borderColor rgb="FF638EC6"/>
              <x14:negativeFillColor rgb="FFFF0000"/>
              <x14:negativeBorderColor rgb="FFFF0000"/>
              <x14:axisColor rgb="FF000000"/>
            </x14:dataBar>
          </x14:cfRule>
          <xm:sqref>D2:W9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DA15-4524-41AA-8ED9-217CAF60EA8F}">
  <sheetPr codeName="Sheet21">
    <tabColor rgb="FF92D050"/>
  </sheetPr>
  <dimension ref="A1:W233"/>
  <sheetViews>
    <sheetView zoomScaleNormal="100" workbookViewId="0">
      <selection activeCell="I27" sqref="I27"/>
    </sheetView>
  </sheetViews>
  <sheetFormatPr defaultRowHeight="13.8" x14ac:dyDescent="0.25"/>
  <cols>
    <col min="1" max="1" width="18.6640625" style="3" customWidth="1"/>
    <col min="2" max="2" width="51.88671875" style="3" bestFit="1" customWidth="1"/>
    <col min="3" max="3" width="8.88671875" style="3"/>
    <col min="4" max="12" width="9.44140625" style="104" customWidth="1"/>
    <col min="13" max="13" width="9.44140625" style="112" customWidth="1"/>
    <col min="14" max="23" width="9.44140625" style="104" customWidth="1"/>
    <col min="24" max="16384" width="8.88671875" style="3"/>
  </cols>
  <sheetData>
    <row r="1" spans="1:23" s="12" customFormat="1" x14ac:dyDescent="0.25">
      <c r="A1" s="44" t="s">
        <v>32</v>
      </c>
      <c r="B1" s="44" t="s">
        <v>148</v>
      </c>
      <c r="C1" s="45" t="s">
        <v>88</v>
      </c>
      <c r="D1" s="44">
        <v>2021</v>
      </c>
      <c r="E1" s="45">
        <v>2022</v>
      </c>
      <c r="F1" s="44">
        <v>2023</v>
      </c>
      <c r="G1" s="45">
        <v>2024</v>
      </c>
      <c r="H1" s="44">
        <v>2025</v>
      </c>
      <c r="I1" s="45">
        <v>2026</v>
      </c>
      <c r="J1" s="44">
        <v>2027</v>
      </c>
      <c r="K1" s="45">
        <v>2028</v>
      </c>
      <c r="L1" s="44">
        <v>2029</v>
      </c>
      <c r="M1" s="85">
        <v>2030</v>
      </c>
      <c r="N1" s="86">
        <v>2031</v>
      </c>
      <c r="O1" s="45">
        <v>2032</v>
      </c>
      <c r="P1" s="44">
        <v>2033</v>
      </c>
      <c r="Q1" s="45">
        <v>2034</v>
      </c>
      <c r="R1" s="44">
        <v>2035</v>
      </c>
      <c r="S1" s="45">
        <v>2036</v>
      </c>
      <c r="T1" s="44">
        <v>2037</v>
      </c>
      <c r="U1" s="45">
        <v>2038</v>
      </c>
      <c r="V1" s="44">
        <v>2039</v>
      </c>
      <c r="W1" s="45">
        <v>2040</v>
      </c>
    </row>
    <row r="2" spans="1:23" x14ac:dyDescent="0.25">
      <c r="A2" s="46" t="s">
        <v>63</v>
      </c>
      <c r="B2" s="47" t="s">
        <v>57</v>
      </c>
      <c r="C2" s="59"/>
      <c r="D2" s="55">
        <v>1</v>
      </c>
      <c r="E2" s="55">
        <v>1</v>
      </c>
      <c r="F2" s="55">
        <v>0</v>
      </c>
      <c r="G2" s="55">
        <v>0</v>
      </c>
      <c r="H2" s="55">
        <v>0</v>
      </c>
      <c r="I2" s="55">
        <v>0</v>
      </c>
      <c r="J2" s="55">
        <v>0</v>
      </c>
      <c r="K2" s="55">
        <v>0</v>
      </c>
      <c r="L2" s="55">
        <v>0</v>
      </c>
      <c r="M2" s="87">
        <v>0</v>
      </c>
      <c r="N2" s="88">
        <v>0</v>
      </c>
      <c r="O2" s="55">
        <v>0</v>
      </c>
      <c r="P2" s="55">
        <v>0</v>
      </c>
      <c r="Q2" s="55">
        <v>0</v>
      </c>
      <c r="R2" s="55">
        <v>0</v>
      </c>
      <c r="S2" s="55">
        <v>0</v>
      </c>
      <c r="T2" s="55">
        <v>0</v>
      </c>
      <c r="U2" s="55">
        <v>0</v>
      </c>
      <c r="V2" s="55">
        <v>0</v>
      </c>
      <c r="W2" s="55">
        <v>0</v>
      </c>
    </row>
    <row r="3" spans="1:23" x14ac:dyDescent="0.25">
      <c r="A3" s="46" t="s">
        <v>33</v>
      </c>
      <c r="B3" s="47" t="s">
        <v>57</v>
      </c>
      <c r="C3" s="59" t="s">
        <v>89</v>
      </c>
      <c r="D3" s="55">
        <v>1</v>
      </c>
      <c r="E3" s="55">
        <v>1</v>
      </c>
      <c r="F3" s="55">
        <v>1</v>
      </c>
      <c r="G3" s="55">
        <v>1</v>
      </c>
      <c r="H3" s="55">
        <v>0</v>
      </c>
      <c r="I3" s="55">
        <v>0</v>
      </c>
      <c r="J3" s="55">
        <v>0</v>
      </c>
      <c r="K3" s="55">
        <v>0</v>
      </c>
      <c r="L3" s="55">
        <v>0</v>
      </c>
      <c r="M3" s="87">
        <v>0</v>
      </c>
      <c r="N3" s="88">
        <v>0</v>
      </c>
      <c r="O3" s="55">
        <v>0</v>
      </c>
      <c r="P3" s="55">
        <v>0</v>
      </c>
      <c r="Q3" s="55">
        <v>0</v>
      </c>
      <c r="R3" s="55">
        <v>0</v>
      </c>
      <c r="S3" s="55">
        <v>0</v>
      </c>
      <c r="T3" s="55">
        <v>0</v>
      </c>
      <c r="U3" s="55">
        <v>0</v>
      </c>
      <c r="V3" s="55">
        <v>0</v>
      </c>
      <c r="W3" s="55">
        <v>0</v>
      </c>
    </row>
    <row r="4" spans="1:23" x14ac:dyDescent="0.25">
      <c r="A4" s="46" t="s">
        <v>65</v>
      </c>
      <c r="B4" s="47" t="s">
        <v>57</v>
      </c>
      <c r="C4" s="59" t="s">
        <v>89</v>
      </c>
      <c r="D4" s="55">
        <v>1</v>
      </c>
      <c r="E4" s="55">
        <v>1</v>
      </c>
      <c r="F4" s="55">
        <v>1</v>
      </c>
      <c r="G4" s="55">
        <v>1</v>
      </c>
      <c r="H4" s="55">
        <v>1</v>
      </c>
      <c r="I4" s="55">
        <v>1</v>
      </c>
      <c r="J4" s="55">
        <v>0</v>
      </c>
      <c r="K4" s="55">
        <v>0</v>
      </c>
      <c r="L4" s="55">
        <v>0</v>
      </c>
      <c r="M4" s="87">
        <v>0</v>
      </c>
      <c r="N4" s="88">
        <v>0</v>
      </c>
      <c r="O4" s="55">
        <v>0</v>
      </c>
      <c r="P4" s="55">
        <v>0</v>
      </c>
      <c r="Q4" s="55">
        <v>0</v>
      </c>
      <c r="R4" s="55">
        <v>0</v>
      </c>
      <c r="S4" s="55">
        <v>0</v>
      </c>
      <c r="T4" s="55">
        <v>0</v>
      </c>
      <c r="U4" s="55">
        <v>0</v>
      </c>
      <c r="V4" s="55">
        <v>0</v>
      </c>
      <c r="W4" s="55">
        <v>0</v>
      </c>
    </row>
    <row r="5" spans="1:23" x14ac:dyDescent="0.25">
      <c r="A5" s="46" t="s">
        <v>66</v>
      </c>
      <c r="B5" s="53" t="s">
        <v>59</v>
      </c>
      <c r="C5" s="59"/>
      <c r="D5" s="74">
        <v>1</v>
      </c>
      <c r="E5" s="74">
        <v>1</v>
      </c>
      <c r="F5" s="74">
        <v>1</v>
      </c>
      <c r="G5" s="74">
        <v>1</v>
      </c>
      <c r="H5" s="74">
        <v>1</v>
      </c>
      <c r="I5" s="74">
        <v>1</v>
      </c>
      <c r="J5" s="74">
        <v>1</v>
      </c>
      <c r="K5" s="74">
        <v>1</v>
      </c>
      <c r="L5" s="74">
        <v>1</v>
      </c>
      <c r="M5" s="89">
        <v>1</v>
      </c>
      <c r="N5" s="90">
        <v>1</v>
      </c>
      <c r="O5" s="74">
        <v>1</v>
      </c>
      <c r="P5" s="74">
        <v>1</v>
      </c>
      <c r="Q5" s="74">
        <v>1</v>
      </c>
      <c r="R5" s="74">
        <v>1</v>
      </c>
      <c r="S5" s="74">
        <v>1</v>
      </c>
      <c r="T5" s="74">
        <v>1</v>
      </c>
      <c r="U5" s="74">
        <v>1</v>
      </c>
      <c r="V5" s="74">
        <v>1</v>
      </c>
      <c r="W5" s="74">
        <v>1</v>
      </c>
    </row>
    <row r="6" spans="1:23" x14ac:dyDescent="0.25">
      <c r="A6" s="46" t="s">
        <v>67</v>
      </c>
      <c r="B6" s="54" t="s">
        <v>58</v>
      </c>
      <c r="C6" s="59" t="s">
        <v>89</v>
      </c>
      <c r="D6" s="46">
        <v>1</v>
      </c>
      <c r="E6" s="46">
        <v>1</v>
      </c>
      <c r="F6" s="46">
        <v>1</v>
      </c>
      <c r="G6" s="46">
        <v>1</v>
      </c>
      <c r="H6" s="46">
        <v>0</v>
      </c>
      <c r="I6" s="46">
        <v>0</v>
      </c>
      <c r="J6" s="46">
        <v>0</v>
      </c>
      <c r="K6" s="46">
        <v>0</v>
      </c>
      <c r="L6" s="46">
        <v>0</v>
      </c>
      <c r="M6" s="91">
        <v>0</v>
      </c>
      <c r="N6" s="92">
        <v>0</v>
      </c>
      <c r="O6" s="46">
        <v>0</v>
      </c>
      <c r="P6" s="46">
        <v>0</v>
      </c>
      <c r="Q6" s="46">
        <v>0</v>
      </c>
      <c r="R6" s="46">
        <v>0</v>
      </c>
      <c r="S6" s="46">
        <v>0</v>
      </c>
      <c r="T6" s="46">
        <v>0</v>
      </c>
      <c r="U6" s="46">
        <v>0</v>
      </c>
      <c r="V6" s="46">
        <v>0</v>
      </c>
      <c r="W6" s="46">
        <v>0</v>
      </c>
    </row>
    <row r="7" spans="1:23" x14ac:dyDescent="0.25">
      <c r="A7" s="46" t="s">
        <v>68</v>
      </c>
      <c r="B7" s="47" t="s">
        <v>57</v>
      </c>
      <c r="C7" s="59" t="s">
        <v>89</v>
      </c>
      <c r="D7" s="46">
        <v>1</v>
      </c>
      <c r="E7" s="46">
        <v>1</v>
      </c>
      <c r="F7" s="46">
        <v>1</v>
      </c>
      <c r="G7" s="46">
        <v>1</v>
      </c>
      <c r="H7" s="46">
        <v>1</v>
      </c>
      <c r="I7" s="46">
        <v>1</v>
      </c>
      <c r="J7" s="46">
        <v>0</v>
      </c>
      <c r="K7" s="46">
        <v>0</v>
      </c>
      <c r="L7" s="46">
        <v>0</v>
      </c>
      <c r="M7" s="91">
        <v>0</v>
      </c>
      <c r="N7" s="92">
        <v>0</v>
      </c>
      <c r="O7" s="46">
        <v>0</v>
      </c>
      <c r="P7" s="46">
        <v>0</v>
      </c>
      <c r="Q7" s="46">
        <v>0</v>
      </c>
      <c r="R7" s="46">
        <v>0</v>
      </c>
      <c r="S7" s="46">
        <v>0</v>
      </c>
      <c r="T7" s="46">
        <v>0</v>
      </c>
      <c r="U7" s="46">
        <v>0</v>
      </c>
      <c r="V7" s="46">
        <v>0</v>
      </c>
      <c r="W7" s="46">
        <v>0</v>
      </c>
    </row>
    <row r="8" spans="1:23" x14ac:dyDescent="0.25">
      <c r="A8" s="46" t="s">
        <v>34</v>
      </c>
      <c r="B8" s="55" t="s">
        <v>64</v>
      </c>
      <c r="C8" s="59" t="s">
        <v>89</v>
      </c>
      <c r="D8" s="55">
        <v>1</v>
      </c>
      <c r="E8" s="55">
        <v>1</v>
      </c>
      <c r="F8" s="55">
        <v>1</v>
      </c>
      <c r="G8" s="55">
        <v>1</v>
      </c>
      <c r="H8" s="55">
        <v>1</v>
      </c>
      <c r="I8" s="55">
        <v>1</v>
      </c>
      <c r="J8" s="55">
        <v>1</v>
      </c>
      <c r="K8" s="55">
        <v>1</v>
      </c>
      <c r="L8" s="55">
        <v>1</v>
      </c>
      <c r="M8" s="87">
        <v>1</v>
      </c>
      <c r="N8" s="88">
        <v>1</v>
      </c>
      <c r="O8" s="55">
        <v>1</v>
      </c>
      <c r="P8" s="55">
        <v>1</v>
      </c>
      <c r="Q8" s="55">
        <v>1</v>
      </c>
      <c r="R8" s="55">
        <v>1</v>
      </c>
      <c r="S8" s="55">
        <v>1</v>
      </c>
      <c r="T8" s="55">
        <v>1</v>
      </c>
      <c r="U8" s="55">
        <v>1</v>
      </c>
      <c r="V8" s="55">
        <v>1</v>
      </c>
      <c r="W8" s="55">
        <v>1</v>
      </c>
    </row>
    <row r="9" spans="1:23" x14ac:dyDescent="0.25">
      <c r="A9" s="46" t="s">
        <v>69</v>
      </c>
      <c r="B9" s="47" t="s">
        <v>57</v>
      </c>
      <c r="C9" s="59"/>
      <c r="D9" s="55"/>
      <c r="E9" s="55"/>
      <c r="F9" s="55"/>
      <c r="G9" s="55"/>
      <c r="H9" s="55"/>
      <c r="I9" s="55"/>
      <c r="J9" s="55"/>
      <c r="K9" s="55"/>
      <c r="L9" s="55"/>
      <c r="M9" s="87"/>
      <c r="N9" s="88"/>
      <c r="O9" s="55"/>
      <c r="P9" s="55"/>
      <c r="Q9" s="55"/>
      <c r="R9" s="55"/>
      <c r="S9" s="55"/>
      <c r="T9" s="55"/>
      <c r="U9" s="55"/>
      <c r="V9" s="55"/>
      <c r="W9" s="55"/>
    </row>
    <row r="10" spans="1:23" x14ac:dyDescent="0.25">
      <c r="A10" s="46" t="s">
        <v>70</v>
      </c>
      <c r="B10" s="54" t="s">
        <v>59</v>
      </c>
      <c r="C10" s="59" t="s">
        <v>89</v>
      </c>
      <c r="D10" s="46">
        <v>1</v>
      </c>
      <c r="E10" s="46">
        <v>1</v>
      </c>
      <c r="F10" s="46">
        <v>1</v>
      </c>
      <c r="G10" s="46">
        <v>1</v>
      </c>
      <c r="H10" s="46">
        <v>1</v>
      </c>
      <c r="I10" s="46">
        <v>1</v>
      </c>
      <c r="J10" s="46">
        <v>1</v>
      </c>
      <c r="K10" s="46">
        <v>1</v>
      </c>
      <c r="L10" s="46">
        <v>1</v>
      </c>
      <c r="M10" s="91">
        <v>1</v>
      </c>
      <c r="N10" s="92">
        <v>0</v>
      </c>
      <c r="O10" s="46">
        <v>0</v>
      </c>
      <c r="P10" s="46">
        <v>0</v>
      </c>
      <c r="Q10" s="46">
        <v>0</v>
      </c>
      <c r="R10" s="46">
        <v>0</v>
      </c>
      <c r="S10" s="46">
        <v>0</v>
      </c>
      <c r="T10" s="46">
        <v>0</v>
      </c>
      <c r="U10" s="46">
        <v>0</v>
      </c>
      <c r="V10" s="46">
        <v>0</v>
      </c>
      <c r="W10" s="46">
        <v>0</v>
      </c>
    </row>
    <row r="11" spans="1:23" x14ac:dyDescent="0.25">
      <c r="A11" s="46" t="s">
        <v>71</v>
      </c>
      <c r="B11" s="54" t="s">
        <v>58</v>
      </c>
      <c r="C11" s="59"/>
      <c r="D11" s="46">
        <v>1</v>
      </c>
      <c r="E11" s="46">
        <v>1</v>
      </c>
      <c r="F11" s="46">
        <v>1</v>
      </c>
      <c r="G11" s="46">
        <v>1</v>
      </c>
      <c r="H11" s="46">
        <v>1</v>
      </c>
      <c r="I11" s="46">
        <v>1</v>
      </c>
      <c r="J11" s="46">
        <v>1</v>
      </c>
      <c r="K11" s="46">
        <v>1</v>
      </c>
      <c r="L11" s="46">
        <v>1</v>
      </c>
      <c r="M11" s="91">
        <v>1</v>
      </c>
      <c r="N11" s="92">
        <v>1</v>
      </c>
      <c r="O11" s="46">
        <v>1</v>
      </c>
      <c r="P11" s="46">
        <v>1</v>
      </c>
      <c r="Q11" s="46">
        <v>1</v>
      </c>
      <c r="R11" s="46">
        <v>1</v>
      </c>
      <c r="S11" s="46">
        <v>1</v>
      </c>
      <c r="T11" s="46">
        <v>1</v>
      </c>
      <c r="U11" s="46">
        <v>1</v>
      </c>
      <c r="V11" s="46">
        <v>1</v>
      </c>
      <c r="W11" s="46">
        <v>1</v>
      </c>
    </row>
    <row r="12" spans="1:23" x14ac:dyDescent="0.25">
      <c r="A12" s="46" t="s">
        <v>72</v>
      </c>
      <c r="B12" s="53" t="s">
        <v>59</v>
      </c>
      <c r="C12" s="59"/>
      <c r="D12" s="46">
        <v>1</v>
      </c>
      <c r="E12" s="46">
        <v>1</v>
      </c>
      <c r="F12" s="46">
        <v>1</v>
      </c>
      <c r="G12" s="46">
        <v>1</v>
      </c>
      <c r="H12" s="46">
        <v>1</v>
      </c>
      <c r="I12" s="46">
        <v>1</v>
      </c>
      <c r="J12" s="46">
        <v>1</v>
      </c>
      <c r="K12" s="46">
        <v>1</v>
      </c>
      <c r="L12" s="46">
        <v>1</v>
      </c>
      <c r="M12" s="91">
        <v>1</v>
      </c>
      <c r="N12" s="92">
        <v>1</v>
      </c>
      <c r="O12" s="46">
        <v>1</v>
      </c>
      <c r="P12" s="46">
        <v>1</v>
      </c>
      <c r="Q12" s="46">
        <v>1</v>
      </c>
      <c r="R12" s="46">
        <v>1</v>
      </c>
      <c r="S12" s="46">
        <v>1</v>
      </c>
      <c r="T12" s="46">
        <v>1</v>
      </c>
      <c r="U12" s="46">
        <v>1</v>
      </c>
      <c r="V12" s="46">
        <v>1</v>
      </c>
      <c r="W12" s="46">
        <v>1</v>
      </c>
    </row>
    <row r="13" spans="1:23" x14ac:dyDescent="0.25">
      <c r="A13" s="46" t="s">
        <v>82</v>
      </c>
      <c r="B13" s="55" t="s">
        <v>64</v>
      </c>
      <c r="C13" s="59"/>
      <c r="D13" s="46">
        <v>1</v>
      </c>
      <c r="E13" s="46">
        <v>1</v>
      </c>
      <c r="F13" s="46">
        <v>1</v>
      </c>
      <c r="G13" s="46">
        <v>0</v>
      </c>
      <c r="H13" s="46">
        <v>0</v>
      </c>
      <c r="I13" s="46">
        <v>0</v>
      </c>
      <c r="J13" s="46">
        <v>0</v>
      </c>
      <c r="K13" s="46">
        <v>0</v>
      </c>
      <c r="L13" s="46">
        <v>0</v>
      </c>
      <c r="M13" s="91">
        <v>0</v>
      </c>
      <c r="N13" s="92">
        <v>0</v>
      </c>
      <c r="O13" s="46">
        <v>0</v>
      </c>
      <c r="P13" s="46">
        <v>0</v>
      </c>
      <c r="Q13" s="46">
        <v>0</v>
      </c>
      <c r="R13" s="46">
        <v>0</v>
      </c>
      <c r="S13" s="46">
        <v>0</v>
      </c>
      <c r="T13" s="46">
        <v>0</v>
      </c>
      <c r="U13" s="46">
        <v>0</v>
      </c>
      <c r="V13" s="46">
        <v>0</v>
      </c>
      <c r="W13" s="46">
        <v>0</v>
      </c>
    </row>
    <row r="14" spans="1:23" x14ac:dyDescent="0.25">
      <c r="A14" s="46" t="s">
        <v>35</v>
      </c>
      <c r="B14" s="47" t="s">
        <v>57</v>
      </c>
      <c r="C14" s="59" t="s">
        <v>89</v>
      </c>
      <c r="D14" s="46">
        <v>1</v>
      </c>
      <c r="E14" s="46">
        <v>1</v>
      </c>
      <c r="F14" s="46">
        <v>1</v>
      </c>
      <c r="G14" s="46">
        <v>1</v>
      </c>
      <c r="H14" s="46">
        <v>1</v>
      </c>
      <c r="I14" s="46">
        <v>1</v>
      </c>
      <c r="J14" s="46">
        <v>1</v>
      </c>
      <c r="K14" s="46">
        <v>0</v>
      </c>
      <c r="L14" s="46">
        <v>0</v>
      </c>
      <c r="M14" s="91">
        <v>0</v>
      </c>
      <c r="N14" s="92">
        <v>0</v>
      </c>
      <c r="O14" s="46">
        <v>0</v>
      </c>
      <c r="P14" s="46">
        <v>0</v>
      </c>
      <c r="Q14" s="46">
        <v>0</v>
      </c>
      <c r="R14" s="46">
        <v>0</v>
      </c>
      <c r="S14" s="46">
        <v>0</v>
      </c>
      <c r="T14" s="46">
        <v>0</v>
      </c>
      <c r="U14" s="46">
        <v>0</v>
      </c>
      <c r="V14" s="46">
        <v>0</v>
      </c>
      <c r="W14" s="46">
        <v>0</v>
      </c>
    </row>
    <row r="15" spans="1:23" x14ac:dyDescent="0.25">
      <c r="A15" s="59" t="s">
        <v>83</v>
      </c>
      <c r="B15" s="47" t="s">
        <v>56</v>
      </c>
      <c r="C15" s="59"/>
      <c r="D15" s="46">
        <v>1</v>
      </c>
      <c r="E15" s="46">
        <v>1</v>
      </c>
      <c r="F15" s="46">
        <v>1</v>
      </c>
      <c r="G15" s="46">
        <v>1</v>
      </c>
      <c r="H15" s="46">
        <v>1</v>
      </c>
      <c r="I15" s="46">
        <v>1</v>
      </c>
      <c r="J15" s="46">
        <v>1</v>
      </c>
      <c r="K15" s="46">
        <v>1</v>
      </c>
      <c r="L15" s="46">
        <v>1</v>
      </c>
      <c r="M15" s="91">
        <v>1</v>
      </c>
      <c r="N15" s="92">
        <v>1</v>
      </c>
      <c r="O15" s="46">
        <v>1</v>
      </c>
      <c r="P15" s="46">
        <v>1</v>
      </c>
      <c r="Q15" s="46">
        <v>1</v>
      </c>
      <c r="R15" s="46">
        <v>1</v>
      </c>
      <c r="S15" s="46">
        <v>1</v>
      </c>
      <c r="T15" s="46">
        <v>1</v>
      </c>
      <c r="U15" s="46">
        <v>1</v>
      </c>
      <c r="V15" s="46">
        <v>1</v>
      </c>
      <c r="W15" s="46">
        <v>1</v>
      </c>
    </row>
    <row r="16" spans="1:23" x14ac:dyDescent="0.25">
      <c r="A16" s="59" t="s">
        <v>84</v>
      </c>
      <c r="B16" s="47" t="s">
        <v>56</v>
      </c>
      <c r="C16" s="59"/>
      <c r="D16" s="46">
        <v>1</v>
      </c>
      <c r="E16" s="46">
        <v>1</v>
      </c>
      <c r="F16" s="46">
        <v>1</v>
      </c>
      <c r="G16" s="46">
        <v>1</v>
      </c>
      <c r="H16" s="46">
        <v>1</v>
      </c>
      <c r="I16" s="46">
        <v>1</v>
      </c>
      <c r="J16" s="46">
        <v>1</v>
      </c>
      <c r="K16" s="46">
        <v>1</v>
      </c>
      <c r="L16" s="46">
        <v>1</v>
      </c>
      <c r="M16" s="91">
        <v>1</v>
      </c>
      <c r="N16" s="92">
        <v>1</v>
      </c>
      <c r="O16" s="46">
        <v>1</v>
      </c>
      <c r="P16" s="46">
        <v>1</v>
      </c>
      <c r="Q16" s="46">
        <v>1</v>
      </c>
      <c r="R16" s="46">
        <v>1</v>
      </c>
      <c r="S16" s="46">
        <v>1</v>
      </c>
      <c r="T16" s="46">
        <v>1</v>
      </c>
      <c r="U16" s="46">
        <v>1</v>
      </c>
      <c r="V16" s="46">
        <v>1</v>
      </c>
      <c r="W16" s="46">
        <v>1</v>
      </c>
    </row>
    <row r="17" spans="1:23" x14ac:dyDescent="0.25">
      <c r="A17" s="59" t="s">
        <v>85</v>
      </c>
      <c r="B17" s="47" t="s">
        <v>56</v>
      </c>
      <c r="C17" s="59"/>
      <c r="D17" s="46">
        <v>1</v>
      </c>
      <c r="E17" s="46">
        <v>1</v>
      </c>
      <c r="F17" s="46">
        <v>1</v>
      </c>
      <c r="G17" s="46">
        <v>1</v>
      </c>
      <c r="H17" s="46">
        <v>1</v>
      </c>
      <c r="I17" s="46">
        <v>1</v>
      </c>
      <c r="J17" s="46">
        <v>1</v>
      </c>
      <c r="K17" s="46">
        <v>1</v>
      </c>
      <c r="L17" s="46">
        <v>1</v>
      </c>
      <c r="M17" s="91">
        <v>1</v>
      </c>
      <c r="N17" s="92">
        <v>1</v>
      </c>
      <c r="O17" s="46">
        <v>1</v>
      </c>
      <c r="P17" s="46">
        <v>1</v>
      </c>
      <c r="Q17" s="46">
        <v>1</v>
      </c>
      <c r="R17" s="46">
        <v>1</v>
      </c>
      <c r="S17" s="46">
        <v>1</v>
      </c>
      <c r="T17" s="46">
        <v>1</v>
      </c>
      <c r="U17" s="46">
        <v>1</v>
      </c>
      <c r="V17" s="46">
        <v>1</v>
      </c>
      <c r="W17" s="46">
        <v>1</v>
      </c>
    </row>
    <row r="18" spans="1:23" x14ac:dyDescent="0.25">
      <c r="A18" s="59" t="s">
        <v>86</v>
      </c>
      <c r="B18" s="47" t="s">
        <v>56</v>
      </c>
      <c r="C18" s="59"/>
      <c r="D18" s="46">
        <v>1</v>
      </c>
      <c r="E18" s="46">
        <v>1</v>
      </c>
      <c r="F18" s="46">
        <v>1</v>
      </c>
      <c r="G18" s="46">
        <v>1</v>
      </c>
      <c r="H18" s="46">
        <v>1</v>
      </c>
      <c r="I18" s="46">
        <v>1</v>
      </c>
      <c r="J18" s="46">
        <v>1</v>
      </c>
      <c r="K18" s="46">
        <v>1</v>
      </c>
      <c r="L18" s="46">
        <v>1</v>
      </c>
      <c r="M18" s="91">
        <v>1</v>
      </c>
      <c r="N18" s="92">
        <v>1</v>
      </c>
      <c r="O18" s="46">
        <v>1</v>
      </c>
      <c r="P18" s="46">
        <v>1</v>
      </c>
      <c r="Q18" s="46">
        <v>1</v>
      </c>
      <c r="R18" s="46">
        <v>1</v>
      </c>
      <c r="S18" s="46">
        <v>1</v>
      </c>
      <c r="T18" s="46">
        <v>1</v>
      </c>
      <c r="U18" s="46">
        <v>1</v>
      </c>
      <c r="V18" s="46">
        <v>1</v>
      </c>
      <c r="W18" s="46">
        <v>1</v>
      </c>
    </row>
    <row r="19" spans="1:23" x14ac:dyDescent="0.25">
      <c r="A19" s="46" t="s">
        <v>36</v>
      </c>
      <c r="B19" s="47" t="s">
        <v>57</v>
      </c>
      <c r="C19" s="59" t="s">
        <v>89</v>
      </c>
      <c r="D19" s="46">
        <v>1</v>
      </c>
      <c r="E19" s="46">
        <v>1</v>
      </c>
      <c r="F19" s="46">
        <v>1</v>
      </c>
      <c r="G19" s="46">
        <v>1</v>
      </c>
      <c r="H19" s="46">
        <v>1</v>
      </c>
      <c r="I19" s="46">
        <v>1</v>
      </c>
      <c r="J19" s="46">
        <v>1</v>
      </c>
      <c r="K19" s="46">
        <v>1</v>
      </c>
      <c r="L19" s="46">
        <v>1</v>
      </c>
      <c r="M19" s="91">
        <v>1</v>
      </c>
      <c r="N19" s="92">
        <v>1</v>
      </c>
      <c r="O19" s="46">
        <v>1</v>
      </c>
      <c r="P19" s="46">
        <v>1</v>
      </c>
      <c r="Q19" s="46">
        <v>1</v>
      </c>
      <c r="R19" s="46">
        <v>1</v>
      </c>
      <c r="S19" s="46">
        <v>1</v>
      </c>
      <c r="T19" s="46">
        <v>1</v>
      </c>
      <c r="U19" s="46">
        <v>1</v>
      </c>
      <c r="V19" s="46">
        <v>1</v>
      </c>
      <c r="W19" s="46">
        <v>1</v>
      </c>
    </row>
    <row r="20" spans="1:23" x14ac:dyDescent="0.25">
      <c r="A20" s="46" t="s">
        <v>37</v>
      </c>
      <c r="B20" s="47" t="s">
        <v>57</v>
      </c>
      <c r="C20" s="59" t="s">
        <v>89</v>
      </c>
      <c r="D20" s="46">
        <v>1</v>
      </c>
      <c r="E20" s="46">
        <v>1</v>
      </c>
      <c r="F20" s="46">
        <v>1</v>
      </c>
      <c r="G20" s="46">
        <v>1</v>
      </c>
      <c r="H20" s="46">
        <v>1</v>
      </c>
      <c r="I20" s="46">
        <v>0</v>
      </c>
      <c r="J20" s="46">
        <v>0</v>
      </c>
      <c r="K20" s="46">
        <v>0</v>
      </c>
      <c r="L20" s="46">
        <v>0</v>
      </c>
      <c r="M20" s="91">
        <v>0</v>
      </c>
      <c r="N20" s="92">
        <v>0</v>
      </c>
      <c r="O20" s="46">
        <v>0</v>
      </c>
      <c r="P20" s="46">
        <v>0</v>
      </c>
      <c r="Q20" s="46">
        <v>0</v>
      </c>
      <c r="R20" s="46">
        <v>0</v>
      </c>
      <c r="S20" s="46">
        <v>0</v>
      </c>
      <c r="T20" s="46">
        <v>0</v>
      </c>
      <c r="U20" s="46">
        <v>0</v>
      </c>
      <c r="V20" s="46">
        <v>0</v>
      </c>
      <c r="W20" s="46">
        <v>0</v>
      </c>
    </row>
    <row r="21" spans="1:23" x14ac:dyDescent="0.25">
      <c r="A21" s="46" t="s">
        <v>40</v>
      </c>
      <c r="B21" s="60" t="s">
        <v>58</v>
      </c>
      <c r="C21" s="59"/>
      <c r="D21" s="46">
        <v>0</v>
      </c>
      <c r="E21" s="46">
        <v>0</v>
      </c>
      <c r="F21" s="46">
        <v>0</v>
      </c>
      <c r="G21" s="46">
        <v>0</v>
      </c>
      <c r="H21" s="46">
        <v>0</v>
      </c>
      <c r="I21" s="46">
        <v>0</v>
      </c>
      <c r="J21" s="46">
        <v>0</v>
      </c>
      <c r="K21" s="46">
        <v>0</v>
      </c>
      <c r="L21" s="46">
        <v>0</v>
      </c>
      <c r="M21" s="91">
        <v>0</v>
      </c>
      <c r="N21" s="92">
        <v>0</v>
      </c>
      <c r="O21" s="46">
        <v>0</v>
      </c>
      <c r="P21" s="46">
        <v>0</v>
      </c>
      <c r="Q21" s="46">
        <v>0</v>
      </c>
      <c r="R21" s="46">
        <v>0</v>
      </c>
      <c r="S21" s="46">
        <v>0</v>
      </c>
      <c r="T21" s="46">
        <v>0</v>
      </c>
      <c r="U21" s="46">
        <v>0</v>
      </c>
      <c r="V21" s="46">
        <v>0</v>
      </c>
      <c r="W21" s="46">
        <v>0</v>
      </c>
    </row>
    <row r="22" spans="1:23" x14ac:dyDescent="0.25">
      <c r="A22" s="46" t="s">
        <v>73</v>
      </c>
      <c r="B22" s="47" t="s">
        <v>57</v>
      </c>
      <c r="C22" s="59"/>
      <c r="D22" s="46">
        <v>1</v>
      </c>
      <c r="E22" s="46">
        <v>1</v>
      </c>
      <c r="F22" s="46">
        <v>1</v>
      </c>
      <c r="G22" s="46">
        <v>1</v>
      </c>
      <c r="H22" s="46">
        <v>1</v>
      </c>
      <c r="I22" s="46">
        <v>0</v>
      </c>
      <c r="J22" s="46">
        <v>0</v>
      </c>
      <c r="K22" s="46">
        <v>0</v>
      </c>
      <c r="L22" s="46">
        <v>0</v>
      </c>
      <c r="M22" s="91">
        <v>0</v>
      </c>
      <c r="N22" s="92">
        <v>0</v>
      </c>
      <c r="O22" s="46">
        <v>0</v>
      </c>
      <c r="P22" s="46">
        <v>0</v>
      </c>
      <c r="Q22" s="46">
        <v>0</v>
      </c>
      <c r="R22" s="46">
        <v>0</v>
      </c>
      <c r="S22" s="46">
        <v>0</v>
      </c>
      <c r="T22" s="46">
        <v>0</v>
      </c>
      <c r="U22" s="46">
        <v>0</v>
      </c>
      <c r="V22" s="46">
        <v>0</v>
      </c>
      <c r="W22" s="46">
        <v>0</v>
      </c>
    </row>
    <row r="23" spans="1:23" x14ac:dyDescent="0.25">
      <c r="A23" s="46" t="s">
        <v>38</v>
      </c>
      <c r="B23" s="47" t="s">
        <v>57</v>
      </c>
      <c r="C23" s="59" t="s">
        <v>89</v>
      </c>
      <c r="D23" s="46">
        <v>1</v>
      </c>
      <c r="E23" s="46">
        <v>1</v>
      </c>
      <c r="F23" s="46">
        <v>1</v>
      </c>
      <c r="G23" s="46">
        <v>1</v>
      </c>
      <c r="H23" s="46">
        <v>0</v>
      </c>
      <c r="I23" s="46">
        <v>0</v>
      </c>
      <c r="J23" s="46">
        <v>0</v>
      </c>
      <c r="K23" s="46">
        <v>0</v>
      </c>
      <c r="L23" s="46">
        <v>0</v>
      </c>
      <c r="M23" s="91">
        <v>0</v>
      </c>
      <c r="N23" s="92">
        <v>0</v>
      </c>
      <c r="O23" s="46">
        <v>0</v>
      </c>
      <c r="P23" s="46">
        <v>0</v>
      </c>
      <c r="Q23" s="46">
        <v>0</v>
      </c>
      <c r="R23" s="46">
        <v>0</v>
      </c>
      <c r="S23" s="46">
        <v>0</v>
      </c>
      <c r="T23" s="46">
        <v>0</v>
      </c>
      <c r="U23" s="46">
        <v>0</v>
      </c>
      <c r="V23" s="46">
        <v>0</v>
      </c>
      <c r="W23" s="46">
        <v>0</v>
      </c>
    </row>
    <row r="24" spans="1:23" x14ac:dyDescent="0.25">
      <c r="A24" s="46" t="s">
        <v>39</v>
      </c>
      <c r="B24" s="54" t="s">
        <v>59</v>
      </c>
      <c r="C24" s="59" t="s">
        <v>89</v>
      </c>
      <c r="D24" s="46">
        <v>1</v>
      </c>
      <c r="E24" s="46">
        <v>1</v>
      </c>
      <c r="F24" s="46">
        <v>1</v>
      </c>
      <c r="G24" s="46">
        <v>1</v>
      </c>
      <c r="H24" s="46">
        <v>1</v>
      </c>
      <c r="I24" s="46">
        <v>1</v>
      </c>
      <c r="J24" s="46">
        <v>1</v>
      </c>
      <c r="K24" s="46">
        <v>1</v>
      </c>
      <c r="L24" s="46">
        <v>1</v>
      </c>
      <c r="M24" s="91">
        <v>1</v>
      </c>
      <c r="N24" s="92">
        <v>0</v>
      </c>
      <c r="O24" s="46">
        <v>0</v>
      </c>
      <c r="P24" s="46">
        <v>0</v>
      </c>
      <c r="Q24" s="46">
        <v>0</v>
      </c>
      <c r="R24" s="46">
        <v>0</v>
      </c>
      <c r="S24" s="46">
        <v>0</v>
      </c>
      <c r="T24" s="46">
        <v>0</v>
      </c>
      <c r="U24" s="46">
        <v>0</v>
      </c>
      <c r="V24" s="46">
        <v>0</v>
      </c>
      <c r="W24" s="46">
        <v>0</v>
      </c>
    </row>
    <row r="25" spans="1:23" x14ac:dyDescent="0.25">
      <c r="A25" s="46" t="s">
        <v>41</v>
      </c>
      <c r="B25" s="47" t="s">
        <v>60</v>
      </c>
      <c r="C25" s="59"/>
      <c r="D25" s="46">
        <v>1</v>
      </c>
      <c r="E25" s="46">
        <v>1</v>
      </c>
      <c r="F25" s="46">
        <v>1</v>
      </c>
      <c r="G25" s="46">
        <v>1</v>
      </c>
      <c r="H25" s="46">
        <v>0</v>
      </c>
      <c r="I25" s="46">
        <v>0</v>
      </c>
      <c r="J25" s="46">
        <v>0</v>
      </c>
      <c r="K25" s="46">
        <v>0</v>
      </c>
      <c r="L25" s="46">
        <v>0</v>
      </c>
      <c r="M25" s="91">
        <v>0</v>
      </c>
      <c r="N25" s="92">
        <v>0</v>
      </c>
      <c r="O25" s="46">
        <v>0</v>
      </c>
      <c r="P25" s="46">
        <v>0</v>
      </c>
      <c r="Q25" s="46">
        <v>0</v>
      </c>
      <c r="R25" s="46">
        <v>0</v>
      </c>
      <c r="S25" s="46">
        <v>0</v>
      </c>
      <c r="T25" s="46">
        <v>0</v>
      </c>
      <c r="U25" s="46">
        <v>0</v>
      </c>
      <c r="V25" s="46">
        <v>0</v>
      </c>
      <c r="W25" s="46">
        <v>0</v>
      </c>
    </row>
    <row r="26" spans="1:23" x14ac:dyDescent="0.25">
      <c r="A26" s="46" t="s">
        <v>74</v>
      </c>
      <c r="B26" s="47" t="s">
        <v>57</v>
      </c>
      <c r="C26" s="59"/>
      <c r="D26" s="46">
        <v>1</v>
      </c>
      <c r="E26" s="46">
        <v>0</v>
      </c>
      <c r="F26" s="46">
        <v>0</v>
      </c>
      <c r="G26" s="46">
        <v>0</v>
      </c>
      <c r="H26" s="46">
        <v>0</v>
      </c>
      <c r="I26" s="46">
        <v>0</v>
      </c>
      <c r="J26" s="46">
        <v>0</v>
      </c>
      <c r="K26" s="46">
        <v>0</v>
      </c>
      <c r="L26" s="46">
        <v>0</v>
      </c>
      <c r="M26" s="91">
        <v>0</v>
      </c>
      <c r="N26" s="92">
        <v>0</v>
      </c>
      <c r="O26" s="46">
        <v>0</v>
      </c>
      <c r="P26" s="46">
        <v>0</v>
      </c>
      <c r="Q26" s="46">
        <v>0</v>
      </c>
      <c r="R26" s="46">
        <v>0</v>
      </c>
      <c r="S26" s="46">
        <v>0</v>
      </c>
      <c r="T26" s="46">
        <v>0</v>
      </c>
      <c r="U26" s="46">
        <v>0</v>
      </c>
      <c r="V26" s="46">
        <v>0</v>
      </c>
      <c r="W26" s="46">
        <v>0</v>
      </c>
    </row>
    <row r="27" spans="1:23" x14ac:dyDescent="0.25">
      <c r="A27" s="46" t="s">
        <v>75</v>
      </c>
      <c r="B27" s="47" t="s">
        <v>57</v>
      </c>
      <c r="C27" s="59"/>
      <c r="D27" s="46">
        <v>1</v>
      </c>
      <c r="E27" s="46">
        <v>1</v>
      </c>
      <c r="F27" s="46">
        <v>1</v>
      </c>
      <c r="G27" s="46">
        <v>0</v>
      </c>
      <c r="H27" s="46">
        <v>0</v>
      </c>
      <c r="I27" s="46">
        <v>0</v>
      </c>
      <c r="J27" s="46">
        <v>0</v>
      </c>
      <c r="K27" s="46">
        <v>0</v>
      </c>
      <c r="L27" s="46">
        <v>0</v>
      </c>
      <c r="M27" s="91">
        <v>0</v>
      </c>
      <c r="N27" s="92">
        <v>0</v>
      </c>
      <c r="O27" s="46">
        <v>0</v>
      </c>
      <c r="P27" s="46">
        <v>0</v>
      </c>
      <c r="Q27" s="46">
        <v>0</v>
      </c>
      <c r="R27" s="46">
        <v>0</v>
      </c>
      <c r="S27" s="46">
        <v>0</v>
      </c>
      <c r="T27" s="46">
        <v>0</v>
      </c>
      <c r="U27" s="46">
        <v>0</v>
      </c>
      <c r="V27" s="46">
        <v>0</v>
      </c>
      <c r="W27" s="46">
        <v>0</v>
      </c>
    </row>
    <row r="28" spans="1:23" x14ac:dyDescent="0.25">
      <c r="A28" s="46" t="s">
        <v>76</v>
      </c>
      <c r="B28" s="47" t="s">
        <v>57</v>
      </c>
      <c r="C28" s="59"/>
      <c r="D28" s="46">
        <v>1</v>
      </c>
      <c r="E28" s="46">
        <v>1</v>
      </c>
      <c r="F28" s="46">
        <v>1</v>
      </c>
      <c r="G28" s="46">
        <v>1</v>
      </c>
      <c r="H28" s="46">
        <v>1</v>
      </c>
      <c r="I28" s="46">
        <v>1</v>
      </c>
      <c r="J28" s="46">
        <v>0</v>
      </c>
      <c r="K28" s="46">
        <v>0</v>
      </c>
      <c r="L28" s="46">
        <v>0</v>
      </c>
      <c r="M28" s="91">
        <v>0</v>
      </c>
      <c r="N28" s="92">
        <v>0</v>
      </c>
      <c r="O28" s="46">
        <v>0</v>
      </c>
      <c r="P28" s="46">
        <v>0</v>
      </c>
      <c r="Q28" s="46">
        <v>0</v>
      </c>
      <c r="R28" s="46">
        <v>0</v>
      </c>
      <c r="S28" s="46">
        <v>0</v>
      </c>
      <c r="T28" s="46">
        <v>0</v>
      </c>
      <c r="U28" s="46">
        <v>0</v>
      </c>
      <c r="V28" s="46">
        <v>0</v>
      </c>
      <c r="W28" s="46">
        <v>0</v>
      </c>
    </row>
    <row r="29" spans="1:23" x14ac:dyDescent="0.25">
      <c r="A29" s="46" t="s">
        <v>42</v>
      </c>
      <c r="B29" s="54" t="s">
        <v>61</v>
      </c>
      <c r="C29" s="59"/>
      <c r="D29" s="46">
        <v>1</v>
      </c>
      <c r="E29" s="46">
        <v>1</v>
      </c>
      <c r="F29" s="46">
        <v>1</v>
      </c>
      <c r="G29" s="46">
        <v>1</v>
      </c>
      <c r="H29" s="46">
        <v>1</v>
      </c>
      <c r="I29" s="46">
        <v>1</v>
      </c>
      <c r="J29" s="46">
        <v>1</v>
      </c>
      <c r="K29" s="46">
        <v>1</v>
      </c>
      <c r="L29" s="46">
        <v>1</v>
      </c>
      <c r="M29" s="91">
        <v>1</v>
      </c>
      <c r="N29" s="92">
        <v>1</v>
      </c>
      <c r="O29" s="46">
        <v>1</v>
      </c>
      <c r="P29" s="46">
        <v>1</v>
      </c>
      <c r="Q29" s="46">
        <v>1</v>
      </c>
      <c r="R29" s="46">
        <v>1</v>
      </c>
      <c r="S29" s="46">
        <v>1</v>
      </c>
      <c r="T29" s="46">
        <v>1</v>
      </c>
      <c r="U29" s="46">
        <v>1</v>
      </c>
      <c r="V29" s="46">
        <v>1</v>
      </c>
      <c r="W29" s="46">
        <v>1</v>
      </c>
    </row>
    <row r="30" spans="1:23" x14ac:dyDescent="0.25">
      <c r="A30" s="46" t="s">
        <v>77</v>
      </c>
      <c r="B30" s="54" t="s">
        <v>58</v>
      </c>
      <c r="C30" s="59"/>
      <c r="D30" s="46">
        <v>1</v>
      </c>
      <c r="E30" s="46">
        <v>1</v>
      </c>
      <c r="F30" s="46">
        <v>1</v>
      </c>
      <c r="G30" s="46">
        <v>1</v>
      </c>
      <c r="H30" s="46">
        <v>1</v>
      </c>
      <c r="I30" s="46">
        <v>1</v>
      </c>
      <c r="J30" s="46">
        <v>1</v>
      </c>
      <c r="K30" s="46">
        <v>1</v>
      </c>
      <c r="L30" s="46">
        <v>1</v>
      </c>
      <c r="M30" s="91">
        <v>1</v>
      </c>
      <c r="N30" s="92">
        <v>1</v>
      </c>
      <c r="O30" s="46">
        <v>1</v>
      </c>
      <c r="P30" s="46">
        <v>1</v>
      </c>
      <c r="Q30" s="46">
        <v>1</v>
      </c>
      <c r="R30" s="46">
        <v>1</v>
      </c>
      <c r="S30" s="46">
        <v>1</v>
      </c>
      <c r="T30" s="46">
        <v>1</v>
      </c>
      <c r="U30" s="46">
        <v>1</v>
      </c>
      <c r="V30" s="46">
        <v>1</v>
      </c>
      <c r="W30" s="46">
        <v>1</v>
      </c>
    </row>
    <row r="31" spans="1:23" x14ac:dyDescent="0.25">
      <c r="A31" s="46" t="s">
        <v>87</v>
      </c>
      <c r="B31" s="47" t="s">
        <v>56</v>
      </c>
      <c r="C31" s="59" t="s">
        <v>89</v>
      </c>
      <c r="D31" s="46">
        <v>1</v>
      </c>
      <c r="E31" s="46">
        <v>1</v>
      </c>
      <c r="F31" s="46">
        <v>0</v>
      </c>
      <c r="G31" s="46">
        <v>0</v>
      </c>
      <c r="H31" s="46">
        <v>0</v>
      </c>
      <c r="I31" s="46">
        <v>0</v>
      </c>
      <c r="J31" s="46">
        <v>0</v>
      </c>
      <c r="K31" s="46">
        <v>0</v>
      </c>
      <c r="L31" s="46">
        <v>0</v>
      </c>
      <c r="M31" s="91">
        <v>0</v>
      </c>
      <c r="N31" s="92">
        <v>0</v>
      </c>
      <c r="O31" s="46">
        <v>0</v>
      </c>
      <c r="P31" s="46">
        <v>0</v>
      </c>
      <c r="Q31" s="46">
        <v>0</v>
      </c>
      <c r="R31" s="46">
        <v>0</v>
      </c>
      <c r="S31" s="46">
        <v>0</v>
      </c>
      <c r="T31" s="46">
        <v>0</v>
      </c>
      <c r="U31" s="46">
        <v>0</v>
      </c>
      <c r="V31" s="46">
        <v>0</v>
      </c>
      <c r="W31" s="46">
        <v>0</v>
      </c>
    </row>
    <row r="32" spans="1:23" x14ac:dyDescent="0.25">
      <c r="A32" s="46" t="s">
        <v>43</v>
      </c>
      <c r="B32" s="54" t="s">
        <v>61</v>
      </c>
      <c r="C32" s="59" t="s">
        <v>89</v>
      </c>
      <c r="D32" s="46">
        <v>1</v>
      </c>
      <c r="E32" s="46">
        <v>0</v>
      </c>
      <c r="F32" s="46">
        <v>0</v>
      </c>
      <c r="G32" s="46">
        <v>0</v>
      </c>
      <c r="H32" s="46">
        <v>0</v>
      </c>
      <c r="I32" s="46">
        <v>0</v>
      </c>
      <c r="J32" s="46">
        <v>0</v>
      </c>
      <c r="K32" s="46">
        <v>0</v>
      </c>
      <c r="L32" s="46">
        <v>0</v>
      </c>
      <c r="M32" s="91">
        <v>0</v>
      </c>
      <c r="N32" s="92">
        <v>0</v>
      </c>
      <c r="O32" s="46">
        <v>0</v>
      </c>
      <c r="P32" s="46">
        <v>0</v>
      </c>
      <c r="Q32" s="46">
        <v>0</v>
      </c>
      <c r="R32" s="46">
        <v>0</v>
      </c>
      <c r="S32" s="46">
        <v>0</v>
      </c>
      <c r="T32" s="46">
        <v>0</v>
      </c>
      <c r="U32" s="46">
        <v>0</v>
      </c>
      <c r="V32" s="46">
        <v>0</v>
      </c>
      <c r="W32" s="46">
        <v>0</v>
      </c>
    </row>
    <row r="33" spans="1:23" x14ac:dyDescent="0.25">
      <c r="A33" s="46" t="s">
        <v>55</v>
      </c>
      <c r="B33" s="47" t="s">
        <v>57</v>
      </c>
      <c r="C33" s="59" t="s">
        <v>89</v>
      </c>
      <c r="D33" s="46">
        <v>1</v>
      </c>
      <c r="E33" s="46">
        <v>1</v>
      </c>
      <c r="F33" s="46">
        <v>1</v>
      </c>
      <c r="G33" s="46">
        <v>1</v>
      </c>
      <c r="H33" s="46">
        <v>0</v>
      </c>
      <c r="I33" s="46">
        <v>0</v>
      </c>
      <c r="J33" s="46">
        <v>0</v>
      </c>
      <c r="K33" s="46">
        <v>0</v>
      </c>
      <c r="L33" s="46">
        <v>0</v>
      </c>
      <c r="M33" s="91">
        <v>0</v>
      </c>
      <c r="N33" s="92">
        <v>0</v>
      </c>
      <c r="O33" s="46">
        <v>0</v>
      </c>
      <c r="P33" s="46">
        <v>0</v>
      </c>
      <c r="Q33" s="46">
        <v>0</v>
      </c>
      <c r="R33" s="46">
        <v>0</v>
      </c>
      <c r="S33" s="46">
        <v>0</v>
      </c>
      <c r="T33" s="46">
        <v>0</v>
      </c>
      <c r="U33" s="46">
        <v>0</v>
      </c>
      <c r="V33" s="46">
        <v>0</v>
      </c>
      <c r="W33" s="46">
        <v>0</v>
      </c>
    </row>
    <row r="34" spans="1:23" x14ac:dyDescent="0.25">
      <c r="A34" s="46" t="s">
        <v>44</v>
      </c>
      <c r="B34" s="46"/>
      <c r="C34" s="59"/>
      <c r="D34" s="46">
        <v>1</v>
      </c>
      <c r="E34" s="46">
        <v>0</v>
      </c>
      <c r="F34" s="46">
        <v>0</v>
      </c>
      <c r="G34" s="46">
        <v>0</v>
      </c>
      <c r="H34" s="46">
        <v>0</v>
      </c>
      <c r="I34" s="46">
        <v>0</v>
      </c>
      <c r="J34" s="46">
        <v>0</v>
      </c>
      <c r="K34" s="46">
        <v>0</v>
      </c>
      <c r="L34" s="46">
        <v>0</v>
      </c>
      <c r="M34" s="91">
        <v>0</v>
      </c>
      <c r="N34" s="92">
        <v>0</v>
      </c>
      <c r="O34" s="46">
        <v>0</v>
      </c>
      <c r="P34" s="46">
        <v>0</v>
      </c>
      <c r="Q34" s="46">
        <v>0</v>
      </c>
      <c r="R34" s="46">
        <v>0</v>
      </c>
      <c r="S34" s="46">
        <v>0</v>
      </c>
      <c r="T34" s="46">
        <v>0</v>
      </c>
      <c r="U34" s="46">
        <v>0</v>
      </c>
      <c r="V34" s="46">
        <v>0</v>
      </c>
      <c r="W34" s="46">
        <v>0</v>
      </c>
    </row>
    <row r="35" spans="1:23" x14ac:dyDescent="0.25">
      <c r="A35" s="46" t="s">
        <v>78</v>
      </c>
      <c r="B35" s="47" t="s">
        <v>57</v>
      </c>
      <c r="C35" s="59" t="s">
        <v>89</v>
      </c>
      <c r="D35" s="46">
        <v>1</v>
      </c>
      <c r="E35" s="46">
        <v>1</v>
      </c>
      <c r="F35" s="46">
        <v>1</v>
      </c>
      <c r="G35" s="46">
        <v>1</v>
      </c>
      <c r="H35" s="46">
        <v>1</v>
      </c>
      <c r="I35" s="46">
        <v>0</v>
      </c>
      <c r="J35" s="46">
        <v>0</v>
      </c>
      <c r="K35" s="46">
        <v>0</v>
      </c>
      <c r="L35" s="46">
        <v>0</v>
      </c>
      <c r="M35" s="91">
        <v>0</v>
      </c>
      <c r="N35" s="92">
        <v>0</v>
      </c>
      <c r="O35" s="46">
        <v>0</v>
      </c>
      <c r="P35" s="46">
        <v>0</v>
      </c>
      <c r="Q35" s="46">
        <v>0</v>
      </c>
      <c r="R35" s="46">
        <v>0</v>
      </c>
      <c r="S35" s="46">
        <v>0</v>
      </c>
      <c r="T35" s="46">
        <v>0</v>
      </c>
      <c r="U35" s="46">
        <v>0</v>
      </c>
      <c r="V35" s="46">
        <v>0</v>
      </c>
      <c r="W35" s="46">
        <v>0</v>
      </c>
    </row>
    <row r="36" spans="1:23" x14ac:dyDescent="0.25">
      <c r="A36" s="46" t="s">
        <v>45</v>
      </c>
      <c r="B36" s="47" t="s">
        <v>57</v>
      </c>
      <c r="C36" s="59"/>
      <c r="D36" s="46">
        <v>1</v>
      </c>
      <c r="E36" s="46">
        <v>1</v>
      </c>
      <c r="F36" s="46">
        <v>1</v>
      </c>
      <c r="G36" s="46">
        <v>0</v>
      </c>
      <c r="H36" s="46">
        <v>0</v>
      </c>
      <c r="I36" s="46">
        <v>0</v>
      </c>
      <c r="J36" s="46">
        <v>0</v>
      </c>
      <c r="K36" s="46">
        <v>0</v>
      </c>
      <c r="L36" s="46">
        <v>0</v>
      </c>
      <c r="M36" s="91">
        <v>0</v>
      </c>
      <c r="N36" s="92">
        <v>0</v>
      </c>
      <c r="O36" s="46">
        <v>0</v>
      </c>
      <c r="P36" s="46">
        <v>0</v>
      </c>
      <c r="Q36" s="46">
        <v>0</v>
      </c>
      <c r="R36" s="46">
        <v>0</v>
      </c>
      <c r="S36" s="46">
        <v>0</v>
      </c>
      <c r="T36" s="46">
        <v>0</v>
      </c>
      <c r="U36" s="46">
        <v>0</v>
      </c>
      <c r="V36" s="46">
        <v>0</v>
      </c>
      <c r="W36" s="46">
        <v>0</v>
      </c>
    </row>
    <row r="37" spans="1:23" x14ac:dyDescent="0.25">
      <c r="A37" s="46" t="s">
        <v>46</v>
      </c>
      <c r="B37" s="54" t="s">
        <v>59</v>
      </c>
      <c r="C37" s="59"/>
      <c r="D37" s="46">
        <v>1</v>
      </c>
      <c r="E37" s="46">
        <v>1</v>
      </c>
      <c r="F37" s="46">
        <v>1</v>
      </c>
      <c r="G37" s="46">
        <v>1</v>
      </c>
      <c r="H37" s="46">
        <v>1</v>
      </c>
      <c r="I37" s="46">
        <v>1</v>
      </c>
      <c r="J37" s="46">
        <v>1</v>
      </c>
      <c r="K37" s="46">
        <v>1</v>
      </c>
      <c r="L37" s="46">
        <v>1</v>
      </c>
      <c r="M37" s="91">
        <v>1</v>
      </c>
      <c r="N37" s="92">
        <v>1</v>
      </c>
      <c r="O37" s="46">
        <v>1</v>
      </c>
      <c r="P37" s="46">
        <v>1</v>
      </c>
      <c r="Q37" s="46">
        <v>1</v>
      </c>
      <c r="R37" s="46">
        <v>1</v>
      </c>
      <c r="S37" s="46">
        <v>1</v>
      </c>
      <c r="T37" s="46">
        <v>1</v>
      </c>
      <c r="U37" s="46">
        <v>1</v>
      </c>
      <c r="V37" s="46">
        <v>1</v>
      </c>
      <c r="W37" s="46">
        <v>1</v>
      </c>
    </row>
    <row r="38" spans="1:23" x14ac:dyDescent="0.25">
      <c r="A38" s="46" t="s">
        <v>47</v>
      </c>
      <c r="B38" s="55" t="s">
        <v>64</v>
      </c>
      <c r="C38" s="59"/>
      <c r="D38" s="46">
        <v>0</v>
      </c>
      <c r="E38" s="46">
        <v>0</v>
      </c>
      <c r="F38" s="46">
        <v>0</v>
      </c>
      <c r="G38" s="46">
        <v>0</v>
      </c>
      <c r="H38" s="46">
        <v>0</v>
      </c>
      <c r="I38" s="46">
        <v>0</v>
      </c>
      <c r="J38" s="46">
        <v>0</v>
      </c>
      <c r="K38" s="46">
        <v>0</v>
      </c>
      <c r="L38" s="46">
        <v>0</v>
      </c>
      <c r="M38" s="91">
        <v>0</v>
      </c>
      <c r="N38" s="92">
        <v>0</v>
      </c>
      <c r="O38" s="46">
        <v>0</v>
      </c>
      <c r="P38" s="46">
        <v>0</v>
      </c>
      <c r="Q38" s="46">
        <v>0</v>
      </c>
      <c r="R38" s="46">
        <v>0</v>
      </c>
      <c r="S38" s="46">
        <v>0</v>
      </c>
      <c r="T38" s="46">
        <v>0</v>
      </c>
      <c r="U38" s="46">
        <v>0</v>
      </c>
      <c r="V38" s="46">
        <v>0</v>
      </c>
      <c r="W38" s="46">
        <v>0</v>
      </c>
    </row>
    <row r="39" spans="1:23" x14ac:dyDescent="0.25">
      <c r="A39" s="46" t="s">
        <v>48</v>
      </c>
      <c r="B39" s="55" t="s">
        <v>64</v>
      </c>
      <c r="C39" s="59"/>
      <c r="D39" s="46">
        <v>0</v>
      </c>
      <c r="E39" s="46">
        <v>0</v>
      </c>
      <c r="F39" s="46">
        <v>0</v>
      </c>
      <c r="G39" s="46">
        <v>0</v>
      </c>
      <c r="H39" s="46">
        <v>0</v>
      </c>
      <c r="I39" s="46">
        <v>0</v>
      </c>
      <c r="J39" s="46">
        <v>0</v>
      </c>
      <c r="K39" s="46">
        <v>0</v>
      </c>
      <c r="L39" s="46">
        <v>0</v>
      </c>
      <c r="M39" s="91">
        <v>0</v>
      </c>
      <c r="N39" s="92">
        <v>0</v>
      </c>
      <c r="O39" s="46">
        <v>0</v>
      </c>
      <c r="P39" s="46">
        <v>0</v>
      </c>
      <c r="Q39" s="46">
        <v>0</v>
      </c>
      <c r="R39" s="46">
        <v>0</v>
      </c>
      <c r="S39" s="46">
        <v>0</v>
      </c>
      <c r="T39" s="46">
        <v>0</v>
      </c>
      <c r="U39" s="46">
        <v>0</v>
      </c>
      <c r="V39" s="46">
        <v>0</v>
      </c>
      <c r="W39" s="46">
        <v>0</v>
      </c>
    </row>
    <row r="40" spans="1:23" x14ac:dyDescent="0.25">
      <c r="A40" s="46" t="s">
        <v>49</v>
      </c>
      <c r="B40" s="47" t="s">
        <v>57</v>
      </c>
      <c r="C40" s="59" t="s">
        <v>89</v>
      </c>
      <c r="D40" s="46">
        <v>0</v>
      </c>
      <c r="E40" s="46">
        <v>0</v>
      </c>
      <c r="F40" s="46">
        <v>0</v>
      </c>
      <c r="G40" s="46">
        <v>0</v>
      </c>
      <c r="H40" s="46">
        <v>0</v>
      </c>
      <c r="I40" s="46">
        <v>0</v>
      </c>
      <c r="J40" s="46">
        <v>0</v>
      </c>
      <c r="K40" s="46">
        <v>0</v>
      </c>
      <c r="L40" s="46">
        <v>0</v>
      </c>
      <c r="M40" s="91">
        <v>0</v>
      </c>
      <c r="N40" s="92">
        <v>0</v>
      </c>
      <c r="O40" s="46">
        <v>0</v>
      </c>
      <c r="P40" s="46">
        <v>0</v>
      </c>
      <c r="Q40" s="46">
        <v>0</v>
      </c>
      <c r="R40" s="46">
        <v>0</v>
      </c>
      <c r="S40" s="46">
        <v>0</v>
      </c>
      <c r="T40" s="46">
        <v>0</v>
      </c>
      <c r="U40" s="46">
        <v>0</v>
      </c>
      <c r="V40" s="46">
        <v>0</v>
      </c>
      <c r="W40" s="46">
        <v>0</v>
      </c>
    </row>
    <row r="41" spans="1:23" x14ac:dyDescent="0.25">
      <c r="A41" s="46" t="s">
        <v>50</v>
      </c>
      <c r="B41" s="54" t="s">
        <v>61</v>
      </c>
      <c r="C41" s="59" t="s">
        <v>89</v>
      </c>
      <c r="D41" s="46">
        <v>1</v>
      </c>
      <c r="E41" s="46">
        <v>1</v>
      </c>
      <c r="F41" s="46">
        <v>1</v>
      </c>
      <c r="G41" s="46">
        <v>1</v>
      </c>
      <c r="H41" s="46">
        <v>1</v>
      </c>
      <c r="I41" s="46">
        <v>0</v>
      </c>
      <c r="J41" s="46">
        <v>0</v>
      </c>
      <c r="K41" s="46">
        <v>0</v>
      </c>
      <c r="L41" s="46">
        <v>0</v>
      </c>
      <c r="M41" s="91">
        <v>0</v>
      </c>
      <c r="N41" s="92">
        <v>0</v>
      </c>
      <c r="O41" s="46">
        <v>0</v>
      </c>
      <c r="P41" s="46">
        <v>0</v>
      </c>
      <c r="Q41" s="46">
        <v>0</v>
      </c>
      <c r="R41" s="46">
        <v>0</v>
      </c>
      <c r="S41" s="46">
        <v>0</v>
      </c>
      <c r="T41" s="46">
        <v>0</v>
      </c>
      <c r="U41" s="46">
        <v>0</v>
      </c>
      <c r="V41" s="46">
        <v>0</v>
      </c>
      <c r="W41" s="46">
        <v>0</v>
      </c>
    </row>
    <row r="42" spans="1:23" x14ac:dyDescent="0.25">
      <c r="A42" s="46" t="s">
        <v>79</v>
      </c>
      <c r="B42" s="54" t="s">
        <v>59</v>
      </c>
      <c r="C42" s="59"/>
      <c r="D42" s="46">
        <v>1</v>
      </c>
      <c r="E42" s="46">
        <v>1</v>
      </c>
      <c r="F42" s="46">
        <v>1</v>
      </c>
      <c r="G42" s="46">
        <v>1</v>
      </c>
      <c r="H42" s="46">
        <v>1</v>
      </c>
      <c r="I42" s="46">
        <v>1</v>
      </c>
      <c r="J42" s="46">
        <v>1</v>
      </c>
      <c r="K42" s="46">
        <v>1</v>
      </c>
      <c r="L42" s="46">
        <v>1</v>
      </c>
      <c r="M42" s="91">
        <v>1</v>
      </c>
      <c r="N42" s="92">
        <v>1</v>
      </c>
      <c r="O42" s="46">
        <v>1</v>
      </c>
      <c r="P42" s="46">
        <v>1</v>
      </c>
      <c r="Q42" s="46">
        <v>1</v>
      </c>
      <c r="R42" s="46">
        <v>1</v>
      </c>
      <c r="S42" s="46">
        <v>1</v>
      </c>
      <c r="T42" s="46">
        <v>1</v>
      </c>
      <c r="U42" s="46">
        <v>1</v>
      </c>
      <c r="V42" s="46">
        <v>1</v>
      </c>
      <c r="W42" s="46">
        <v>1</v>
      </c>
    </row>
    <row r="43" spans="1:23" x14ac:dyDescent="0.25">
      <c r="A43" s="46" t="s">
        <v>80</v>
      </c>
      <c r="B43" s="47" t="s">
        <v>62</v>
      </c>
      <c r="C43" s="59"/>
      <c r="D43" s="46">
        <v>1</v>
      </c>
      <c r="E43" s="46">
        <v>1</v>
      </c>
      <c r="F43" s="46">
        <v>0</v>
      </c>
      <c r="G43" s="46">
        <v>0</v>
      </c>
      <c r="H43" s="46">
        <v>0</v>
      </c>
      <c r="I43" s="46">
        <v>0</v>
      </c>
      <c r="J43" s="46">
        <v>0</v>
      </c>
      <c r="K43" s="46">
        <v>0</v>
      </c>
      <c r="L43" s="46">
        <v>0</v>
      </c>
      <c r="M43" s="91">
        <v>0</v>
      </c>
      <c r="N43" s="92">
        <v>0</v>
      </c>
      <c r="O43" s="46">
        <v>0</v>
      </c>
      <c r="P43" s="46">
        <v>0</v>
      </c>
      <c r="Q43" s="46">
        <v>0</v>
      </c>
      <c r="R43" s="46">
        <v>0</v>
      </c>
      <c r="S43" s="46">
        <v>0</v>
      </c>
      <c r="T43" s="46">
        <v>0</v>
      </c>
      <c r="U43" s="46">
        <v>0</v>
      </c>
      <c r="V43" s="46">
        <v>0</v>
      </c>
      <c r="W43" s="46">
        <v>0</v>
      </c>
    </row>
    <row r="44" spans="1:23" x14ac:dyDescent="0.25">
      <c r="A44" s="46" t="s">
        <v>81</v>
      </c>
      <c r="B44" s="47" t="s">
        <v>57</v>
      </c>
      <c r="C44" s="59" t="s">
        <v>89</v>
      </c>
      <c r="D44" s="46">
        <v>1</v>
      </c>
      <c r="E44" s="46">
        <v>1</v>
      </c>
      <c r="F44" s="46">
        <v>1</v>
      </c>
      <c r="G44" s="46">
        <v>1</v>
      </c>
      <c r="H44" s="46">
        <v>1</v>
      </c>
      <c r="I44" s="46">
        <v>1</v>
      </c>
      <c r="J44" s="46">
        <v>1</v>
      </c>
      <c r="K44" s="46">
        <v>0</v>
      </c>
      <c r="L44" s="46">
        <v>0</v>
      </c>
      <c r="M44" s="91">
        <v>0</v>
      </c>
      <c r="N44" s="92">
        <v>0</v>
      </c>
      <c r="O44" s="46">
        <v>0</v>
      </c>
      <c r="P44" s="46">
        <v>0</v>
      </c>
      <c r="Q44" s="46">
        <v>0</v>
      </c>
      <c r="R44" s="46">
        <v>0</v>
      </c>
      <c r="S44" s="46">
        <v>0</v>
      </c>
      <c r="T44" s="46">
        <v>0</v>
      </c>
      <c r="U44" s="46">
        <v>0</v>
      </c>
      <c r="V44" s="46">
        <v>0</v>
      </c>
      <c r="W44" s="46">
        <v>0</v>
      </c>
    </row>
    <row r="45" spans="1:23" x14ac:dyDescent="0.25">
      <c r="A45" s="46" t="s">
        <v>51</v>
      </c>
      <c r="B45" s="47" t="s">
        <v>56</v>
      </c>
      <c r="C45" s="59"/>
      <c r="D45" s="46">
        <v>1</v>
      </c>
      <c r="E45" s="46">
        <v>1</v>
      </c>
      <c r="F45" s="46">
        <v>0</v>
      </c>
      <c r="G45" s="46">
        <v>0</v>
      </c>
      <c r="H45" s="46">
        <v>0</v>
      </c>
      <c r="I45" s="46">
        <v>0</v>
      </c>
      <c r="J45" s="46">
        <v>0</v>
      </c>
      <c r="K45" s="46">
        <v>0</v>
      </c>
      <c r="L45" s="46">
        <v>0</v>
      </c>
      <c r="M45" s="91">
        <v>0</v>
      </c>
      <c r="N45" s="92">
        <v>0</v>
      </c>
      <c r="O45" s="46">
        <v>0</v>
      </c>
      <c r="P45" s="46">
        <v>0</v>
      </c>
      <c r="Q45" s="46">
        <v>0</v>
      </c>
      <c r="R45" s="46">
        <v>0</v>
      </c>
      <c r="S45" s="46">
        <v>0</v>
      </c>
      <c r="T45" s="46">
        <v>0</v>
      </c>
      <c r="U45" s="46">
        <v>0</v>
      </c>
      <c r="V45" s="46">
        <v>0</v>
      </c>
      <c r="W45" s="46">
        <v>0</v>
      </c>
    </row>
    <row r="46" spans="1:23" x14ac:dyDescent="0.25">
      <c r="A46" s="46" t="s">
        <v>52</v>
      </c>
      <c r="B46" s="47" t="s">
        <v>56</v>
      </c>
      <c r="C46" s="59"/>
      <c r="D46" s="46">
        <v>1</v>
      </c>
      <c r="E46" s="46">
        <v>1</v>
      </c>
      <c r="F46" s="46">
        <v>0</v>
      </c>
      <c r="G46" s="46">
        <v>0</v>
      </c>
      <c r="H46" s="46">
        <v>0</v>
      </c>
      <c r="I46" s="46">
        <v>0</v>
      </c>
      <c r="J46" s="46">
        <v>0</v>
      </c>
      <c r="K46" s="46">
        <v>0</v>
      </c>
      <c r="L46" s="46">
        <v>0</v>
      </c>
      <c r="M46" s="91">
        <v>0</v>
      </c>
      <c r="N46" s="92">
        <v>0</v>
      </c>
      <c r="O46" s="46">
        <v>0</v>
      </c>
      <c r="P46" s="46">
        <v>0</v>
      </c>
      <c r="Q46" s="46">
        <v>0</v>
      </c>
      <c r="R46" s="46">
        <v>0</v>
      </c>
      <c r="S46" s="46">
        <v>0</v>
      </c>
      <c r="T46" s="46">
        <v>0</v>
      </c>
      <c r="U46" s="46">
        <v>0</v>
      </c>
      <c r="V46" s="46">
        <v>0</v>
      </c>
      <c r="W46" s="46">
        <v>0</v>
      </c>
    </row>
    <row r="47" spans="1:23" x14ac:dyDescent="0.25">
      <c r="A47" s="46" t="s">
        <v>53</v>
      </c>
      <c r="B47" s="47" t="s">
        <v>56</v>
      </c>
      <c r="C47" s="59"/>
      <c r="D47" s="46">
        <v>1</v>
      </c>
      <c r="E47" s="46">
        <v>1</v>
      </c>
      <c r="F47" s="46">
        <v>0</v>
      </c>
      <c r="G47" s="46">
        <v>0</v>
      </c>
      <c r="H47" s="46">
        <v>0</v>
      </c>
      <c r="I47" s="46">
        <v>0</v>
      </c>
      <c r="J47" s="46">
        <v>0</v>
      </c>
      <c r="K47" s="46">
        <v>0</v>
      </c>
      <c r="L47" s="46">
        <v>0</v>
      </c>
      <c r="M47" s="91">
        <v>0</v>
      </c>
      <c r="N47" s="92">
        <v>0</v>
      </c>
      <c r="O47" s="46">
        <v>0</v>
      </c>
      <c r="P47" s="46">
        <v>0</v>
      </c>
      <c r="Q47" s="46">
        <v>0</v>
      </c>
      <c r="R47" s="46">
        <v>0</v>
      </c>
      <c r="S47" s="46">
        <v>0</v>
      </c>
      <c r="T47" s="46">
        <v>0</v>
      </c>
      <c r="U47" s="46">
        <v>0</v>
      </c>
      <c r="V47" s="46">
        <v>0</v>
      </c>
      <c r="W47" s="46">
        <v>0</v>
      </c>
    </row>
    <row r="48" spans="1:23" x14ac:dyDescent="0.25">
      <c r="A48" s="46" t="s">
        <v>54</v>
      </c>
      <c r="B48" s="47" t="s">
        <v>57</v>
      </c>
      <c r="C48" s="59"/>
      <c r="D48" s="46">
        <v>1</v>
      </c>
      <c r="E48" s="46">
        <v>0</v>
      </c>
      <c r="F48" s="46">
        <v>0</v>
      </c>
      <c r="G48" s="46">
        <v>0</v>
      </c>
      <c r="H48" s="46">
        <v>0</v>
      </c>
      <c r="I48" s="46">
        <v>0</v>
      </c>
      <c r="J48" s="46">
        <v>0</v>
      </c>
      <c r="K48" s="46">
        <v>0</v>
      </c>
      <c r="L48" s="46">
        <v>0</v>
      </c>
      <c r="M48" s="91">
        <v>0</v>
      </c>
      <c r="N48" s="92">
        <v>0</v>
      </c>
      <c r="O48" s="46">
        <v>0</v>
      </c>
      <c r="P48" s="46">
        <v>0</v>
      </c>
      <c r="Q48" s="46">
        <v>0</v>
      </c>
      <c r="R48" s="46">
        <v>0</v>
      </c>
      <c r="S48" s="46">
        <v>0</v>
      </c>
      <c r="T48" s="46">
        <v>0</v>
      </c>
      <c r="U48" s="46">
        <v>0</v>
      </c>
      <c r="V48" s="46">
        <v>0</v>
      </c>
      <c r="W48" s="46">
        <v>0</v>
      </c>
    </row>
    <row r="49" spans="1:23" x14ac:dyDescent="0.25">
      <c r="A49" s="110" t="s">
        <v>108</v>
      </c>
      <c r="B49" s="37" t="str">
        <f>New_missions!B14</f>
        <v>Human Space Flight</v>
      </c>
      <c r="C49" s="37" t="str">
        <f>New_missions!C14</f>
        <v>-</v>
      </c>
      <c r="D49" s="37">
        <f>New_missions!D14+New_missions!D26</f>
        <v>0.1</v>
      </c>
      <c r="E49" s="37">
        <f>New_missions!E14+New_missions!E26</f>
        <v>0.2</v>
      </c>
      <c r="F49" s="37">
        <f>New_missions!F14+New_missions!F26</f>
        <v>0.30000000000000004</v>
      </c>
      <c r="G49" s="37">
        <f>New_missions!G14+New_missions!G26</f>
        <v>0.4</v>
      </c>
      <c r="H49" s="37">
        <f>New_missions!H14+New_missions!H26</f>
        <v>0.5</v>
      </c>
      <c r="I49" s="37">
        <f>New_missions!I14+New_missions!I26</f>
        <v>0.6</v>
      </c>
      <c r="J49" s="37">
        <f>New_missions!J14+New_missions!J26</f>
        <v>0.7</v>
      </c>
      <c r="K49" s="37">
        <f>New_missions!K14+New_missions!K26</f>
        <v>0.79999999999999993</v>
      </c>
      <c r="L49" s="37">
        <f>New_missions!L14+New_missions!L26</f>
        <v>0.89999999999999991</v>
      </c>
      <c r="M49" s="37">
        <f>New_missions!M14+New_missions!M26</f>
        <v>0.99999999999999989</v>
      </c>
      <c r="N49" s="37">
        <f>New_missions!N14+New_missions!N26</f>
        <v>3</v>
      </c>
      <c r="O49" s="37">
        <f>New_missions!O14+New_missions!O26</f>
        <v>3</v>
      </c>
      <c r="P49" s="37">
        <f>New_missions!P14+New_missions!P26</f>
        <v>3</v>
      </c>
      <c r="Q49" s="37">
        <f>New_missions!Q14+New_missions!Q26</f>
        <v>3</v>
      </c>
      <c r="R49" s="37">
        <f>New_missions!R14+New_missions!R26</f>
        <v>3</v>
      </c>
      <c r="S49" s="37">
        <f>New_missions!S14+New_missions!S26</f>
        <v>3</v>
      </c>
      <c r="T49" s="37">
        <f>New_missions!T14+New_missions!T26</f>
        <v>3</v>
      </c>
      <c r="U49" s="37">
        <f>New_missions!U14+New_missions!U26</f>
        <v>3</v>
      </c>
      <c r="V49" s="37">
        <f>New_missions!V14+New_missions!V26</f>
        <v>3</v>
      </c>
      <c r="W49" s="37">
        <f>New_missions!W14+New_missions!W26</f>
        <v>3</v>
      </c>
    </row>
    <row r="50" spans="1:23" x14ac:dyDescent="0.25">
      <c r="A50" s="110" t="s">
        <v>108</v>
      </c>
      <c r="B50" s="37" t="str">
        <f>New_missions!B15</f>
        <v>Near Earth Robotic - LEO Science</v>
      </c>
      <c r="C50" s="37" t="str">
        <f>New_missions!C15</f>
        <v>-</v>
      </c>
      <c r="D50" s="37">
        <f>New_missions!D15+New_missions!D27</f>
        <v>0.6</v>
      </c>
      <c r="E50" s="37">
        <f>New_missions!E15+New_missions!E27</f>
        <v>3.2</v>
      </c>
      <c r="F50" s="37">
        <f>New_missions!F15+New_missions!F27</f>
        <v>4.8</v>
      </c>
      <c r="G50" s="37">
        <f>New_missions!G15+New_missions!G27</f>
        <v>7.4</v>
      </c>
      <c r="H50" s="37">
        <f>New_missions!H15+New_missions!H27</f>
        <v>11</v>
      </c>
      <c r="I50" s="37">
        <f>New_missions!I15+New_missions!I27</f>
        <v>14.6</v>
      </c>
      <c r="J50" s="37">
        <f>New_missions!J15+New_missions!J27</f>
        <v>18.2</v>
      </c>
      <c r="K50" s="37">
        <f>New_missions!K15+New_missions!K27</f>
        <v>20.8</v>
      </c>
      <c r="L50" s="37">
        <f>New_missions!L15+New_missions!L27</f>
        <v>21.4</v>
      </c>
      <c r="M50" s="37">
        <f>New_missions!M15+New_missions!M27</f>
        <v>22</v>
      </c>
      <c r="N50" s="37">
        <f>New_missions!N15+New_missions!N27</f>
        <v>22</v>
      </c>
      <c r="O50" s="37">
        <f>New_missions!O15+New_missions!O27</f>
        <v>22</v>
      </c>
      <c r="P50" s="37">
        <f>New_missions!P15+New_missions!P27</f>
        <v>22</v>
      </c>
      <c r="Q50" s="37">
        <f>New_missions!Q15+New_missions!Q27</f>
        <v>22</v>
      </c>
      <c r="R50" s="37">
        <f>New_missions!R15+New_missions!R27</f>
        <v>22</v>
      </c>
      <c r="S50" s="37">
        <f>New_missions!S15+New_missions!S27</f>
        <v>22</v>
      </c>
      <c r="T50" s="37">
        <f>New_missions!T15+New_missions!T27</f>
        <v>22</v>
      </c>
      <c r="U50" s="37">
        <f>New_missions!U15+New_missions!U27</f>
        <v>22</v>
      </c>
      <c r="V50" s="37">
        <f>New_missions!V15+New_missions!V27</f>
        <v>22</v>
      </c>
      <c r="W50" s="37">
        <f>New_missions!W15+New_missions!W27</f>
        <v>22</v>
      </c>
    </row>
    <row r="51" spans="1:23" x14ac:dyDescent="0.25">
      <c r="A51" s="110" t="s">
        <v>108</v>
      </c>
      <c r="B51" s="37" t="str">
        <f>New_missions!B16</f>
        <v>Near Earth Robotic - GEO and Near Earth</v>
      </c>
      <c r="C51" s="37" t="str">
        <f>New_missions!C16</f>
        <v>-</v>
      </c>
      <c r="D51" s="37">
        <f>New_missions!D16+New_missions!D28</f>
        <v>0.2</v>
      </c>
      <c r="E51" s="37">
        <f>New_missions!E16+New_missions!E28</f>
        <v>0.4</v>
      </c>
      <c r="F51" s="37">
        <f>New_missions!F16+New_missions!F28</f>
        <v>4.5999999999999996</v>
      </c>
      <c r="G51" s="37">
        <f>New_missions!G16+New_missions!G28</f>
        <v>4.8</v>
      </c>
      <c r="H51" s="37">
        <f>New_missions!H16+New_missions!H28</f>
        <v>5</v>
      </c>
      <c r="I51" s="37">
        <f>New_missions!I16+New_missions!I28</f>
        <v>5.2</v>
      </c>
      <c r="J51" s="37">
        <f>New_missions!J16+New_missions!J28</f>
        <v>5.4</v>
      </c>
      <c r="K51" s="37">
        <f>New_missions!K16+New_missions!K28</f>
        <v>5.6</v>
      </c>
      <c r="L51" s="37">
        <f>New_missions!L16+New_missions!L28</f>
        <v>5.8</v>
      </c>
      <c r="M51" s="37">
        <f>New_missions!M16+New_missions!M28</f>
        <v>6</v>
      </c>
      <c r="N51" s="37">
        <f>New_missions!N16+New_missions!N28</f>
        <v>6</v>
      </c>
      <c r="O51" s="37">
        <f>New_missions!O16+New_missions!O28</f>
        <v>6</v>
      </c>
      <c r="P51" s="37">
        <f>New_missions!P16+New_missions!P28</f>
        <v>6</v>
      </c>
      <c r="Q51" s="37">
        <f>New_missions!Q16+New_missions!Q28</f>
        <v>6</v>
      </c>
      <c r="R51" s="37">
        <f>New_missions!R16+New_missions!R28</f>
        <v>6</v>
      </c>
      <c r="S51" s="37">
        <f>New_missions!S16+New_missions!S28</f>
        <v>6</v>
      </c>
      <c r="T51" s="37">
        <f>New_missions!T16+New_missions!T28</f>
        <v>6</v>
      </c>
      <c r="U51" s="37">
        <f>New_missions!U16+New_missions!U28</f>
        <v>6</v>
      </c>
      <c r="V51" s="37">
        <f>New_missions!V16+New_missions!V28</f>
        <v>6</v>
      </c>
      <c r="W51" s="37">
        <f>New_missions!W16+New_missions!W28</f>
        <v>6</v>
      </c>
    </row>
    <row r="52" spans="1:23" x14ac:dyDescent="0.25">
      <c r="A52" s="110" t="s">
        <v>108</v>
      </c>
      <c r="B52" s="37" t="str">
        <f>New_missions!B17</f>
        <v>Deep Space Robotic</v>
      </c>
      <c r="C52" s="37" t="str">
        <f>New_missions!C17</f>
        <v>-</v>
      </c>
      <c r="D52" s="37">
        <f>New_missions!D17+New_missions!D29</f>
        <v>0</v>
      </c>
      <c r="E52" s="37">
        <f>New_missions!E17+New_missions!E29</f>
        <v>0</v>
      </c>
      <c r="F52" s="37">
        <f>New_missions!F17+New_missions!F29</f>
        <v>0</v>
      </c>
      <c r="G52" s="37">
        <f>New_missions!G17+New_missions!G29</f>
        <v>0</v>
      </c>
      <c r="H52" s="37">
        <f>New_missions!H17+New_missions!H29</f>
        <v>0</v>
      </c>
      <c r="I52" s="37">
        <f>New_missions!I17+New_missions!I29</f>
        <v>0</v>
      </c>
      <c r="J52" s="37">
        <f>New_missions!J17+New_missions!J29</f>
        <v>0</v>
      </c>
      <c r="K52" s="37">
        <f>New_missions!K17+New_missions!K29</f>
        <v>0</v>
      </c>
      <c r="L52" s="37">
        <f>New_missions!L17+New_missions!L29</f>
        <v>0</v>
      </c>
      <c r="M52" s="37">
        <f>New_missions!M17+New_missions!M29</f>
        <v>0</v>
      </c>
      <c r="N52" s="37">
        <f>New_missions!N17+New_missions!N29</f>
        <v>0</v>
      </c>
      <c r="O52" s="37">
        <f>New_missions!O17+New_missions!O29</f>
        <v>0</v>
      </c>
      <c r="P52" s="37">
        <f>New_missions!P17+New_missions!P29</f>
        <v>0</v>
      </c>
      <c r="Q52" s="37">
        <f>New_missions!Q17+New_missions!Q29</f>
        <v>0</v>
      </c>
      <c r="R52" s="37">
        <f>New_missions!R17+New_missions!R29</f>
        <v>0</v>
      </c>
      <c r="S52" s="37">
        <f>New_missions!S17+New_missions!S29</f>
        <v>0</v>
      </c>
      <c r="T52" s="37">
        <f>New_missions!T17+New_missions!T29</f>
        <v>0</v>
      </c>
      <c r="U52" s="37">
        <f>New_missions!U17+New_missions!U29</f>
        <v>0</v>
      </c>
      <c r="V52" s="37">
        <f>New_missions!V17+New_missions!V29</f>
        <v>0</v>
      </c>
      <c r="W52" s="37">
        <f>New_missions!W17+New_missions!W29</f>
        <v>0</v>
      </c>
    </row>
    <row r="53" spans="1:23" x14ac:dyDescent="0.25">
      <c r="A53" s="110" t="s">
        <v>108</v>
      </c>
      <c r="B53" s="37" t="str">
        <f>New_missions!B18</f>
        <v>Near Earth Robotic - Low Latency &amp; Complex Needs</v>
      </c>
      <c r="C53" s="37" t="str">
        <f>New_missions!C18</f>
        <v>-</v>
      </c>
      <c r="D53" s="37">
        <f>New_missions!D18+New_missions!D30</f>
        <v>0</v>
      </c>
      <c r="E53" s="37">
        <f>New_missions!E18+New_missions!E30</f>
        <v>0</v>
      </c>
      <c r="F53" s="37">
        <f>New_missions!F18+New_missions!F30</f>
        <v>0</v>
      </c>
      <c r="G53" s="37">
        <f>New_missions!G18+New_missions!G30</f>
        <v>0</v>
      </c>
      <c r="H53" s="37">
        <f>New_missions!H18+New_missions!H30</f>
        <v>1</v>
      </c>
      <c r="I53" s="37">
        <f>New_missions!I18+New_missions!I30</f>
        <v>1</v>
      </c>
      <c r="J53" s="37">
        <f>New_missions!J18+New_missions!J30</f>
        <v>1</v>
      </c>
      <c r="K53" s="37">
        <f>New_missions!K18+New_missions!K30</f>
        <v>1</v>
      </c>
      <c r="L53" s="37">
        <f>New_missions!L18+New_missions!L30</f>
        <v>1</v>
      </c>
      <c r="M53" s="37">
        <f>New_missions!M18+New_missions!M30</f>
        <v>1</v>
      </c>
      <c r="N53" s="37">
        <f>New_missions!N18+New_missions!N30</f>
        <v>1</v>
      </c>
      <c r="O53" s="37">
        <f>New_missions!O18+New_missions!O30</f>
        <v>1</v>
      </c>
      <c r="P53" s="37">
        <f>New_missions!P18+New_missions!P30</f>
        <v>1</v>
      </c>
      <c r="Q53" s="37">
        <f>New_missions!Q18+New_missions!Q30</f>
        <v>1</v>
      </c>
      <c r="R53" s="37">
        <f>New_missions!R18+New_missions!R30</f>
        <v>1</v>
      </c>
      <c r="S53" s="37">
        <f>New_missions!S18+New_missions!S30</f>
        <v>1</v>
      </c>
      <c r="T53" s="37">
        <f>New_missions!T18+New_missions!T30</f>
        <v>1</v>
      </c>
      <c r="U53" s="37">
        <f>New_missions!U18+New_missions!U30</f>
        <v>1</v>
      </c>
      <c r="V53" s="37">
        <f>New_missions!V18+New_missions!V30</f>
        <v>1</v>
      </c>
      <c r="W53" s="37">
        <f>New_missions!W18+New_missions!W30</f>
        <v>1</v>
      </c>
    </row>
    <row r="54" spans="1:23" x14ac:dyDescent="0.25">
      <c r="A54" s="110" t="s">
        <v>108</v>
      </c>
      <c r="B54" s="37" t="str">
        <f>New_missions!B19</f>
        <v>Mission Operations</v>
      </c>
      <c r="C54" s="37" t="str">
        <f>New_missions!C19</f>
        <v>-</v>
      </c>
      <c r="D54" s="37">
        <f>New_missions!D19+New_missions!D31</f>
        <v>0</v>
      </c>
      <c r="E54" s="37">
        <f>New_missions!E19+New_missions!E31</f>
        <v>0</v>
      </c>
      <c r="F54" s="37">
        <f>New_missions!F19+New_missions!F31</f>
        <v>0</v>
      </c>
      <c r="G54" s="37">
        <f>New_missions!G19+New_missions!G31</f>
        <v>0</v>
      </c>
      <c r="H54" s="37">
        <f>New_missions!H19+New_missions!H31</f>
        <v>0</v>
      </c>
      <c r="I54" s="37">
        <f>New_missions!I19+New_missions!I31</f>
        <v>0</v>
      </c>
      <c r="J54" s="37">
        <f>New_missions!J19+New_missions!J31</f>
        <v>0</v>
      </c>
      <c r="K54" s="37">
        <f>New_missions!K19+New_missions!K31</f>
        <v>0</v>
      </c>
      <c r="L54" s="37">
        <f>New_missions!L19+New_missions!L31</f>
        <v>0</v>
      </c>
      <c r="M54" s="37">
        <f>New_missions!M19+New_missions!M31</f>
        <v>0</v>
      </c>
      <c r="N54" s="37">
        <f>New_missions!N19+New_missions!N31</f>
        <v>0</v>
      </c>
      <c r="O54" s="37">
        <f>New_missions!O19+New_missions!O31</f>
        <v>0</v>
      </c>
      <c r="P54" s="37">
        <f>New_missions!P19+New_missions!P31</f>
        <v>0</v>
      </c>
      <c r="Q54" s="37">
        <f>New_missions!Q19+New_missions!Q31</f>
        <v>0</v>
      </c>
      <c r="R54" s="37">
        <f>New_missions!R19+New_missions!R31</f>
        <v>0</v>
      </c>
      <c r="S54" s="37">
        <f>New_missions!S19+New_missions!S31</f>
        <v>0</v>
      </c>
      <c r="T54" s="37">
        <f>New_missions!T19+New_missions!T31</f>
        <v>0</v>
      </c>
      <c r="U54" s="37">
        <f>New_missions!U19+New_missions!U31</f>
        <v>0</v>
      </c>
      <c r="V54" s="37">
        <f>New_missions!V19+New_missions!V31</f>
        <v>0</v>
      </c>
      <c r="W54" s="37">
        <f>New_missions!W19+New_missions!W31</f>
        <v>0</v>
      </c>
    </row>
    <row r="55" spans="1:23" x14ac:dyDescent="0.25">
      <c r="A55" s="110" t="s">
        <v>108</v>
      </c>
      <c r="B55" s="37" t="str">
        <f>New_missions!B20</f>
        <v>Launch Events</v>
      </c>
      <c r="C55" s="37" t="str">
        <f>New_missions!C20</f>
        <v>-</v>
      </c>
      <c r="D55" s="37">
        <f>New_missions!D20+New_missions!D32</f>
        <v>0.2</v>
      </c>
      <c r="E55" s="37">
        <f>New_missions!E20+New_missions!E32</f>
        <v>0.4</v>
      </c>
      <c r="F55" s="37">
        <f>New_missions!F20+New_missions!F32</f>
        <v>0.60000000000000009</v>
      </c>
      <c r="G55" s="37">
        <f>New_missions!G20+New_missions!G32</f>
        <v>0.8</v>
      </c>
      <c r="H55" s="37">
        <f>New_missions!H20+New_missions!H32</f>
        <v>2</v>
      </c>
      <c r="I55" s="37">
        <f>New_missions!I20+New_missions!I32</f>
        <v>2.2000000000000002</v>
      </c>
      <c r="J55" s="37">
        <f>New_missions!J20+New_missions!J32</f>
        <v>2.4</v>
      </c>
      <c r="K55" s="37">
        <f>New_missions!K20+New_missions!K32</f>
        <v>2.5999999999999996</v>
      </c>
      <c r="L55" s="37">
        <f>New_missions!L20+New_missions!L32</f>
        <v>2.8</v>
      </c>
      <c r="M55" s="37">
        <f>New_missions!M20+New_missions!M32</f>
        <v>3</v>
      </c>
      <c r="N55" s="37">
        <f>New_missions!N20+New_missions!N32</f>
        <v>3</v>
      </c>
      <c r="O55" s="37">
        <f>New_missions!O20+New_missions!O32</f>
        <v>3</v>
      </c>
      <c r="P55" s="37">
        <f>New_missions!P20+New_missions!P32</f>
        <v>3</v>
      </c>
      <c r="Q55" s="37">
        <f>New_missions!Q20+New_missions!Q32</f>
        <v>3</v>
      </c>
      <c r="R55" s="37">
        <f>New_missions!R20+New_missions!R32</f>
        <v>3</v>
      </c>
      <c r="S55" s="37">
        <f>New_missions!S20+New_missions!S32</f>
        <v>3</v>
      </c>
      <c r="T55" s="37">
        <f>New_missions!T20+New_missions!T32</f>
        <v>3</v>
      </c>
      <c r="U55" s="37">
        <f>New_missions!U20+New_missions!U32</f>
        <v>3</v>
      </c>
      <c r="V55" s="37">
        <f>New_missions!V20+New_missions!V32</f>
        <v>3</v>
      </c>
      <c r="W55" s="37">
        <f>New_missions!W20+New_missions!W32</f>
        <v>3</v>
      </c>
    </row>
    <row r="56" spans="1:23" x14ac:dyDescent="0.25">
      <c r="A56" s="110" t="s">
        <v>108</v>
      </c>
      <c r="B56" s="37" t="str">
        <f>New_missions!B21</f>
        <v>Terrestrial &amp; Aerial</v>
      </c>
      <c r="C56" s="37" t="str">
        <f>New_missions!C21</f>
        <v>-</v>
      </c>
      <c r="D56" s="37">
        <f>New_missions!D21+New_missions!D33</f>
        <v>0.1</v>
      </c>
      <c r="E56" s="37">
        <f>New_missions!E21+New_missions!E33</f>
        <v>1.2</v>
      </c>
      <c r="F56" s="37">
        <f>New_missions!F21+New_missions!F33</f>
        <v>1.3</v>
      </c>
      <c r="G56" s="37">
        <f>New_missions!G21+New_missions!G33</f>
        <v>1.4</v>
      </c>
      <c r="H56" s="37">
        <f>New_missions!H21+New_missions!H33</f>
        <v>1.5</v>
      </c>
      <c r="I56" s="37">
        <f>New_missions!I21+New_missions!I33</f>
        <v>2.6</v>
      </c>
      <c r="J56" s="37">
        <f>New_missions!J21+New_missions!J33</f>
        <v>2.7</v>
      </c>
      <c r="K56" s="37">
        <f>New_missions!K21+New_missions!K33</f>
        <v>2.8</v>
      </c>
      <c r="L56" s="37">
        <f>New_missions!L21+New_missions!L33</f>
        <v>2.9</v>
      </c>
      <c r="M56" s="37">
        <f>New_missions!M21+New_missions!M33</f>
        <v>3</v>
      </c>
      <c r="N56" s="37">
        <f>New_missions!N21+New_missions!N33</f>
        <v>3</v>
      </c>
      <c r="O56" s="37">
        <f>New_missions!O21+New_missions!O33</f>
        <v>3</v>
      </c>
      <c r="P56" s="37">
        <f>New_missions!P21+New_missions!P33</f>
        <v>3</v>
      </c>
      <c r="Q56" s="37">
        <f>New_missions!Q21+New_missions!Q33</f>
        <v>3</v>
      </c>
      <c r="R56" s="37">
        <f>New_missions!R21+New_missions!R33</f>
        <v>3</v>
      </c>
      <c r="S56" s="37">
        <f>New_missions!S21+New_missions!S33</f>
        <v>3</v>
      </c>
      <c r="T56" s="37">
        <f>New_missions!T21+New_missions!T33</f>
        <v>3</v>
      </c>
      <c r="U56" s="37">
        <f>New_missions!U21+New_missions!U33</f>
        <v>3</v>
      </c>
      <c r="V56" s="37">
        <f>New_missions!V21+New_missions!V33</f>
        <v>3</v>
      </c>
      <c r="W56" s="37">
        <f>New_missions!W21+New_missions!W33</f>
        <v>3</v>
      </c>
    </row>
    <row r="57" spans="1:23" x14ac:dyDescent="0.25">
      <c r="A57" s="104"/>
      <c r="B57" s="111"/>
    </row>
    <row r="58" spans="1:23" x14ac:dyDescent="0.25">
      <c r="A58" s="104"/>
      <c r="B58" s="111"/>
      <c r="D58" s="113">
        <f>SUM(D2:D56)</f>
        <v>43.20000000000001</v>
      </c>
      <c r="E58" s="113">
        <f>SUM(E2:E56)</f>
        <v>43.400000000000006</v>
      </c>
      <c r="F58" s="113">
        <f t="shared" ref="F58:W58" si="0">SUM(F2:F56)</f>
        <v>43.599999999999994</v>
      </c>
      <c r="G58" s="113">
        <f t="shared" si="0"/>
        <v>43.79999999999999</v>
      </c>
      <c r="H58" s="113">
        <f t="shared" si="0"/>
        <v>45</v>
      </c>
      <c r="I58" s="113">
        <f t="shared" si="0"/>
        <v>46.20000000000001</v>
      </c>
      <c r="J58" s="113">
        <f t="shared" si="0"/>
        <v>47.4</v>
      </c>
      <c r="K58" s="113">
        <f t="shared" si="0"/>
        <v>48.6</v>
      </c>
      <c r="L58" s="113">
        <f t="shared" si="0"/>
        <v>49.79999999999999</v>
      </c>
      <c r="M58" s="114">
        <f t="shared" si="0"/>
        <v>51</v>
      </c>
      <c r="N58" s="113">
        <f t="shared" si="0"/>
        <v>51</v>
      </c>
      <c r="O58" s="113">
        <f t="shared" si="0"/>
        <v>51</v>
      </c>
      <c r="P58" s="113">
        <f t="shared" si="0"/>
        <v>51</v>
      </c>
      <c r="Q58" s="113">
        <f t="shared" si="0"/>
        <v>51</v>
      </c>
      <c r="R58" s="113">
        <f t="shared" si="0"/>
        <v>51</v>
      </c>
      <c r="S58" s="113">
        <f t="shared" si="0"/>
        <v>51</v>
      </c>
      <c r="T58" s="113">
        <f t="shared" si="0"/>
        <v>51</v>
      </c>
      <c r="U58" s="113">
        <f t="shared" si="0"/>
        <v>51</v>
      </c>
      <c r="V58" s="113">
        <f t="shared" si="0"/>
        <v>51</v>
      </c>
      <c r="W58" s="113">
        <f t="shared" si="0"/>
        <v>51</v>
      </c>
    </row>
    <row r="59" spans="1:23" ht="14.4" thickBot="1" x14ac:dyDescent="0.3">
      <c r="B59" s="3" t="s">
        <v>8</v>
      </c>
    </row>
    <row r="60" spans="1:23" x14ac:dyDescent="0.25">
      <c r="B60" s="75" t="s">
        <v>102</v>
      </c>
      <c r="D60" s="76">
        <f>D1</f>
        <v>2021</v>
      </c>
      <c r="E60" s="76">
        <f t="shared" ref="E60:W60" si="1">E1</f>
        <v>2022</v>
      </c>
      <c r="F60" s="76">
        <f t="shared" si="1"/>
        <v>2023</v>
      </c>
      <c r="G60" s="76">
        <f t="shared" si="1"/>
        <v>2024</v>
      </c>
      <c r="H60" s="76">
        <f t="shared" si="1"/>
        <v>2025</v>
      </c>
      <c r="I60" s="76">
        <f t="shared" si="1"/>
        <v>2026</v>
      </c>
      <c r="J60" s="76">
        <f t="shared" si="1"/>
        <v>2027</v>
      </c>
      <c r="K60" s="76">
        <f t="shared" si="1"/>
        <v>2028</v>
      </c>
      <c r="L60" s="76">
        <f t="shared" si="1"/>
        <v>2029</v>
      </c>
      <c r="M60" s="93">
        <f t="shared" si="1"/>
        <v>2030</v>
      </c>
      <c r="N60" s="94">
        <f t="shared" si="1"/>
        <v>2031</v>
      </c>
      <c r="O60" s="76">
        <f t="shared" si="1"/>
        <v>2032</v>
      </c>
      <c r="P60" s="76">
        <f t="shared" si="1"/>
        <v>2033</v>
      </c>
      <c r="Q60" s="76">
        <f t="shared" si="1"/>
        <v>2034</v>
      </c>
      <c r="R60" s="76">
        <f t="shared" si="1"/>
        <v>2035</v>
      </c>
      <c r="S60" s="76">
        <f t="shared" si="1"/>
        <v>2036</v>
      </c>
      <c r="T60" s="76">
        <f t="shared" si="1"/>
        <v>2037</v>
      </c>
      <c r="U60" s="76">
        <f t="shared" si="1"/>
        <v>2038</v>
      </c>
      <c r="V60" s="76">
        <f t="shared" si="1"/>
        <v>2039</v>
      </c>
      <c r="W60" s="76">
        <f t="shared" si="1"/>
        <v>2040</v>
      </c>
    </row>
    <row r="61" spans="1:23" x14ac:dyDescent="0.25">
      <c r="B61" s="50" t="s">
        <v>59</v>
      </c>
      <c r="D61" s="51">
        <f>SUMIF($B$2:$B$56,$B61,D$2:D$56)</f>
        <v>6.1</v>
      </c>
      <c r="E61" s="51">
        <f t="shared" ref="E61:W68" si="2">SUMIF($B$2:$B$56,$B61,E$2:E$56)</f>
        <v>6.2</v>
      </c>
      <c r="F61" s="51">
        <f t="shared" si="2"/>
        <v>6.3</v>
      </c>
      <c r="G61" s="51">
        <f t="shared" si="2"/>
        <v>6.4</v>
      </c>
      <c r="H61" s="51">
        <f t="shared" si="2"/>
        <v>6.5</v>
      </c>
      <c r="I61" s="51">
        <f t="shared" si="2"/>
        <v>6.6</v>
      </c>
      <c r="J61" s="51">
        <f t="shared" si="2"/>
        <v>6.7</v>
      </c>
      <c r="K61" s="51">
        <f t="shared" si="2"/>
        <v>6.8</v>
      </c>
      <c r="L61" s="51">
        <f>SUMIF($B$2:$B$56,$B61,L$2:L$56)</f>
        <v>6.9</v>
      </c>
      <c r="M61" s="51">
        <f t="shared" si="2"/>
        <v>7</v>
      </c>
      <c r="N61" s="51">
        <f t="shared" si="2"/>
        <v>7</v>
      </c>
      <c r="O61" s="51">
        <f t="shared" si="2"/>
        <v>7</v>
      </c>
      <c r="P61" s="51">
        <f t="shared" si="2"/>
        <v>7</v>
      </c>
      <c r="Q61" s="51">
        <f t="shared" si="2"/>
        <v>7</v>
      </c>
      <c r="R61" s="51">
        <f t="shared" si="2"/>
        <v>7</v>
      </c>
      <c r="S61" s="51">
        <f t="shared" si="2"/>
        <v>7</v>
      </c>
      <c r="T61" s="51">
        <f t="shared" si="2"/>
        <v>7</v>
      </c>
      <c r="U61" s="51">
        <f t="shared" si="2"/>
        <v>7</v>
      </c>
      <c r="V61" s="51">
        <f t="shared" si="2"/>
        <v>7</v>
      </c>
      <c r="W61" s="51">
        <f t="shared" si="2"/>
        <v>7</v>
      </c>
    </row>
    <row r="62" spans="1:23" x14ac:dyDescent="0.25">
      <c r="B62" s="50" t="s">
        <v>57</v>
      </c>
      <c r="D62" s="51">
        <f t="shared" ref="D62:S68" si="3">SUMIF($B$2:$B$56,$B62,D$2:D$56)</f>
        <v>17.600000000000001</v>
      </c>
      <c r="E62" s="51">
        <f t="shared" si="3"/>
        <v>18.2</v>
      </c>
      <c r="F62" s="51">
        <f t="shared" si="3"/>
        <v>18.8</v>
      </c>
      <c r="G62" s="51">
        <f t="shared" si="3"/>
        <v>19.399999999999999</v>
      </c>
      <c r="H62" s="51">
        <f t="shared" si="3"/>
        <v>20</v>
      </c>
      <c r="I62" s="51">
        <f t="shared" si="3"/>
        <v>20.6</v>
      </c>
      <c r="J62" s="51">
        <f t="shared" si="3"/>
        <v>21.2</v>
      </c>
      <c r="K62" s="51">
        <f t="shared" si="3"/>
        <v>21.8</v>
      </c>
      <c r="L62" s="51">
        <f t="shared" si="3"/>
        <v>22.4</v>
      </c>
      <c r="M62" s="51">
        <f t="shared" si="3"/>
        <v>23</v>
      </c>
      <c r="N62" s="51">
        <f t="shared" si="3"/>
        <v>23</v>
      </c>
      <c r="O62" s="51">
        <f t="shared" si="3"/>
        <v>23</v>
      </c>
      <c r="P62" s="51">
        <f t="shared" si="3"/>
        <v>23</v>
      </c>
      <c r="Q62" s="51">
        <f t="shared" si="3"/>
        <v>23</v>
      </c>
      <c r="R62" s="51">
        <f t="shared" si="3"/>
        <v>23</v>
      </c>
      <c r="S62" s="51">
        <f t="shared" si="3"/>
        <v>23</v>
      </c>
      <c r="T62" s="51">
        <f t="shared" si="2"/>
        <v>23</v>
      </c>
      <c r="U62" s="51">
        <f t="shared" si="2"/>
        <v>23</v>
      </c>
      <c r="V62" s="51">
        <f t="shared" si="2"/>
        <v>23</v>
      </c>
      <c r="W62" s="51">
        <f t="shared" si="2"/>
        <v>23</v>
      </c>
    </row>
    <row r="63" spans="1:23" x14ac:dyDescent="0.25">
      <c r="B63" s="50" t="s">
        <v>56</v>
      </c>
      <c r="D63" s="51">
        <f t="shared" si="3"/>
        <v>8.1999999999999993</v>
      </c>
      <c r="E63" s="51">
        <f t="shared" si="2"/>
        <v>8.4</v>
      </c>
      <c r="F63" s="51">
        <f t="shared" si="2"/>
        <v>8.6</v>
      </c>
      <c r="G63" s="51">
        <f t="shared" si="2"/>
        <v>8.8000000000000007</v>
      </c>
      <c r="H63" s="51">
        <f t="shared" si="2"/>
        <v>9</v>
      </c>
      <c r="I63" s="51">
        <f t="shared" si="2"/>
        <v>9.1999999999999993</v>
      </c>
      <c r="J63" s="51">
        <f t="shared" si="2"/>
        <v>9.4</v>
      </c>
      <c r="K63" s="51">
        <f t="shared" si="2"/>
        <v>9.6</v>
      </c>
      <c r="L63" s="51">
        <f t="shared" si="2"/>
        <v>9.8000000000000007</v>
      </c>
      <c r="M63" s="51">
        <f t="shared" si="2"/>
        <v>10</v>
      </c>
      <c r="N63" s="51">
        <f t="shared" si="2"/>
        <v>10</v>
      </c>
      <c r="O63" s="51">
        <f t="shared" si="2"/>
        <v>10</v>
      </c>
      <c r="P63" s="51">
        <f t="shared" si="2"/>
        <v>10</v>
      </c>
      <c r="Q63" s="51">
        <f t="shared" si="2"/>
        <v>10</v>
      </c>
      <c r="R63" s="51">
        <f t="shared" si="2"/>
        <v>10</v>
      </c>
      <c r="S63" s="51">
        <f t="shared" si="2"/>
        <v>10</v>
      </c>
      <c r="T63" s="51">
        <f t="shared" si="2"/>
        <v>10</v>
      </c>
      <c r="U63" s="51">
        <f t="shared" si="2"/>
        <v>10</v>
      </c>
      <c r="V63" s="51">
        <f t="shared" si="2"/>
        <v>10</v>
      </c>
      <c r="W63" s="51">
        <f t="shared" si="2"/>
        <v>10</v>
      </c>
    </row>
    <row r="64" spans="1:23" x14ac:dyDescent="0.25">
      <c r="B64" s="50" t="s">
        <v>100</v>
      </c>
      <c r="D64" s="51">
        <f t="shared" si="3"/>
        <v>0</v>
      </c>
      <c r="E64" s="51">
        <f t="shared" si="2"/>
        <v>0</v>
      </c>
      <c r="F64" s="51">
        <f t="shared" si="2"/>
        <v>0</v>
      </c>
      <c r="G64" s="51">
        <f t="shared" si="2"/>
        <v>0</v>
      </c>
      <c r="H64" s="51">
        <f t="shared" si="2"/>
        <v>0</v>
      </c>
      <c r="I64" s="51">
        <f t="shared" si="2"/>
        <v>0</v>
      </c>
      <c r="J64" s="51">
        <f t="shared" si="2"/>
        <v>0</v>
      </c>
      <c r="K64" s="51">
        <f t="shared" si="2"/>
        <v>0</v>
      </c>
      <c r="L64" s="51">
        <f t="shared" si="2"/>
        <v>0</v>
      </c>
      <c r="M64" s="51">
        <f t="shared" si="2"/>
        <v>0</v>
      </c>
      <c r="N64" s="51">
        <f t="shared" si="2"/>
        <v>0</v>
      </c>
      <c r="O64" s="51">
        <f t="shared" si="2"/>
        <v>0</v>
      </c>
      <c r="P64" s="51">
        <f t="shared" si="2"/>
        <v>0</v>
      </c>
      <c r="Q64" s="51">
        <f t="shared" si="2"/>
        <v>0</v>
      </c>
      <c r="R64" s="51">
        <f t="shared" si="2"/>
        <v>0</v>
      </c>
      <c r="S64" s="51">
        <f t="shared" si="2"/>
        <v>0</v>
      </c>
      <c r="T64" s="51">
        <f t="shared" si="2"/>
        <v>0</v>
      </c>
      <c r="U64" s="51">
        <f t="shared" si="2"/>
        <v>0</v>
      </c>
      <c r="V64" s="51">
        <f t="shared" si="2"/>
        <v>0</v>
      </c>
      <c r="W64" s="51">
        <f t="shared" si="2"/>
        <v>0</v>
      </c>
    </row>
    <row r="65" spans="1:23" x14ac:dyDescent="0.25">
      <c r="B65" s="50" t="s">
        <v>60</v>
      </c>
      <c r="D65" s="51">
        <f t="shared" si="3"/>
        <v>1</v>
      </c>
      <c r="E65" s="51">
        <f t="shared" si="2"/>
        <v>1</v>
      </c>
      <c r="F65" s="51">
        <f t="shared" si="2"/>
        <v>1</v>
      </c>
      <c r="G65" s="51">
        <f t="shared" si="2"/>
        <v>1</v>
      </c>
      <c r="H65" s="51">
        <f t="shared" si="2"/>
        <v>1</v>
      </c>
      <c r="I65" s="51">
        <f t="shared" si="2"/>
        <v>1</v>
      </c>
      <c r="J65" s="51">
        <f t="shared" si="2"/>
        <v>1</v>
      </c>
      <c r="K65" s="51">
        <f t="shared" si="2"/>
        <v>1</v>
      </c>
      <c r="L65" s="51">
        <f t="shared" si="2"/>
        <v>1</v>
      </c>
      <c r="M65" s="51">
        <f t="shared" si="2"/>
        <v>1</v>
      </c>
      <c r="N65" s="51">
        <f t="shared" si="2"/>
        <v>1</v>
      </c>
      <c r="O65" s="51">
        <f t="shared" si="2"/>
        <v>1</v>
      </c>
      <c r="P65" s="51">
        <f t="shared" si="2"/>
        <v>1</v>
      </c>
      <c r="Q65" s="51">
        <f t="shared" si="2"/>
        <v>1</v>
      </c>
      <c r="R65" s="51">
        <f t="shared" si="2"/>
        <v>1</v>
      </c>
      <c r="S65" s="51">
        <f t="shared" si="2"/>
        <v>1</v>
      </c>
      <c r="T65" s="51">
        <f t="shared" si="2"/>
        <v>1</v>
      </c>
      <c r="U65" s="51">
        <f t="shared" si="2"/>
        <v>1</v>
      </c>
      <c r="V65" s="51">
        <f t="shared" si="2"/>
        <v>1</v>
      </c>
      <c r="W65" s="51">
        <f t="shared" si="2"/>
        <v>1</v>
      </c>
    </row>
    <row r="66" spans="1:23" x14ac:dyDescent="0.25">
      <c r="B66" s="50" t="s">
        <v>101</v>
      </c>
      <c r="D66" s="51">
        <f t="shared" si="3"/>
        <v>0</v>
      </c>
      <c r="E66" s="51">
        <f t="shared" si="2"/>
        <v>0</v>
      </c>
      <c r="F66" s="51">
        <f t="shared" si="2"/>
        <v>0</v>
      </c>
      <c r="G66" s="51">
        <f t="shared" si="2"/>
        <v>0</v>
      </c>
      <c r="H66" s="51">
        <f t="shared" si="2"/>
        <v>0</v>
      </c>
      <c r="I66" s="51">
        <f t="shared" si="2"/>
        <v>0</v>
      </c>
      <c r="J66" s="51">
        <f t="shared" si="2"/>
        <v>0</v>
      </c>
      <c r="K66" s="51">
        <f t="shared" si="2"/>
        <v>0</v>
      </c>
      <c r="L66" s="51">
        <f t="shared" si="2"/>
        <v>0</v>
      </c>
      <c r="M66" s="51">
        <f t="shared" si="2"/>
        <v>0</v>
      </c>
      <c r="N66" s="51">
        <f t="shared" si="2"/>
        <v>0</v>
      </c>
      <c r="O66" s="51">
        <f t="shared" si="2"/>
        <v>0</v>
      </c>
      <c r="P66" s="51">
        <f t="shared" si="2"/>
        <v>0</v>
      </c>
      <c r="Q66" s="51">
        <f t="shared" si="2"/>
        <v>0</v>
      </c>
      <c r="R66" s="51">
        <f t="shared" si="2"/>
        <v>0</v>
      </c>
      <c r="S66" s="51">
        <f t="shared" si="2"/>
        <v>0</v>
      </c>
      <c r="T66" s="51">
        <f t="shared" si="2"/>
        <v>0</v>
      </c>
      <c r="U66" s="51">
        <f t="shared" si="2"/>
        <v>0</v>
      </c>
      <c r="V66" s="51">
        <f t="shared" si="2"/>
        <v>0</v>
      </c>
      <c r="W66" s="51">
        <f t="shared" si="2"/>
        <v>0</v>
      </c>
    </row>
    <row r="67" spans="1:23" x14ac:dyDescent="0.25">
      <c r="B67" s="50" t="s">
        <v>58</v>
      </c>
      <c r="D67" s="51">
        <f t="shared" si="3"/>
        <v>3.2</v>
      </c>
      <c r="E67" s="51">
        <f t="shared" si="2"/>
        <v>3.4</v>
      </c>
      <c r="F67" s="51">
        <f t="shared" si="2"/>
        <v>3.6</v>
      </c>
      <c r="G67" s="51">
        <f t="shared" si="2"/>
        <v>3.8</v>
      </c>
      <c r="H67" s="51">
        <f t="shared" si="2"/>
        <v>4</v>
      </c>
      <c r="I67" s="51">
        <f t="shared" si="2"/>
        <v>4.2</v>
      </c>
      <c r="J67" s="51">
        <f t="shared" si="2"/>
        <v>4.4000000000000004</v>
      </c>
      <c r="K67" s="51">
        <f t="shared" si="2"/>
        <v>4.5999999999999996</v>
      </c>
      <c r="L67" s="51">
        <f t="shared" si="2"/>
        <v>4.8</v>
      </c>
      <c r="M67" s="51">
        <f t="shared" si="2"/>
        <v>5</v>
      </c>
      <c r="N67" s="51">
        <f t="shared" si="2"/>
        <v>5</v>
      </c>
      <c r="O67" s="51">
        <f t="shared" si="2"/>
        <v>5</v>
      </c>
      <c r="P67" s="51">
        <f t="shared" si="2"/>
        <v>5</v>
      </c>
      <c r="Q67" s="51">
        <f t="shared" si="2"/>
        <v>5</v>
      </c>
      <c r="R67" s="51">
        <f t="shared" si="2"/>
        <v>5</v>
      </c>
      <c r="S67" s="51">
        <f t="shared" si="2"/>
        <v>5</v>
      </c>
      <c r="T67" s="51">
        <f t="shared" si="2"/>
        <v>5</v>
      </c>
      <c r="U67" s="51">
        <f t="shared" si="2"/>
        <v>5</v>
      </c>
      <c r="V67" s="51">
        <f t="shared" si="2"/>
        <v>5</v>
      </c>
      <c r="W67" s="51">
        <f t="shared" si="2"/>
        <v>5</v>
      </c>
    </row>
    <row r="68" spans="1:23" ht="14.4" thickBot="1" x14ac:dyDescent="0.3">
      <c r="B68" s="56" t="s">
        <v>61</v>
      </c>
      <c r="D68" s="51">
        <f t="shared" si="3"/>
        <v>3.1</v>
      </c>
      <c r="E68" s="51">
        <f t="shared" si="2"/>
        <v>3.2</v>
      </c>
      <c r="F68" s="51">
        <f t="shared" si="2"/>
        <v>3.3</v>
      </c>
      <c r="G68" s="51">
        <f t="shared" si="2"/>
        <v>3.4</v>
      </c>
      <c r="H68" s="51">
        <f t="shared" si="2"/>
        <v>3.5</v>
      </c>
      <c r="I68" s="51">
        <f t="shared" si="2"/>
        <v>3.6</v>
      </c>
      <c r="J68" s="51">
        <f t="shared" si="2"/>
        <v>3.7</v>
      </c>
      <c r="K68" s="51">
        <f t="shared" si="2"/>
        <v>3.8</v>
      </c>
      <c r="L68" s="51">
        <f t="shared" si="2"/>
        <v>3.9</v>
      </c>
      <c r="M68" s="51">
        <f t="shared" si="2"/>
        <v>4</v>
      </c>
      <c r="N68" s="51">
        <f t="shared" si="2"/>
        <v>4</v>
      </c>
      <c r="O68" s="51">
        <f t="shared" si="2"/>
        <v>4</v>
      </c>
      <c r="P68" s="51">
        <f t="shared" si="2"/>
        <v>4</v>
      </c>
      <c r="Q68" s="51">
        <f t="shared" si="2"/>
        <v>4</v>
      </c>
      <c r="R68" s="51">
        <f t="shared" si="2"/>
        <v>4</v>
      </c>
      <c r="S68" s="51">
        <f t="shared" si="2"/>
        <v>4</v>
      </c>
      <c r="T68" s="51">
        <f t="shared" si="2"/>
        <v>4</v>
      </c>
      <c r="U68" s="51">
        <f t="shared" si="2"/>
        <v>4</v>
      </c>
      <c r="V68" s="51">
        <f t="shared" si="2"/>
        <v>4</v>
      </c>
      <c r="W68" s="51">
        <f t="shared" si="2"/>
        <v>4</v>
      </c>
    </row>
    <row r="70" spans="1:23" x14ac:dyDescent="0.25">
      <c r="D70" s="115">
        <f>SUM(D61:D68)</f>
        <v>39.20000000000001</v>
      </c>
      <c r="E70" s="115">
        <f t="shared" ref="E70:W70" si="4">SUM(E61:E68)</f>
        <v>40.4</v>
      </c>
      <c r="F70" s="115">
        <f t="shared" si="4"/>
        <v>41.6</v>
      </c>
      <c r="G70" s="115">
        <f t="shared" si="4"/>
        <v>42.79999999999999</v>
      </c>
      <c r="H70" s="115">
        <f t="shared" si="4"/>
        <v>44</v>
      </c>
      <c r="I70" s="115">
        <f t="shared" si="4"/>
        <v>45.20000000000001</v>
      </c>
      <c r="J70" s="115">
        <f t="shared" si="4"/>
        <v>46.4</v>
      </c>
      <c r="K70" s="115">
        <f t="shared" si="4"/>
        <v>47.6</v>
      </c>
      <c r="L70" s="115">
        <f t="shared" si="4"/>
        <v>48.79999999999999</v>
      </c>
      <c r="M70" s="116">
        <f t="shared" si="4"/>
        <v>50</v>
      </c>
      <c r="N70" s="115">
        <f t="shared" si="4"/>
        <v>50</v>
      </c>
      <c r="O70" s="115">
        <f t="shared" si="4"/>
        <v>50</v>
      </c>
      <c r="P70" s="115">
        <f t="shared" si="4"/>
        <v>50</v>
      </c>
      <c r="Q70" s="115">
        <f t="shared" si="4"/>
        <v>50</v>
      </c>
      <c r="R70" s="115">
        <f t="shared" si="4"/>
        <v>50</v>
      </c>
      <c r="S70" s="115">
        <f t="shared" si="4"/>
        <v>50</v>
      </c>
      <c r="T70" s="115">
        <f t="shared" si="4"/>
        <v>50</v>
      </c>
      <c r="U70" s="115">
        <f t="shared" si="4"/>
        <v>50</v>
      </c>
      <c r="V70" s="115">
        <f t="shared" si="4"/>
        <v>50</v>
      </c>
      <c r="W70" s="115">
        <f t="shared" si="4"/>
        <v>50</v>
      </c>
    </row>
    <row r="71" spans="1:23" x14ac:dyDescent="0.25">
      <c r="D71" s="115"/>
      <c r="E71" s="115"/>
      <c r="F71" s="115"/>
      <c r="G71" s="115"/>
      <c r="H71" s="115"/>
      <c r="I71" s="115"/>
      <c r="J71" s="115"/>
      <c r="K71" s="115"/>
      <c r="L71" s="115"/>
      <c r="M71" s="116"/>
      <c r="N71" s="115"/>
      <c r="O71" s="115"/>
      <c r="P71" s="115"/>
      <c r="Q71" s="115"/>
      <c r="R71" s="115"/>
      <c r="S71" s="115"/>
      <c r="T71" s="115"/>
      <c r="U71" s="115"/>
      <c r="V71" s="115"/>
      <c r="W71" s="115"/>
    </row>
    <row r="72" spans="1:23" ht="14.4" thickBot="1" x14ac:dyDescent="0.3">
      <c r="B72" s="3" t="s">
        <v>8</v>
      </c>
    </row>
    <row r="73" spans="1:23" x14ac:dyDescent="0.25">
      <c r="B73" s="75" t="s">
        <v>102</v>
      </c>
      <c r="D73" s="95">
        <v>2021</v>
      </c>
      <c r="E73" s="95">
        <v>2022</v>
      </c>
      <c r="F73" s="95">
        <v>2023</v>
      </c>
      <c r="G73" s="95">
        <v>2024</v>
      </c>
      <c r="H73" s="95">
        <v>2025</v>
      </c>
      <c r="I73" s="95">
        <v>2026</v>
      </c>
      <c r="J73" s="95">
        <v>2027</v>
      </c>
      <c r="K73" s="95">
        <v>2028</v>
      </c>
      <c r="L73" s="95">
        <v>2029</v>
      </c>
      <c r="M73" s="95">
        <v>2030</v>
      </c>
      <c r="N73" s="95">
        <v>2031</v>
      </c>
      <c r="O73" s="95">
        <v>2032</v>
      </c>
      <c r="P73" s="95">
        <v>2033</v>
      </c>
      <c r="Q73" s="95">
        <v>2034</v>
      </c>
      <c r="R73" s="95">
        <v>2035</v>
      </c>
      <c r="S73" s="95">
        <v>2036</v>
      </c>
      <c r="T73" s="95">
        <v>2037</v>
      </c>
      <c r="U73" s="95">
        <v>2038</v>
      </c>
      <c r="V73" s="95">
        <v>2039</v>
      </c>
      <c r="W73" s="95">
        <v>2040</v>
      </c>
    </row>
    <row r="74" spans="1:23" x14ac:dyDescent="0.25">
      <c r="B74" s="50" t="s">
        <v>115</v>
      </c>
      <c r="D74" s="110">
        <f>SUM(D2:D48)</f>
        <v>42</v>
      </c>
      <c r="E74" s="110">
        <f t="shared" ref="E74:W74" si="5">SUM(E2:E48)</f>
        <v>38</v>
      </c>
      <c r="F74" s="110">
        <f t="shared" si="5"/>
        <v>32</v>
      </c>
      <c r="G74" s="110">
        <f t="shared" si="5"/>
        <v>29</v>
      </c>
      <c r="H74" s="110">
        <f t="shared" si="5"/>
        <v>24</v>
      </c>
      <c r="I74" s="110">
        <f t="shared" si="5"/>
        <v>20</v>
      </c>
      <c r="J74" s="110">
        <f t="shared" si="5"/>
        <v>17</v>
      </c>
      <c r="K74" s="110">
        <f t="shared" si="5"/>
        <v>15</v>
      </c>
      <c r="L74" s="110">
        <f t="shared" si="5"/>
        <v>15</v>
      </c>
      <c r="M74" s="110">
        <f t="shared" si="5"/>
        <v>15</v>
      </c>
      <c r="N74" s="110">
        <f t="shared" si="5"/>
        <v>13</v>
      </c>
      <c r="O74" s="110">
        <f t="shared" si="5"/>
        <v>13</v>
      </c>
      <c r="P74" s="110">
        <f t="shared" si="5"/>
        <v>13</v>
      </c>
      <c r="Q74" s="110">
        <f t="shared" si="5"/>
        <v>13</v>
      </c>
      <c r="R74" s="110">
        <f t="shared" si="5"/>
        <v>13</v>
      </c>
      <c r="S74" s="110">
        <f t="shared" si="5"/>
        <v>13</v>
      </c>
      <c r="T74" s="110">
        <f t="shared" si="5"/>
        <v>13</v>
      </c>
      <c r="U74" s="110">
        <f t="shared" si="5"/>
        <v>13</v>
      </c>
      <c r="V74" s="110">
        <f t="shared" si="5"/>
        <v>13</v>
      </c>
      <c r="W74" s="110">
        <f t="shared" si="5"/>
        <v>13</v>
      </c>
    </row>
    <row r="75" spans="1:23" x14ac:dyDescent="0.25">
      <c r="B75" s="50" t="s">
        <v>116</v>
      </c>
      <c r="D75" s="117">
        <f>SUM(D49:D56)</f>
        <v>1.2</v>
      </c>
      <c r="E75" s="117">
        <f t="shared" ref="E75:W75" si="6">SUM(E49:E56)</f>
        <v>5.4</v>
      </c>
      <c r="F75" s="117">
        <f t="shared" si="6"/>
        <v>11.6</v>
      </c>
      <c r="G75" s="117">
        <f t="shared" si="6"/>
        <v>14.800000000000002</v>
      </c>
      <c r="H75" s="117">
        <f t="shared" si="6"/>
        <v>21</v>
      </c>
      <c r="I75" s="117">
        <f t="shared" si="6"/>
        <v>26.2</v>
      </c>
      <c r="J75" s="117">
        <f t="shared" si="6"/>
        <v>30.399999999999995</v>
      </c>
      <c r="K75" s="117">
        <f t="shared" si="6"/>
        <v>33.6</v>
      </c>
      <c r="L75" s="117">
        <f t="shared" si="6"/>
        <v>34.799999999999997</v>
      </c>
      <c r="M75" s="117">
        <f t="shared" si="6"/>
        <v>36</v>
      </c>
      <c r="N75" s="117">
        <f t="shared" si="6"/>
        <v>38</v>
      </c>
      <c r="O75" s="117">
        <f t="shared" si="6"/>
        <v>38</v>
      </c>
      <c r="P75" s="117">
        <f t="shared" si="6"/>
        <v>38</v>
      </c>
      <c r="Q75" s="117">
        <f t="shared" si="6"/>
        <v>38</v>
      </c>
      <c r="R75" s="117">
        <f t="shared" si="6"/>
        <v>38</v>
      </c>
      <c r="S75" s="117">
        <f t="shared" si="6"/>
        <v>38</v>
      </c>
      <c r="T75" s="117">
        <f t="shared" si="6"/>
        <v>38</v>
      </c>
      <c r="U75" s="117">
        <f t="shared" si="6"/>
        <v>38</v>
      </c>
      <c r="V75" s="117">
        <f t="shared" si="6"/>
        <v>38</v>
      </c>
      <c r="W75" s="117">
        <f t="shared" si="6"/>
        <v>38</v>
      </c>
    </row>
    <row r="79" spans="1:23" x14ac:dyDescent="0.25">
      <c r="A79" s="44" t="s">
        <v>32</v>
      </c>
      <c r="B79" s="44" t="s">
        <v>148</v>
      </c>
      <c r="C79" s="45" t="s">
        <v>88</v>
      </c>
      <c r="D79" s="44">
        <v>2021</v>
      </c>
      <c r="E79" s="45">
        <v>2022</v>
      </c>
      <c r="F79" s="44">
        <v>2023</v>
      </c>
      <c r="G79" s="45">
        <v>2024</v>
      </c>
      <c r="H79" s="44">
        <v>2025</v>
      </c>
      <c r="I79" s="45">
        <v>2026</v>
      </c>
      <c r="J79" s="44">
        <v>2027</v>
      </c>
      <c r="K79" s="45">
        <v>2028</v>
      </c>
      <c r="L79" s="44">
        <v>2029</v>
      </c>
      <c r="M79" s="85">
        <v>2030</v>
      </c>
      <c r="N79" s="86">
        <v>2031</v>
      </c>
      <c r="O79" s="45">
        <v>2032</v>
      </c>
      <c r="P79" s="44">
        <v>2033</v>
      </c>
      <c r="Q79" s="45">
        <v>2034</v>
      </c>
      <c r="R79" s="44">
        <v>2035</v>
      </c>
      <c r="S79" s="45">
        <v>2036</v>
      </c>
      <c r="T79" s="44">
        <v>2037</v>
      </c>
      <c r="U79" s="45">
        <v>2038</v>
      </c>
      <c r="V79" s="44">
        <v>2039</v>
      </c>
      <c r="W79" s="45">
        <v>2040</v>
      </c>
    </row>
    <row r="80" spans="1:23" x14ac:dyDescent="0.25">
      <c r="A80" s="46" t="s">
        <v>63</v>
      </c>
      <c r="B80" s="47" t="s">
        <v>57</v>
      </c>
      <c r="C80" s="59"/>
      <c r="D80" s="55">
        <f>D2</f>
        <v>1</v>
      </c>
      <c r="E80" s="55">
        <f t="shared" ref="E80:W80" si="7">E2</f>
        <v>1</v>
      </c>
      <c r="F80" s="55">
        <f t="shared" si="7"/>
        <v>0</v>
      </c>
      <c r="G80" s="55">
        <f t="shared" si="7"/>
        <v>0</v>
      </c>
      <c r="H80" s="55">
        <f t="shared" si="7"/>
        <v>0</v>
      </c>
      <c r="I80" s="55">
        <f t="shared" si="7"/>
        <v>0</v>
      </c>
      <c r="J80" s="55">
        <f t="shared" si="7"/>
        <v>0</v>
      </c>
      <c r="K80" s="55">
        <f t="shared" si="7"/>
        <v>0</v>
      </c>
      <c r="L80" s="55">
        <f t="shared" si="7"/>
        <v>0</v>
      </c>
      <c r="M80" s="55">
        <f t="shared" si="7"/>
        <v>0</v>
      </c>
      <c r="N80" s="55">
        <f t="shared" si="7"/>
        <v>0</v>
      </c>
      <c r="O80" s="55">
        <f t="shared" si="7"/>
        <v>0</v>
      </c>
      <c r="P80" s="55">
        <f t="shared" si="7"/>
        <v>0</v>
      </c>
      <c r="Q80" s="55">
        <f t="shared" si="7"/>
        <v>0</v>
      </c>
      <c r="R80" s="55">
        <f t="shared" si="7"/>
        <v>0</v>
      </c>
      <c r="S80" s="55">
        <f t="shared" si="7"/>
        <v>0</v>
      </c>
      <c r="T80" s="55">
        <f t="shared" si="7"/>
        <v>0</v>
      </c>
      <c r="U80" s="55">
        <f t="shared" si="7"/>
        <v>0</v>
      </c>
      <c r="V80" s="55">
        <f t="shared" si="7"/>
        <v>0</v>
      </c>
      <c r="W80" s="55">
        <f t="shared" si="7"/>
        <v>0</v>
      </c>
    </row>
    <row r="81" spans="1:23" x14ac:dyDescent="0.25">
      <c r="A81" s="46" t="s">
        <v>33</v>
      </c>
      <c r="B81" s="47" t="s">
        <v>57</v>
      </c>
      <c r="C81" s="59" t="s">
        <v>89</v>
      </c>
      <c r="D81" s="55">
        <f t="shared" ref="D81:W81" si="8">D3</f>
        <v>1</v>
      </c>
      <c r="E81" s="55">
        <f t="shared" si="8"/>
        <v>1</v>
      </c>
      <c r="F81" s="55">
        <f t="shared" si="8"/>
        <v>1</v>
      </c>
      <c r="G81" s="55">
        <f t="shared" si="8"/>
        <v>1</v>
      </c>
      <c r="H81" s="55">
        <f t="shared" si="8"/>
        <v>0</v>
      </c>
      <c r="I81" s="55">
        <f t="shared" si="8"/>
        <v>0</v>
      </c>
      <c r="J81" s="55">
        <f t="shared" si="8"/>
        <v>0</v>
      </c>
      <c r="K81" s="55">
        <f t="shared" si="8"/>
        <v>0</v>
      </c>
      <c r="L81" s="55">
        <f t="shared" si="8"/>
        <v>0</v>
      </c>
      <c r="M81" s="55">
        <f t="shared" si="8"/>
        <v>0</v>
      </c>
      <c r="N81" s="55">
        <f t="shared" si="8"/>
        <v>0</v>
      </c>
      <c r="O81" s="55">
        <f t="shared" si="8"/>
        <v>0</v>
      </c>
      <c r="P81" s="55">
        <f t="shared" si="8"/>
        <v>0</v>
      </c>
      <c r="Q81" s="55">
        <f t="shared" si="8"/>
        <v>0</v>
      </c>
      <c r="R81" s="55">
        <f t="shared" si="8"/>
        <v>0</v>
      </c>
      <c r="S81" s="55">
        <f t="shared" si="8"/>
        <v>0</v>
      </c>
      <c r="T81" s="55">
        <f t="shared" si="8"/>
        <v>0</v>
      </c>
      <c r="U81" s="55">
        <f t="shared" si="8"/>
        <v>0</v>
      </c>
      <c r="V81" s="55">
        <f t="shared" si="8"/>
        <v>0</v>
      </c>
      <c r="W81" s="55">
        <f t="shared" si="8"/>
        <v>0</v>
      </c>
    </row>
    <row r="82" spans="1:23" x14ac:dyDescent="0.25">
      <c r="A82" s="46" t="s">
        <v>65</v>
      </c>
      <c r="B82" s="47" t="s">
        <v>57</v>
      </c>
      <c r="C82" s="59" t="s">
        <v>89</v>
      </c>
      <c r="D82" s="55">
        <f t="shared" ref="D82:W82" si="9">D4</f>
        <v>1</v>
      </c>
      <c r="E82" s="55">
        <f t="shared" si="9"/>
        <v>1</v>
      </c>
      <c r="F82" s="55">
        <f t="shared" si="9"/>
        <v>1</v>
      </c>
      <c r="G82" s="55">
        <f t="shared" si="9"/>
        <v>1</v>
      </c>
      <c r="H82" s="55">
        <f t="shared" si="9"/>
        <v>1</v>
      </c>
      <c r="I82" s="55">
        <f t="shared" si="9"/>
        <v>1</v>
      </c>
      <c r="J82" s="55">
        <f t="shared" si="9"/>
        <v>0</v>
      </c>
      <c r="K82" s="55">
        <f t="shared" si="9"/>
        <v>0</v>
      </c>
      <c r="L82" s="55">
        <f t="shared" si="9"/>
        <v>0</v>
      </c>
      <c r="M82" s="55">
        <f t="shared" si="9"/>
        <v>0</v>
      </c>
      <c r="N82" s="55">
        <f t="shared" si="9"/>
        <v>0</v>
      </c>
      <c r="O82" s="55">
        <f t="shared" si="9"/>
        <v>0</v>
      </c>
      <c r="P82" s="55">
        <f t="shared" si="9"/>
        <v>0</v>
      </c>
      <c r="Q82" s="55">
        <f t="shared" si="9"/>
        <v>0</v>
      </c>
      <c r="R82" s="55">
        <f t="shared" si="9"/>
        <v>0</v>
      </c>
      <c r="S82" s="55">
        <f t="shared" si="9"/>
        <v>0</v>
      </c>
      <c r="T82" s="55">
        <f t="shared" si="9"/>
        <v>0</v>
      </c>
      <c r="U82" s="55">
        <f t="shared" si="9"/>
        <v>0</v>
      </c>
      <c r="V82" s="55">
        <f t="shared" si="9"/>
        <v>0</v>
      </c>
      <c r="W82" s="55">
        <f t="shared" si="9"/>
        <v>0</v>
      </c>
    </row>
    <row r="83" spans="1:23" x14ac:dyDescent="0.25">
      <c r="A83" s="46" t="s">
        <v>66</v>
      </c>
      <c r="B83" s="53" t="s">
        <v>59</v>
      </c>
      <c r="C83" s="59"/>
      <c r="D83" s="55">
        <f t="shared" ref="D83:W83" si="10">D5</f>
        <v>1</v>
      </c>
      <c r="E83" s="55">
        <f t="shared" si="10"/>
        <v>1</v>
      </c>
      <c r="F83" s="55">
        <f t="shared" si="10"/>
        <v>1</v>
      </c>
      <c r="G83" s="55">
        <f t="shared" si="10"/>
        <v>1</v>
      </c>
      <c r="H83" s="55">
        <f t="shared" si="10"/>
        <v>1</v>
      </c>
      <c r="I83" s="55">
        <f t="shared" si="10"/>
        <v>1</v>
      </c>
      <c r="J83" s="55">
        <f t="shared" si="10"/>
        <v>1</v>
      </c>
      <c r="K83" s="55">
        <f t="shared" si="10"/>
        <v>1</v>
      </c>
      <c r="L83" s="55">
        <f t="shared" si="10"/>
        <v>1</v>
      </c>
      <c r="M83" s="55">
        <f t="shared" si="10"/>
        <v>1</v>
      </c>
      <c r="N83" s="55">
        <f t="shared" si="10"/>
        <v>1</v>
      </c>
      <c r="O83" s="55">
        <f t="shared" si="10"/>
        <v>1</v>
      </c>
      <c r="P83" s="55">
        <f t="shared" si="10"/>
        <v>1</v>
      </c>
      <c r="Q83" s="55">
        <f t="shared" si="10"/>
        <v>1</v>
      </c>
      <c r="R83" s="55">
        <f t="shared" si="10"/>
        <v>1</v>
      </c>
      <c r="S83" s="55">
        <f t="shared" si="10"/>
        <v>1</v>
      </c>
      <c r="T83" s="55">
        <f t="shared" si="10"/>
        <v>1</v>
      </c>
      <c r="U83" s="55">
        <f t="shared" si="10"/>
        <v>1</v>
      </c>
      <c r="V83" s="55">
        <f t="shared" si="10"/>
        <v>1</v>
      </c>
      <c r="W83" s="55">
        <f t="shared" si="10"/>
        <v>1</v>
      </c>
    </row>
    <row r="84" spans="1:23" x14ac:dyDescent="0.25">
      <c r="A84" s="46" t="s">
        <v>67</v>
      </c>
      <c r="B84" s="54" t="s">
        <v>58</v>
      </c>
      <c r="C84" s="59" t="s">
        <v>89</v>
      </c>
      <c r="D84" s="55">
        <f t="shared" ref="D84:W84" si="11">D6</f>
        <v>1</v>
      </c>
      <c r="E84" s="55">
        <f t="shared" si="11"/>
        <v>1</v>
      </c>
      <c r="F84" s="55">
        <f t="shared" si="11"/>
        <v>1</v>
      </c>
      <c r="G84" s="55">
        <f t="shared" si="11"/>
        <v>1</v>
      </c>
      <c r="H84" s="55">
        <f t="shared" si="11"/>
        <v>0</v>
      </c>
      <c r="I84" s="55">
        <f t="shared" si="11"/>
        <v>0</v>
      </c>
      <c r="J84" s="55">
        <f t="shared" si="11"/>
        <v>0</v>
      </c>
      <c r="K84" s="55">
        <f t="shared" si="11"/>
        <v>0</v>
      </c>
      <c r="L84" s="55">
        <f t="shared" si="11"/>
        <v>0</v>
      </c>
      <c r="M84" s="55">
        <f t="shared" si="11"/>
        <v>0</v>
      </c>
      <c r="N84" s="55">
        <f t="shared" si="11"/>
        <v>0</v>
      </c>
      <c r="O84" s="55">
        <f t="shared" si="11"/>
        <v>0</v>
      </c>
      <c r="P84" s="55">
        <f t="shared" si="11"/>
        <v>0</v>
      </c>
      <c r="Q84" s="55">
        <f t="shared" si="11"/>
        <v>0</v>
      </c>
      <c r="R84" s="55">
        <f t="shared" si="11"/>
        <v>0</v>
      </c>
      <c r="S84" s="55">
        <f t="shared" si="11"/>
        <v>0</v>
      </c>
      <c r="T84" s="55">
        <f t="shared" si="11"/>
        <v>0</v>
      </c>
      <c r="U84" s="55">
        <f t="shared" si="11"/>
        <v>0</v>
      </c>
      <c r="V84" s="55">
        <f t="shared" si="11"/>
        <v>0</v>
      </c>
      <c r="W84" s="55">
        <f t="shared" si="11"/>
        <v>0</v>
      </c>
    </row>
    <row r="85" spans="1:23" x14ac:dyDescent="0.25">
      <c r="A85" s="46" t="s">
        <v>68</v>
      </c>
      <c r="B85" s="47" t="s">
        <v>57</v>
      </c>
      <c r="C85" s="59" t="s">
        <v>89</v>
      </c>
      <c r="D85" s="55">
        <f t="shared" ref="D85:W85" si="12">D7</f>
        <v>1</v>
      </c>
      <c r="E85" s="55">
        <f t="shared" si="12"/>
        <v>1</v>
      </c>
      <c r="F85" s="55">
        <f t="shared" si="12"/>
        <v>1</v>
      </c>
      <c r="G85" s="55">
        <f t="shared" si="12"/>
        <v>1</v>
      </c>
      <c r="H85" s="55">
        <f t="shared" si="12"/>
        <v>1</v>
      </c>
      <c r="I85" s="55">
        <f t="shared" si="12"/>
        <v>1</v>
      </c>
      <c r="J85" s="55">
        <f t="shared" si="12"/>
        <v>0</v>
      </c>
      <c r="K85" s="55">
        <f t="shared" si="12"/>
        <v>0</v>
      </c>
      <c r="L85" s="55">
        <f t="shared" si="12"/>
        <v>0</v>
      </c>
      <c r="M85" s="55">
        <f t="shared" si="12"/>
        <v>0</v>
      </c>
      <c r="N85" s="55">
        <f t="shared" si="12"/>
        <v>0</v>
      </c>
      <c r="O85" s="55">
        <f t="shared" si="12"/>
        <v>0</v>
      </c>
      <c r="P85" s="55">
        <f t="shared" si="12"/>
        <v>0</v>
      </c>
      <c r="Q85" s="55">
        <f t="shared" si="12"/>
        <v>0</v>
      </c>
      <c r="R85" s="55">
        <f t="shared" si="12"/>
        <v>0</v>
      </c>
      <c r="S85" s="55">
        <f t="shared" si="12"/>
        <v>0</v>
      </c>
      <c r="T85" s="55">
        <f t="shared" si="12"/>
        <v>0</v>
      </c>
      <c r="U85" s="55">
        <f t="shared" si="12"/>
        <v>0</v>
      </c>
      <c r="V85" s="55">
        <f t="shared" si="12"/>
        <v>0</v>
      </c>
      <c r="W85" s="55">
        <f t="shared" si="12"/>
        <v>0</v>
      </c>
    </row>
    <row r="86" spans="1:23" x14ac:dyDescent="0.25">
      <c r="A86" s="46" t="s">
        <v>34</v>
      </c>
      <c r="B86" s="55" t="s">
        <v>64</v>
      </c>
      <c r="C86" s="59" t="s">
        <v>89</v>
      </c>
      <c r="D86" s="55">
        <f t="shared" ref="D86:W86" si="13">D8</f>
        <v>1</v>
      </c>
      <c r="E86" s="55">
        <f t="shared" si="13"/>
        <v>1</v>
      </c>
      <c r="F86" s="55">
        <f t="shared" si="13"/>
        <v>1</v>
      </c>
      <c r="G86" s="55">
        <f t="shared" si="13"/>
        <v>1</v>
      </c>
      <c r="H86" s="55">
        <f t="shared" si="13"/>
        <v>1</v>
      </c>
      <c r="I86" s="55">
        <f t="shared" si="13"/>
        <v>1</v>
      </c>
      <c r="J86" s="55">
        <f t="shared" si="13"/>
        <v>1</v>
      </c>
      <c r="K86" s="55">
        <f t="shared" si="13"/>
        <v>1</v>
      </c>
      <c r="L86" s="55">
        <f t="shared" si="13"/>
        <v>1</v>
      </c>
      <c r="M86" s="55">
        <f t="shared" si="13"/>
        <v>1</v>
      </c>
      <c r="N86" s="55">
        <f t="shared" si="13"/>
        <v>1</v>
      </c>
      <c r="O86" s="55">
        <f t="shared" si="13"/>
        <v>1</v>
      </c>
      <c r="P86" s="55">
        <f t="shared" si="13"/>
        <v>1</v>
      </c>
      <c r="Q86" s="55">
        <f t="shared" si="13"/>
        <v>1</v>
      </c>
      <c r="R86" s="55">
        <f t="shared" si="13"/>
        <v>1</v>
      </c>
      <c r="S86" s="55">
        <f t="shared" si="13"/>
        <v>1</v>
      </c>
      <c r="T86" s="55">
        <f t="shared" si="13"/>
        <v>1</v>
      </c>
      <c r="U86" s="55">
        <f t="shared" si="13"/>
        <v>1</v>
      </c>
      <c r="V86" s="55">
        <f t="shared" si="13"/>
        <v>1</v>
      </c>
      <c r="W86" s="55">
        <f t="shared" si="13"/>
        <v>1</v>
      </c>
    </row>
    <row r="87" spans="1:23" x14ac:dyDescent="0.25">
      <c r="A87" s="46" t="s">
        <v>69</v>
      </c>
      <c r="B87" s="47" t="s">
        <v>57</v>
      </c>
      <c r="C87" s="59"/>
      <c r="D87" s="55">
        <f t="shared" ref="D87:W87" si="14">D9</f>
        <v>0</v>
      </c>
      <c r="E87" s="55">
        <f t="shared" si="14"/>
        <v>0</v>
      </c>
      <c r="F87" s="55">
        <f t="shared" si="14"/>
        <v>0</v>
      </c>
      <c r="G87" s="55">
        <f t="shared" si="14"/>
        <v>0</v>
      </c>
      <c r="H87" s="55">
        <f t="shared" si="14"/>
        <v>0</v>
      </c>
      <c r="I87" s="55">
        <f t="shared" si="14"/>
        <v>0</v>
      </c>
      <c r="J87" s="55">
        <f t="shared" si="14"/>
        <v>0</v>
      </c>
      <c r="K87" s="55">
        <f t="shared" si="14"/>
        <v>0</v>
      </c>
      <c r="L87" s="55">
        <f t="shared" si="14"/>
        <v>0</v>
      </c>
      <c r="M87" s="55">
        <f t="shared" si="14"/>
        <v>0</v>
      </c>
      <c r="N87" s="55">
        <f t="shared" si="14"/>
        <v>0</v>
      </c>
      <c r="O87" s="55">
        <f t="shared" si="14"/>
        <v>0</v>
      </c>
      <c r="P87" s="55">
        <f t="shared" si="14"/>
        <v>0</v>
      </c>
      <c r="Q87" s="55">
        <f t="shared" si="14"/>
        <v>0</v>
      </c>
      <c r="R87" s="55">
        <f t="shared" si="14"/>
        <v>0</v>
      </c>
      <c r="S87" s="55">
        <f t="shared" si="14"/>
        <v>0</v>
      </c>
      <c r="T87" s="55">
        <f t="shared" si="14"/>
        <v>0</v>
      </c>
      <c r="U87" s="55">
        <f t="shared" si="14"/>
        <v>0</v>
      </c>
      <c r="V87" s="55">
        <f t="shared" si="14"/>
        <v>0</v>
      </c>
      <c r="W87" s="55">
        <f t="shared" si="14"/>
        <v>0</v>
      </c>
    </row>
    <row r="88" spans="1:23" x14ac:dyDescent="0.25">
      <c r="A88" s="46" t="s">
        <v>70</v>
      </c>
      <c r="B88" s="54" t="s">
        <v>59</v>
      </c>
      <c r="C88" s="59" t="s">
        <v>89</v>
      </c>
      <c r="D88" s="55">
        <f t="shared" ref="D88:W88" si="15">D10</f>
        <v>1</v>
      </c>
      <c r="E88" s="55">
        <f t="shared" si="15"/>
        <v>1</v>
      </c>
      <c r="F88" s="55">
        <f t="shared" si="15"/>
        <v>1</v>
      </c>
      <c r="G88" s="55">
        <f t="shared" si="15"/>
        <v>1</v>
      </c>
      <c r="H88" s="55">
        <f t="shared" si="15"/>
        <v>1</v>
      </c>
      <c r="I88" s="55">
        <f t="shared" si="15"/>
        <v>1</v>
      </c>
      <c r="J88" s="55">
        <f t="shared" si="15"/>
        <v>1</v>
      </c>
      <c r="K88" s="55">
        <f t="shared" si="15"/>
        <v>1</v>
      </c>
      <c r="L88" s="55">
        <f t="shared" si="15"/>
        <v>1</v>
      </c>
      <c r="M88" s="55">
        <f t="shared" si="15"/>
        <v>1</v>
      </c>
      <c r="N88" s="55">
        <f t="shared" si="15"/>
        <v>0</v>
      </c>
      <c r="O88" s="55">
        <f t="shared" si="15"/>
        <v>0</v>
      </c>
      <c r="P88" s="55">
        <f t="shared" si="15"/>
        <v>0</v>
      </c>
      <c r="Q88" s="55">
        <f t="shared" si="15"/>
        <v>0</v>
      </c>
      <c r="R88" s="55">
        <f t="shared" si="15"/>
        <v>0</v>
      </c>
      <c r="S88" s="55">
        <f t="shared" si="15"/>
        <v>0</v>
      </c>
      <c r="T88" s="55">
        <f t="shared" si="15"/>
        <v>0</v>
      </c>
      <c r="U88" s="55">
        <f t="shared" si="15"/>
        <v>0</v>
      </c>
      <c r="V88" s="55">
        <f t="shared" si="15"/>
        <v>0</v>
      </c>
      <c r="W88" s="55">
        <f t="shared" si="15"/>
        <v>0</v>
      </c>
    </row>
    <row r="89" spans="1:23" x14ac:dyDescent="0.25">
      <c r="A89" s="46" t="s">
        <v>71</v>
      </c>
      <c r="B89" s="54" t="s">
        <v>58</v>
      </c>
      <c r="C89" s="59"/>
      <c r="D89" s="55">
        <f t="shared" ref="D89:W89" si="16">D11</f>
        <v>1</v>
      </c>
      <c r="E89" s="55">
        <f t="shared" si="16"/>
        <v>1</v>
      </c>
      <c r="F89" s="55">
        <f t="shared" si="16"/>
        <v>1</v>
      </c>
      <c r="G89" s="55">
        <f t="shared" si="16"/>
        <v>1</v>
      </c>
      <c r="H89" s="55">
        <f t="shared" si="16"/>
        <v>1</v>
      </c>
      <c r="I89" s="55">
        <f t="shared" si="16"/>
        <v>1</v>
      </c>
      <c r="J89" s="55">
        <f t="shared" si="16"/>
        <v>1</v>
      </c>
      <c r="K89" s="55">
        <f t="shared" si="16"/>
        <v>1</v>
      </c>
      <c r="L89" s="55">
        <f t="shared" si="16"/>
        <v>1</v>
      </c>
      <c r="M89" s="55">
        <f t="shared" si="16"/>
        <v>1</v>
      </c>
      <c r="N89" s="55">
        <f t="shared" si="16"/>
        <v>1</v>
      </c>
      <c r="O89" s="55">
        <f t="shared" si="16"/>
        <v>1</v>
      </c>
      <c r="P89" s="55">
        <f t="shared" si="16"/>
        <v>1</v>
      </c>
      <c r="Q89" s="55">
        <f t="shared" si="16"/>
        <v>1</v>
      </c>
      <c r="R89" s="55">
        <f t="shared" si="16"/>
        <v>1</v>
      </c>
      <c r="S89" s="55">
        <f t="shared" si="16"/>
        <v>1</v>
      </c>
      <c r="T89" s="55">
        <f t="shared" si="16"/>
        <v>1</v>
      </c>
      <c r="U89" s="55">
        <f t="shared" si="16"/>
        <v>1</v>
      </c>
      <c r="V89" s="55">
        <f t="shared" si="16"/>
        <v>1</v>
      </c>
      <c r="W89" s="55">
        <f t="shared" si="16"/>
        <v>1</v>
      </c>
    </row>
    <row r="90" spans="1:23" x14ac:dyDescent="0.25">
      <c r="A90" s="46" t="s">
        <v>72</v>
      </c>
      <c r="B90" s="53" t="s">
        <v>59</v>
      </c>
      <c r="C90" s="59"/>
      <c r="D90" s="55">
        <f t="shared" ref="D90:W90" si="17">D12</f>
        <v>1</v>
      </c>
      <c r="E90" s="55">
        <f t="shared" si="17"/>
        <v>1</v>
      </c>
      <c r="F90" s="55">
        <f t="shared" si="17"/>
        <v>1</v>
      </c>
      <c r="G90" s="55">
        <f t="shared" si="17"/>
        <v>1</v>
      </c>
      <c r="H90" s="55">
        <f t="shared" si="17"/>
        <v>1</v>
      </c>
      <c r="I90" s="55">
        <f t="shared" si="17"/>
        <v>1</v>
      </c>
      <c r="J90" s="55">
        <f t="shared" si="17"/>
        <v>1</v>
      </c>
      <c r="K90" s="55">
        <f t="shared" si="17"/>
        <v>1</v>
      </c>
      <c r="L90" s="55">
        <f t="shared" si="17"/>
        <v>1</v>
      </c>
      <c r="M90" s="55">
        <f t="shared" si="17"/>
        <v>1</v>
      </c>
      <c r="N90" s="55">
        <f t="shared" si="17"/>
        <v>1</v>
      </c>
      <c r="O90" s="55">
        <f t="shared" si="17"/>
        <v>1</v>
      </c>
      <c r="P90" s="55">
        <f t="shared" si="17"/>
        <v>1</v>
      </c>
      <c r="Q90" s="55">
        <f t="shared" si="17"/>
        <v>1</v>
      </c>
      <c r="R90" s="55">
        <f t="shared" si="17"/>
        <v>1</v>
      </c>
      <c r="S90" s="55">
        <f t="shared" si="17"/>
        <v>1</v>
      </c>
      <c r="T90" s="55">
        <f t="shared" si="17"/>
        <v>1</v>
      </c>
      <c r="U90" s="55">
        <f t="shared" si="17"/>
        <v>1</v>
      </c>
      <c r="V90" s="55">
        <f t="shared" si="17"/>
        <v>1</v>
      </c>
      <c r="W90" s="55">
        <f t="shared" si="17"/>
        <v>1</v>
      </c>
    </row>
    <row r="91" spans="1:23" x14ac:dyDescent="0.25">
      <c r="A91" s="46" t="s">
        <v>82</v>
      </c>
      <c r="B91" s="55" t="s">
        <v>64</v>
      </c>
      <c r="C91" s="59"/>
      <c r="D91" s="55">
        <f t="shared" ref="D91:W91" si="18">D13</f>
        <v>1</v>
      </c>
      <c r="E91" s="55">
        <f t="shared" si="18"/>
        <v>1</v>
      </c>
      <c r="F91" s="55">
        <f t="shared" si="18"/>
        <v>1</v>
      </c>
      <c r="G91" s="55">
        <f t="shared" si="18"/>
        <v>0</v>
      </c>
      <c r="H91" s="55">
        <f t="shared" si="18"/>
        <v>0</v>
      </c>
      <c r="I91" s="55">
        <f t="shared" si="18"/>
        <v>0</v>
      </c>
      <c r="J91" s="55">
        <f t="shared" si="18"/>
        <v>0</v>
      </c>
      <c r="K91" s="55">
        <f t="shared" si="18"/>
        <v>0</v>
      </c>
      <c r="L91" s="55">
        <f t="shared" si="18"/>
        <v>0</v>
      </c>
      <c r="M91" s="55">
        <f t="shared" si="18"/>
        <v>0</v>
      </c>
      <c r="N91" s="55">
        <f t="shared" si="18"/>
        <v>0</v>
      </c>
      <c r="O91" s="55">
        <f t="shared" si="18"/>
        <v>0</v>
      </c>
      <c r="P91" s="55">
        <f t="shared" si="18"/>
        <v>0</v>
      </c>
      <c r="Q91" s="55">
        <f t="shared" si="18"/>
        <v>0</v>
      </c>
      <c r="R91" s="55">
        <f t="shared" si="18"/>
        <v>0</v>
      </c>
      <c r="S91" s="55">
        <f t="shared" si="18"/>
        <v>0</v>
      </c>
      <c r="T91" s="55">
        <f t="shared" si="18"/>
        <v>0</v>
      </c>
      <c r="U91" s="55">
        <f t="shared" si="18"/>
        <v>0</v>
      </c>
      <c r="V91" s="55">
        <f t="shared" si="18"/>
        <v>0</v>
      </c>
      <c r="W91" s="55">
        <f t="shared" si="18"/>
        <v>0</v>
      </c>
    </row>
    <row r="92" spans="1:23" x14ac:dyDescent="0.25">
      <c r="A92" s="46" t="s">
        <v>35</v>
      </c>
      <c r="B92" s="47" t="s">
        <v>57</v>
      </c>
      <c r="C92" s="59" t="s">
        <v>89</v>
      </c>
      <c r="D92" s="55">
        <f t="shared" ref="D92:W92" si="19">D14</f>
        <v>1</v>
      </c>
      <c r="E92" s="55">
        <f t="shared" si="19"/>
        <v>1</v>
      </c>
      <c r="F92" s="55">
        <f t="shared" si="19"/>
        <v>1</v>
      </c>
      <c r="G92" s="55">
        <f t="shared" si="19"/>
        <v>1</v>
      </c>
      <c r="H92" s="55">
        <f t="shared" si="19"/>
        <v>1</v>
      </c>
      <c r="I92" s="55">
        <f t="shared" si="19"/>
        <v>1</v>
      </c>
      <c r="J92" s="55">
        <f t="shared" si="19"/>
        <v>1</v>
      </c>
      <c r="K92" s="55">
        <f t="shared" si="19"/>
        <v>0</v>
      </c>
      <c r="L92" s="55">
        <f t="shared" si="19"/>
        <v>0</v>
      </c>
      <c r="M92" s="55">
        <f t="shared" si="19"/>
        <v>0</v>
      </c>
      <c r="N92" s="55">
        <f t="shared" si="19"/>
        <v>0</v>
      </c>
      <c r="O92" s="55">
        <f t="shared" si="19"/>
        <v>0</v>
      </c>
      <c r="P92" s="55">
        <f t="shared" si="19"/>
        <v>0</v>
      </c>
      <c r="Q92" s="55">
        <f t="shared" si="19"/>
        <v>0</v>
      </c>
      <c r="R92" s="55">
        <f t="shared" si="19"/>
        <v>0</v>
      </c>
      <c r="S92" s="55">
        <f t="shared" si="19"/>
        <v>0</v>
      </c>
      <c r="T92" s="55">
        <f t="shared" si="19"/>
        <v>0</v>
      </c>
      <c r="U92" s="55">
        <f t="shared" si="19"/>
        <v>0</v>
      </c>
      <c r="V92" s="55">
        <f t="shared" si="19"/>
        <v>0</v>
      </c>
      <c r="W92" s="55">
        <f t="shared" si="19"/>
        <v>0</v>
      </c>
    </row>
    <row r="93" spans="1:23" x14ac:dyDescent="0.25">
      <c r="A93" s="59" t="s">
        <v>83</v>
      </c>
      <c r="B93" s="47" t="s">
        <v>56</v>
      </c>
      <c r="C93" s="59"/>
      <c r="D93" s="55">
        <f t="shared" ref="D93:W93" si="20">D15</f>
        <v>1</v>
      </c>
      <c r="E93" s="55">
        <f t="shared" si="20"/>
        <v>1</v>
      </c>
      <c r="F93" s="55">
        <f t="shared" si="20"/>
        <v>1</v>
      </c>
      <c r="G93" s="55">
        <f t="shared" si="20"/>
        <v>1</v>
      </c>
      <c r="H93" s="55">
        <f t="shared" si="20"/>
        <v>1</v>
      </c>
      <c r="I93" s="55">
        <f t="shared" si="20"/>
        <v>1</v>
      </c>
      <c r="J93" s="55">
        <f t="shared" si="20"/>
        <v>1</v>
      </c>
      <c r="K93" s="55">
        <f t="shared" si="20"/>
        <v>1</v>
      </c>
      <c r="L93" s="55">
        <f t="shared" si="20"/>
        <v>1</v>
      </c>
      <c r="M93" s="55">
        <f t="shared" si="20"/>
        <v>1</v>
      </c>
      <c r="N93" s="55">
        <f t="shared" si="20"/>
        <v>1</v>
      </c>
      <c r="O93" s="55">
        <f t="shared" si="20"/>
        <v>1</v>
      </c>
      <c r="P93" s="55">
        <f t="shared" si="20"/>
        <v>1</v>
      </c>
      <c r="Q93" s="55">
        <f t="shared" si="20"/>
        <v>1</v>
      </c>
      <c r="R93" s="55">
        <f t="shared" si="20"/>
        <v>1</v>
      </c>
      <c r="S93" s="55">
        <f t="shared" si="20"/>
        <v>1</v>
      </c>
      <c r="T93" s="55">
        <f t="shared" si="20"/>
        <v>1</v>
      </c>
      <c r="U93" s="55">
        <f t="shared" si="20"/>
        <v>1</v>
      </c>
      <c r="V93" s="55">
        <f t="shared" si="20"/>
        <v>1</v>
      </c>
      <c r="W93" s="55">
        <f t="shared" si="20"/>
        <v>1</v>
      </c>
    </row>
    <row r="94" spans="1:23" x14ac:dyDescent="0.25">
      <c r="A94" s="59" t="s">
        <v>84</v>
      </c>
      <c r="B94" s="47" t="s">
        <v>56</v>
      </c>
      <c r="C94" s="59"/>
      <c r="D94" s="55">
        <f t="shared" ref="D94:W94" si="21">D16</f>
        <v>1</v>
      </c>
      <c r="E94" s="55">
        <f t="shared" si="21"/>
        <v>1</v>
      </c>
      <c r="F94" s="55">
        <f t="shared" si="21"/>
        <v>1</v>
      </c>
      <c r="G94" s="55">
        <f t="shared" si="21"/>
        <v>1</v>
      </c>
      <c r="H94" s="55">
        <f t="shared" si="21"/>
        <v>1</v>
      </c>
      <c r="I94" s="55">
        <f t="shared" si="21"/>
        <v>1</v>
      </c>
      <c r="J94" s="55">
        <f t="shared" si="21"/>
        <v>1</v>
      </c>
      <c r="K94" s="55">
        <f t="shared" si="21"/>
        <v>1</v>
      </c>
      <c r="L94" s="55">
        <f t="shared" si="21"/>
        <v>1</v>
      </c>
      <c r="M94" s="55">
        <f t="shared" si="21"/>
        <v>1</v>
      </c>
      <c r="N94" s="55">
        <f t="shared" si="21"/>
        <v>1</v>
      </c>
      <c r="O94" s="55">
        <f t="shared" si="21"/>
        <v>1</v>
      </c>
      <c r="P94" s="55">
        <f t="shared" si="21"/>
        <v>1</v>
      </c>
      <c r="Q94" s="55">
        <f t="shared" si="21"/>
        <v>1</v>
      </c>
      <c r="R94" s="55">
        <f t="shared" si="21"/>
        <v>1</v>
      </c>
      <c r="S94" s="55">
        <f t="shared" si="21"/>
        <v>1</v>
      </c>
      <c r="T94" s="55">
        <f t="shared" si="21"/>
        <v>1</v>
      </c>
      <c r="U94" s="55">
        <f t="shared" si="21"/>
        <v>1</v>
      </c>
      <c r="V94" s="55">
        <f t="shared" si="21"/>
        <v>1</v>
      </c>
      <c r="W94" s="55">
        <f t="shared" si="21"/>
        <v>1</v>
      </c>
    </row>
    <row r="95" spans="1:23" x14ac:dyDescent="0.25">
      <c r="A95" s="59" t="s">
        <v>85</v>
      </c>
      <c r="B95" s="47" t="s">
        <v>56</v>
      </c>
      <c r="C95" s="59"/>
      <c r="D95" s="55">
        <f t="shared" ref="D95:W95" si="22">D17</f>
        <v>1</v>
      </c>
      <c r="E95" s="55">
        <f t="shared" si="22"/>
        <v>1</v>
      </c>
      <c r="F95" s="55">
        <f t="shared" si="22"/>
        <v>1</v>
      </c>
      <c r="G95" s="55">
        <f t="shared" si="22"/>
        <v>1</v>
      </c>
      <c r="H95" s="55">
        <f t="shared" si="22"/>
        <v>1</v>
      </c>
      <c r="I95" s="55">
        <f t="shared" si="22"/>
        <v>1</v>
      </c>
      <c r="J95" s="55">
        <f t="shared" si="22"/>
        <v>1</v>
      </c>
      <c r="K95" s="55">
        <f t="shared" si="22"/>
        <v>1</v>
      </c>
      <c r="L95" s="55">
        <f t="shared" si="22"/>
        <v>1</v>
      </c>
      <c r="M95" s="55">
        <f t="shared" si="22"/>
        <v>1</v>
      </c>
      <c r="N95" s="55">
        <f t="shared" si="22"/>
        <v>1</v>
      </c>
      <c r="O95" s="55">
        <f t="shared" si="22"/>
        <v>1</v>
      </c>
      <c r="P95" s="55">
        <f t="shared" si="22"/>
        <v>1</v>
      </c>
      <c r="Q95" s="55">
        <f t="shared" si="22"/>
        <v>1</v>
      </c>
      <c r="R95" s="55">
        <f t="shared" si="22"/>
        <v>1</v>
      </c>
      <c r="S95" s="55">
        <f t="shared" si="22"/>
        <v>1</v>
      </c>
      <c r="T95" s="55">
        <f t="shared" si="22"/>
        <v>1</v>
      </c>
      <c r="U95" s="55">
        <f t="shared" si="22"/>
        <v>1</v>
      </c>
      <c r="V95" s="55">
        <f t="shared" si="22"/>
        <v>1</v>
      </c>
      <c r="W95" s="55">
        <f t="shared" si="22"/>
        <v>1</v>
      </c>
    </row>
    <row r="96" spans="1:23" x14ac:dyDescent="0.25">
      <c r="A96" s="59" t="s">
        <v>86</v>
      </c>
      <c r="B96" s="47" t="s">
        <v>56</v>
      </c>
      <c r="C96" s="59"/>
      <c r="D96" s="55">
        <f t="shared" ref="D96:W96" si="23">D18</f>
        <v>1</v>
      </c>
      <c r="E96" s="55">
        <f t="shared" si="23"/>
        <v>1</v>
      </c>
      <c r="F96" s="55">
        <f t="shared" si="23"/>
        <v>1</v>
      </c>
      <c r="G96" s="55">
        <f t="shared" si="23"/>
        <v>1</v>
      </c>
      <c r="H96" s="55">
        <f t="shared" si="23"/>
        <v>1</v>
      </c>
      <c r="I96" s="55">
        <f t="shared" si="23"/>
        <v>1</v>
      </c>
      <c r="J96" s="55">
        <f t="shared" si="23"/>
        <v>1</v>
      </c>
      <c r="K96" s="55">
        <f t="shared" si="23"/>
        <v>1</v>
      </c>
      <c r="L96" s="55">
        <f t="shared" si="23"/>
        <v>1</v>
      </c>
      <c r="M96" s="55">
        <f t="shared" si="23"/>
        <v>1</v>
      </c>
      <c r="N96" s="55">
        <f t="shared" si="23"/>
        <v>1</v>
      </c>
      <c r="O96" s="55">
        <f t="shared" si="23"/>
        <v>1</v>
      </c>
      <c r="P96" s="55">
        <f t="shared" si="23"/>
        <v>1</v>
      </c>
      <c r="Q96" s="55">
        <f t="shared" si="23"/>
        <v>1</v>
      </c>
      <c r="R96" s="55">
        <f t="shared" si="23"/>
        <v>1</v>
      </c>
      <c r="S96" s="55">
        <f t="shared" si="23"/>
        <v>1</v>
      </c>
      <c r="T96" s="55">
        <f t="shared" si="23"/>
        <v>1</v>
      </c>
      <c r="U96" s="55">
        <f t="shared" si="23"/>
        <v>1</v>
      </c>
      <c r="V96" s="55">
        <f t="shared" si="23"/>
        <v>1</v>
      </c>
      <c r="W96" s="55">
        <f t="shared" si="23"/>
        <v>1</v>
      </c>
    </row>
    <row r="97" spans="1:23" x14ac:dyDescent="0.25">
      <c r="A97" s="46" t="s">
        <v>36</v>
      </c>
      <c r="B97" s="47" t="s">
        <v>57</v>
      </c>
      <c r="C97" s="59" t="s">
        <v>89</v>
      </c>
      <c r="D97" s="55">
        <f t="shared" ref="D97:W97" si="24">D19</f>
        <v>1</v>
      </c>
      <c r="E97" s="55">
        <f t="shared" si="24"/>
        <v>1</v>
      </c>
      <c r="F97" s="55">
        <f t="shared" si="24"/>
        <v>1</v>
      </c>
      <c r="G97" s="55">
        <f t="shared" si="24"/>
        <v>1</v>
      </c>
      <c r="H97" s="55">
        <f t="shared" si="24"/>
        <v>1</v>
      </c>
      <c r="I97" s="55">
        <f t="shared" si="24"/>
        <v>1</v>
      </c>
      <c r="J97" s="55">
        <f t="shared" si="24"/>
        <v>1</v>
      </c>
      <c r="K97" s="55">
        <f t="shared" si="24"/>
        <v>1</v>
      </c>
      <c r="L97" s="55">
        <f t="shared" si="24"/>
        <v>1</v>
      </c>
      <c r="M97" s="55">
        <f t="shared" si="24"/>
        <v>1</v>
      </c>
      <c r="N97" s="55">
        <f t="shared" si="24"/>
        <v>1</v>
      </c>
      <c r="O97" s="55">
        <f t="shared" si="24"/>
        <v>1</v>
      </c>
      <c r="P97" s="55">
        <f t="shared" si="24"/>
        <v>1</v>
      </c>
      <c r="Q97" s="55">
        <f t="shared" si="24"/>
        <v>1</v>
      </c>
      <c r="R97" s="55">
        <f t="shared" si="24"/>
        <v>1</v>
      </c>
      <c r="S97" s="55">
        <f t="shared" si="24"/>
        <v>1</v>
      </c>
      <c r="T97" s="55">
        <f t="shared" si="24"/>
        <v>1</v>
      </c>
      <c r="U97" s="55">
        <f t="shared" si="24"/>
        <v>1</v>
      </c>
      <c r="V97" s="55">
        <f t="shared" si="24"/>
        <v>1</v>
      </c>
      <c r="W97" s="55">
        <f t="shared" si="24"/>
        <v>1</v>
      </c>
    </row>
    <row r="98" spans="1:23" x14ac:dyDescent="0.25">
      <c r="A98" s="46" t="s">
        <v>37</v>
      </c>
      <c r="B98" s="47" t="s">
        <v>57</v>
      </c>
      <c r="C98" s="59" t="s">
        <v>89</v>
      </c>
      <c r="D98" s="55">
        <f t="shared" ref="D98:W98" si="25">D20</f>
        <v>1</v>
      </c>
      <c r="E98" s="55">
        <f t="shared" si="25"/>
        <v>1</v>
      </c>
      <c r="F98" s="55">
        <f t="shared" si="25"/>
        <v>1</v>
      </c>
      <c r="G98" s="55">
        <f t="shared" si="25"/>
        <v>1</v>
      </c>
      <c r="H98" s="55">
        <f t="shared" si="25"/>
        <v>1</v>
      </c>
      <c r="I98" s="55">
        <f t="shared" si="25"/>
        <v>0</v>
      </c>
      <c r="J98" s="55">
        <f t="shared" si="25"/>
        <v>0</v>
      </c>
      <c r="K98" s="55">
        <f t="shared" si="25"/>
        <v>0</v>
      </c>
      <c r="L98" s="55">
        <f t="shared" si="25"/>
        <v>0</v>
      </c>
      <c r="M98" s="55">
        <f t="shared" si="25"/>
        <v>0</v>
      </c>
      <c r="N98" s="55">
        <f t="shared" si="25"/>
        <v>0</v>
      </c>
      <c r="O98" s="55">
        <f t="shared" si="25"/>
        <v>0</v>
      </c>
      <c r="P98" s="55">
        <f t="shared" si="25"/>
        <v>0</v>
      </c>
      <c r="Q98" s="55">
        <f t="shared" si="25"/>
        <v>0</v>
      </c>
      <c r="R98" s="55">
        <f t="shared" si="25"/>
        <v>0</v>
      </c>
      <c r="S98" s="55">
        <f t="shared" si="25"/>
        <v>0</v>
      </c>
      <c r="T98" s="55">
        <f t="shared" si="25"/>
        <v>0</v>
      </c>
      <c r="U98" s="55">
        <f t="shared" si="25"/>
        <v>0</v>
      </c>
      <c r="V98" s="55">
        <f t="shared" si="25"/>
        <v>0</v>
      </c>
      <c r="W98" s="55">
        <f t="shared" si="25"/>
        <v>0</v>
      </c>
    </row>
    <row r="99" spans="1:23" x14ac:dyDescent="0.25">
      <c r="A99" s="46" t="s">
        <v>40</v>
      </c>
      <c r="B99" s="60" t="s">
        <v>58</v>
      </c>
      <c r="C99" s="59"/>
      <c r="D99" s="55">
        <f t="shared" ref="D99:W99" si="26">D21</f>
        <v>0</v>
      </c>
      <c r="E99" s="55">
        <f t="shared" si="26"/>
        <v>0</v>
      </c>
      <c r="F99" s="55">
        <f t="shared" si="26"/>
        <v>0</v>
      </c>
      <c r="G99" s="55">
        <f t="shared" si="26"/>
        <v>0</v>
      </c>
      <c r="H99" s="55">
        <f t="shared" si="26"/>
        <v>0</v>
      </c>
      <c r="I99" s="55">
        <f t="shared" si="26"/>
        <v>0</v>
      </c>
      <c r="J99" s="55">
        <f t="shared" si="26"/>
        <v>0</v>
      </c>
      <c r="K99" s="55">
        <f t="shared" si="26"/>
        <v>0</v>
      </c>
      <c r="L99" s="55">
        <f t="shared" si="26"/>
        <v>0</v>
      </c>
      <c r="M99" s="55">
        <f t="shared" si="26"/>
        <v>0</v>
      </c>
      <c r="N99" s="55">
        <f t="shared" si="26"/>
        <v>0</v>
      </c>
      <c r="O99" s="55">
        <f t="shared" si="26"/>
        <v>0</v>
      </c>
      <c r="P99" s="55">
        <f t="shared" si="26"/>
        <v>0</v>
      </c>
      <c r="Q99" s="55">
        <f t="shared" si="26"/>
        <v>0</v>
      </c>
      <c r="R99" s="55">
        <f t="shared" si="26"/>
        <v>0</v>
      </c>
      <c r="S99" s="55">
        <f t="shared" si="26"/>
        <v>0</v>
      </c>
      <c r="T99" s="55">
        <f t="shared" si="26"/>
        <v>0</v>
      </c>
      <c r="U99" s="55">
        <f t="shared" si="26"/>
        <v>0</v>
      </c>
      <c r="V99" s="55">
        <f t="shared" si="26"/>
        <v>0</v>
      </c>
      <c r="W99" s="55">
        <f t="shared" si="26"/>
        <v>0</v>
      </c>
    </row>
    <row r="100" spans="1:23" x14ac:dyDescent="0.25">
      <c r="A100" s="46" t="s">
        <v>73</v>
      </c>
      <c r="B100" s="47" t="s">
        <v>57</v>
      </c>
      <c r="C100" s="59"/>
      <c r="D100" s="55">
        <f t="shared" ref="D100:W100" si="27">D22</f>
        <v>1</v>
      </c>
      <c r="E100" s="55">
        <f t="shared" si="27"/>
        <v>1</v>
      </c>
      <c r="F100" s="55">
        <f t="shared" si="27"/>
        <v>1</v>
      </c>
      <c r="G100" s="55">
        <f t="shared" si="27"/>
        <v>1</v>
      </c>
      <c r="H100" s="55">
        <f t="shared" si="27"/>
        <v>1</v>
      </c>
      <c r="I100" s="55">
        <f t="shared" si="27"/>
        <v>0</v>
      </c>
      <c r="J100" s="55">
        <f t="shared" si="27"/>
        <v>0</v>
      </c>
      <c r="K100" s="55">
        <f t="shared" si="27"/>
        <v>0</v>
      </c>
      <c r="L100" s="55">
        <f t="shared" si="27"/>
        <v>0</v>
      </c>
      <c r="M100" s="55">
        <f t="shared" si="27"/>
        <v>0</v>
      </c>
      <c r="N100" s="55">
        <f t="shared" si="27"/>
        <v>0</v>
      </c>
      <c r="O100" s="55">
        <f t="shared" si="27"/>
        <v>0</v>
      </c>
      <c r="P100" s="55">
        <f t="shared" si="27"/>
        <v>0</v>
      </c>
      <c r="Q100" s="55">
        <f t="shared" si="27"/>
        <v>0</v>
      </c>
      <c r="R100" s="55">
        <f t="shared" si="27"/>
        <v>0</v>
      </c>
      <c r="S100" s="55">
        <f t="shared" si="27"/>
        <v>0</v>
      </c>
      <c r="T100" s="55">
        <f t="shared" si="27"/>
        <v>0</v>
      </c>
      <c r="U100" s="55">
        <f t="shared" si="27"/>
        <v>0</v>
      </c>
      <c r="V100" s="55">
        <f t="shared" si="27"/>
        <v>0</v>
      </c>
      <c r="W100" s="55">
        <f t="shared" si="27"/>
        <v>0</v>
      </c>
    </row>
    <row r="101" spans="1:23" x14ac:dyDescent="0.25">
      <c r="A101" s="46" t="s">
        <v>38</v>
      </c>
      <c r="B101" s="47" t="s">
        <v>57</v>
      </c>
      <c r="C101" s="59" t="s">
        <v>89</v>
      </c>
      <c r="D101" s="55">
        <f t="shared" ref="D101:W101" si="28">D23</f>
        <v>1</v>
      </c>
      <c r="E101" s="55">
        <f t="shared" si="28"/>
        <v>1</v>
      </c>
      <c r="F101" s="55">
        <f t="shared" si="28"/>
        <v>1</v>
      </c>
      <c r="G101" s="55">
        <f t="shared" si="28"/>
        <v>1</v>
      </c>
      <c r="H101" s="55">
        <f t="shared" si="28"/>
        <v>0</v>
      </c>
      <c r="I101" s="55">
        <f t="shared" si="28"/>
        <v>0</v>
      </c>
      <c r="J101" s="55">
        <f t="shared" si="28"/>
        <v>0</v>
      </c>
      <c r="K101" s="55">
        <f t="shared" si="28"/>
        <v>0</v>
      </c>
      <c r="L101" s="55">
        <f t="shared" si="28"/>
        <v>0</v>
      </c>
      <c r="M101" s="55">
        <f t="shared" si="28"/>
        <v>0</v>
      </c>
      <c r="N101" s="55">
        <f t="shared" si="28"/>
        <v>0</v>
      </c>
      <c r="O101" s="55">
        <f t="shared" si="28"/>
        <v>0</v>
      </c>
      <c r="P101" s="55">
        <f t="shared" si="28"/>
        <v>0</v>
      </c>
      <c r="Q101" s="55">
        <f t="shared" si="28"/>
        <v>0</v>
      </c>
      <c r="R101" s="55">
        <f t="shared" si="28"/>
        <v>0</v>
      </c>
      <c r="S101" s="55">
        <f t="shared" si="28"/>
        <v>0</v>
      </c>
      <c r="T101" s="55">
        <f t="shared" si="28"/>
        <v>0</v>
      </c>
      <c r="U101" s="55">
        <f t="shared" si="28"/>
        <v>0</v>
      </c>
      <c r="V101" s="55">
        <f t="shared" si="28"/>
        <v>0</v>
      </c>
      <c r="W101" s="55">
        <f t="shared" si="28"/>
        <v>0</v>
      </c>
    </row>
    <row r="102" spans="1:23" x14ac:dyDescent="0.25">
      <c r="A102" s="46" t="s">
        <v>39</v>
      </c>
      <c r="B102" s="54" t="s">
        <v>59</v>
      </c>
      <c r="C102" s="59" t="s">
        <v>89</v>
      </c>
      <c r="D102" s="55">
        <f t="shared" ref="D102:W102" si="29">D24</f>
        <v>1</v>
      </c>
      <c r="E102" s="55">
        <f t="shared" si="29"/>
        <v>1</v>
      </c>
      <c r="F102" s="55">
        <f t="shared" si="29"/>
        <v>1</v>
      </c>
      <c r="G102" s="55">
        <f t="shared" si="29"/>
        <v>1</v>
      </c>
      <c r="H102" s="55">
        <f t="shared" si="29"/>
        <v>1</v>
      </c>
      <c r="I102" s="55">
        <f t="shared" si="29"/>
        <v>1</v>
      </c>
      <c r="J102" s="55">
        <f t="shared" si="29"/>
        <v>1</v>
      </c>
      <c r="K102" s="55">
        <f t="shared" si="29"/>
        <v>1</v>
      </c>
      <c r="L102" s="55">
        <f t="shared" si="29"/>
        <v>1</v>
      </c>
      <c r="M102" s="55">
        <f t="shared" si="29"/>
        <v>1</v>
      </c>
      <c r="N102" s="55">
        <f t="shared" si="29"/>
        <v>0</v>
      </c>
      <c r="O102" s="55">
        <f t="shared" si="29"/>
        <v>0</v>
      </c>
      <c r="P102" s="55">
        <f t="shared" si="29"/>
        <v>0</v>
      </c>
      <c r="Q102" s="55">
        <f t="shared" si="29"/>
        <v>0</v>
      </c>
      <c r="R102" s="55">
        <f t="shared" si="29"/>
        <v>0</v>
      </c>
      <c r="S102" s="55">
        <f t="shared" si="29"/>
        <v>0</v>
      </c>
      <c r="T102" s="55">
        <f t="shared" si="29"/>
        <v>0</v>
      </c>
      <c r="U102" s="55">
        <f t="shared" si="29"/>
        <v>0</v>
      </c>
      <c r="V102" s="55">
        <f t="shared" si="29"/>
        <v>0</v>
      </c>
      <c r="W102" s="55">
        <f t="shared" si="29"/>
        <v>0</v>
      </c>
    </row>
    <row r="103" spans="1:23" x14ac:dyDescent="0.25">
      <c r="A103" s="46" t="s">
        <v>41</v>
      </c>
      <c r="B103" s="47" t="s">
        <v>60</v>
      </c>
      <c r="C103" s="59"/>
      <c r="D103" s="55">
        <f t="shared" ref="D103:W103" si="30">D25</f>
        <v>1</v>
      </c>
      <c r="E103" s="55">
        <f t="shared" si="30"/>
        <v>1</v>
      </c>
      <c r="F103" s="55">
        <f t="shared" si="30"/>
        <v>1</v>
      </c>
      <c r="G103" s="55">
        <f t="shared" si="30"/>
        <v>1</v>
      </c>
      <c r="H103" s="55">
        <f t="shared" si="30"/>
        <v>0</v>
      </c>
      <c r="I103" s="55">
        <f t="shared" si="30"/>
        <v>0</v>
      </c>
      <c r="J103" s="55">
        <f t="shared" si="30"/>
        <v>0</v>
      </c>
      <c r="K103" s="55">
        <f t="shared" si="30"/>
        <v>0</v>
      </c>
      <c r="L103" s="55">
        <f t="shared" si="30"/>
        <v>0</v>
      </c>
      <c r="M103" s="55">
        <f t="shared" si="30"/>
        <v>0</v>
      </c>
      <c r="N103" s="55">
        <f t="shared" si="30"/>
        <v>0</v>
      </c>
      <c r="O103" s="55">
        <f t="shared" si="30"/>
        <v>0</v>
      </c>
      <c r="P103" s="55">
        <f t="shared" si="30"/>
        <v>0</v>
      </c>
      <c r="Q103" s="55">
        <f t="shared" si="30"/>
        <v>0</v>
      </c>
      <c r="R103" s="55">
        <f t="shared" si="30"/>
        <v>0</v>
      </c>
      <c r="S103" s="55">
        <f t="shared" si="30"/>
        <v>0</v>
      </c>
      <c r="T103" s="55">
        <f t="shared" si="30"/>
        <v>0</v>
      </c>
      <c r="U103" s="55">
        <f t="shared" si="30"/>
        <v>0</v>
      </c>
      <c r="V103" s="55">
        <f t="shared" si="30"/>
        <v>0</v>
      </c>
      <c r="W103" s="55">
        <f t="shared" si="30"/>
        <v>0</v>
      </c>
    </row>
    <row r="104" spans="1:23" x14ac:dyDescent="0.25">
      <c r="A104" s="46" t="s">
        <v>74</v>
      </c>
      <c r="B104" s="47" t="s">
        <v>57</v>
      </c>
      <c r="C104" s="59"/>
      <c r="D104" s="55">
        <f t="shared" ref="D104:W104" si="31">D26</f>
        <v>1</v>
      </c>
      <c r="E104" s="55">
        <f t="shared" si="31"/>
        <v>0</v>
      </c>
      <c r="F104" s="55">
        <f t="shared" si="31"/>
        <v>0</v>
      </c>
      <c r="G104" s="55">
        <f t="shared" si="31"/>
        <v>0</v>
      </c>
      <c r="H104" s="55">
        <f t="shared" si="31"/>
        <v>0</v>
      </c>
      <c r="I104" s="55">
        <f t="shared" si="31"/>
        <v>0</v>
      </c>
      <c r="J104" s="55">
        <f t="shared" si="31"/>
        <v>0</v>
      </c>
      <c r="K104" s="55">
        <f t="shared" si="31"/>
        <v>0</v>
      </c>
      <c r="L104" s="55">
        <f t="shared" si="31"/>
        <v>0</v>
      </c>
      <c r="M104" s="55">
        <f t="shared" si="31"/>
        <v>0</v>
      </c>
      <c r="N104" s="55">
        <f t="shared" si="31"/>
        <v>0</v>
      </c>
      <c r="O104" s="55">
        <f t="shared" si="31"/>
        <v>0</v>
      </c>
      <c r="P104" s="55">
        <f t="shared" si="31"/>
        <v>0</v>
      </c>
      <c r="Q104" s="55">
        <f t="shared" si="31"/>
        <v>0</v>
      </c>
      <c r="R104" s="55">
        <f t="shared" si="31"/>
        <v>0</v>
      </c>
      <c r="S104" s="55">
        <f t="shared" si="31"/>
        <v>0</v>
      </c>
      <c r="T104" s="55">
        <f t="shared" si="31"/>
        <v>0</v>
      </c>
      <c r="U104" s="55">
        <f t="shared" si="31"/>
        <v>0</v>
      </c>
      <c r="V104" s="55">
        <f t="shared" si="31"/>
        <v>0</v>
      </c>
      <c r="W104" s="55">
        <f t="shared" si="31"/>
        <v>0</v>
      </c>
    </row>
    <row r="105" spans="1:23" x14ac:dyDescent="0.25">
      <c r="A105" s="46" t="s">
        <v>75</v>
      </c>
      <c r="B105" s="47" t="s">
        <v>57</v>
      </c>
      <c r="C105" s="59"/>
      <c r="D105" s="55">
        <f t="shared" ref="D105:W105" si="32">D27</f>
        <v>1</v>
      </c>
      <c r="E105" s="55">
        <f t="shared" si="32"/>
        <v>1</v>
      </c>
      <c r="F105" s="55">
        <f t="shared" si="32"/>
        <v>1</v>
      </c>
      <c r="G105" s="55">
        <f t="shared" si="32"/>
        <v>0</v>
      </c>
      <c r="H105" s="55">
        <f t="shared" si="32"/>
        <v>0</v>
      </c>
      <c r="I105" s="55">
        <f t="shared" si="32"/>
        <v>0</v>
      </c>
      <c r="J105" s="55">
        <f t="shared" si="32"/>
        <v>0</v>
      </c>
      <c r="K105" s="55">
        <f t="shared" si="32"/>
        <v>0</v>
      </c>
      <c r="L105" s="55">
        <f t="shared" si="32"/>
        <v>0</v>
      </c>
      <c r="M105" s="55">
        <f t="shared" si="32"/>
        <v>0</v>
      </c>
      <c r="N105" s="55">
        <f t="shared" si="32"/>
        <v>0</v>
      </c>
      <c r="O105" s="55">
        <f t="shared" si="32"/>
        <v>0</v>
      </c>
      <c r="P105" s="55">
        <f t="shared" si="32"/>
        <v>0</v>
      </c>
      <c r="Q105" s="55">
        <f t="shared" si="32"/>
        <v>0</v>
      </c>
      <c r="R105" s="55">
        <f t="shared" si="32"/>
        <v>0</v>
      </c>
      <c r="S105" s="55">
        <f t="shared" si="32"/>
        <v>0</v>
      </c>
      <c r="T105" s="55">
        <f t="shared" si="32"/>
        <v>0</v>
      </c>
      <c r="U105" s="55">
        <f t="shared" si="32"/>
        <v>0</v>
      </c>
      <c r="V105" s="55">
        <f t="shared" si="32"/>
        <v>0</v>
      </c>
      <c r="W105" s="55">
        <f t="shared" si="32"/>
        <v>0</v>
      </c>
    </row>
    <row r="106" spans="1:23" x14ac:dyDescent="0.25">
      <c r="A106" s="46" t="s">
        <v>76</v>
      </c>
      <c r="B106" s="47" t="s">
        <v>57</v>
      </c>
      <c r="C106" s="59"/>
      <c r="D106" s="55">
        <f t="shared" ref="D106:W106" si="33">D28</f>
        <v>1</v>
      </c>
      <c r="E106" s="55">
        <f t="shared" si="33"/>
        <v>1</v>
      </c>
      <c r="F106" s="55">
        <f t="shared" si="33"/>
        <v>1</v>
      </c>
      <c r="G106" s="55">
        <f t="shared" si="33"/>
        <v>1</v>
      </c>
      <c r="H106" s="55">
        <f t="shared" si="33"/>
        <v>1</v>
      </c>
      <c r="I106" s="55">
        <f t="shared" si="33"/>
        <v>1</v>
      </c>
      <c r="J106" s="55">
        <f t="shared" si="33"/>
        <v>0</v>
      </c>
      <c r="K106" s="55">
        <f t="shared" si="33"/>
        <v>0</v>
      </c>
      <c r="L106" s="55">
        <f t="shared" si="33"/>
        <v>0</v>
      </c>
      <c r="M106" s="55">
        <f t="shared" si="33"/>
        <v>0</v>
      </c>
      <c r="N106" s="55">
        <f t="shared" si="33"/>
        <v>0</v>
      </c>
      <c r="O106" s="55">
        <f t="shared" si="33"/>
        <v>0</v>
      </c>
      <c r="P106" s="55">
        <f t="shared" si="33"/>
        <v>0</v>
      </c>
      <c r="Q106" s="55">
        <f t="shared" si="33"/>
        <v>0</v>
      </c>
      <c r="R106" s="55">
        <f t="shared" si="33"/>
        <v>0</v>
      </c>
      <c r="S106" s="55">
        <f t="shared" si="33"/>
        <v>0</v>
      </c>
      <c r="T106" s="55">
        <f t="shared" si="33"/>
        <v>0</v>
      </c>
      <c r="U106" s="55">
        <f t="shared" si="33"/>
        <v>0</v>
      </c>
      <c r="V106" s="55">
        <f t="shared" si="33"/>
        <v>0</v>
      </c>
      <c r="W106" s="55">
        <f t="shared" si="33"/>
        <v>0</v>
      </c>
    </row>
    <row r="107" spans="1:23" x14ac:dyDescent="0.25">
      <c r="A107" s="46" t="s">
        <v>42</v>
      </c>
      <c r="B107" s="54" t="s">
        <v>61</v>
      </c>
      <c r="C107" s="59"/>
      <c r="D107" s="55">
        <f t="shared" ref="D107:W107" si="34">D29</f>
        <v>1</v>
      </c>
      <c r="E107" s="55">
        <f t="shared" si="34"/>
        <v>1</v>
      </c>
      <c r="F107" s="55">
        <f t="shared" si="34"/>
        <v>1</v>
      </c>
      <c r="G107" s="55">
        <f t="shared" si="34"/>
        <v>1</v>
      </c>
      <c r="H107" s="55">
        <f t="shared" si="34"/>
        <v>1</v>
      </c>
      <c r="I107" s="55">
        <f t="shared" si="34"/>
        <v>1</v>
      </c>
      <c r="J107" s="55">
        <f t="shared" si="34"/>
        <v>1</v>
      </c>
      <c r="K107" s="55">
        <f t="shared" si="34"/>
        <v>1</v>
      </c>
      <c r="L107" s="55">
        <f t="shared" si="34"/>
        <v>1</v>
      </c>
      <c r="M107" s="55">
        <f t="shared" si="34"/>
        <v>1</v>
      </c>
      <c r="N107" s="55">
        <f t="shared" si="34"/>
        <v>1</v>
      </c>
      <c r="O107" s="55">
        <f t="shared" si="34"/>
        <v>1</v>
      </c>
      <c r="P107" s="55">
        <f t="shared" si="34"/>
        <v>1</v>
      </c>
      <c r="Q107" s="55">
        <f t="shared" si="34"/>
        <v>1</v>
      </c>
      <c r="R107" s="55">
        <f t="shared" si="34"/>
        <v>1</v>
      </c>
      <c r="S107" s="55">
        <f t="shared" si="34"/>
        <v>1</v>
      </c>
      <c r="T107" s="55">
        <f t="shared" si="34"/>
        <v>1</v>
      </c>
      <c r="U107" s="55">
        <f t="shared" si="34"/>
        <v>1</v>
      </c>
      <c r="V107" s="55">
        <f t="shared" si="34"/>
        <v>1</v>
      </c>
      <c r="W107" s="55">
        <f t="shared" si="34"/>
        <v>1</v>
      </c>
    </row>
    <row r="108" spans="1:23" x14ac:dyDescent="0.25">
      <c r="A108" s="46" t="s">
        <v>77</v>
      </c>
      <c r="B108" s="54" t="s">
        <v>58</v>
      </c>
      <c r="C108" s="59"/>
      <c r="D108" s="55">
        <f t="shared" ref="D108:W108" si="35">D30</f>
        <v>1</v>
      </c>
      <c r="E108" s="55">
        <f t="shared" si="35"/>
        <v>1</v>
      </c>
      <c r="F108" s="55">
        <f t="shared" si="35"/>
        <v>1</v>
      </c>
      <c r="G108" s="55">
        <f t="shared" si="35"/>
        <v>1</v>
      </c>
      <c r="H108" s="55">
        <f t="shared" si="35"/>
        <v>1</v>
      </c>
      <c r="I108" s="55">
        <f t="shared" si="35"/>
        <v>1</v>
      </c>
      <c r="J108" s="55">
        <f t="shared" si="35"/>
        <v>1</v>
      </c>
      <c r="K108" s="55">
        <f t="shared" si="35"/>
        <v>1</v>
      </c>
      <c r="L108" s="55">
        <f t="shared" si="35"/>
        <v>1</v>
      </c>
      <c r="M108" s="55">
        <f t="shared" si="35"/>
        <v>1</v>
      </c>
      <c r="N108" s="55">
        <f t="shared" si="35"/>
        <v>1</v>
      </c>
      <c r="O108" s="55">
        <f t="shared" si="35"/>
        <v>1</v>
      </c>
      <c r="P108" s="55">
        <f t="shared" si="35"/>
        <v>1</v>
      </c>
      <c r="Q108" s="55">
        <f t="shared" si="35"/>
        <v>1</v>
      </c>
      <c r="R108" s="55">
        <f t="shared" si="35"/>
        <v>1</v>
      </c>
      <c r="S108" s="55">
        <f t="shared" si="35"/>
        <v>1</v>
      </c>
      <c r="T108" s="55">
        <f t="shared" si="35"/>
        <v>1</v>
      </c>
      <c r="U108" s="55">
        <f t="shared" si="35"/>
        <v>1</v>
      </c>
      <c r="V108" s="55">
        <f t="shared" si="35"/>
        <v>1</v>
      </c>
      <c r="W108" s="55">
        <f t="shared" si="35"/>
        <v>1</v>
      </c>
    </row>
    <row r="109" spans="1:23" x14ac:dyDescent="0.25">
      <c r="A109" s="46" t="s">
        <v>87</v>
      </c>
      <c r="B109" s="47" t="s">
        <v>56</v>
      </c>
      <c r="C109" s="59" t="s">
        <v>89</v>
      </c>
      <c r="D109" s="55">
        <f t="shared" ref="D109:W109" si="36">D31</f>
        <v>1</v>
      </c>
      <c r="E109" s="55">
        <f t="shared" si="36"/>
        <v>1</v>
      </c>
      <c r="F109" s="55">
        <f t="shared" si="36"/>
        <v>0</v>
      </c>
      <c r="G109" s="55">
        <f t="shared" si="36"/>
        <v>0</v>
      </c>
      <c r="H109" s="55">
        <f t="shared" si="36"/>
        <v>0</v>
      </c>
      <c r="I109" s="55">
        <f t="shared" si="36"/>
        <v>0</v>
      </c>
      <c r="J109" s="55">
        <f t="shared" si="36"/>
        <v>0</v>
      </c>
      <c r="K109" s="55">
        <f t="shared" si="36"/>
        <v>0</v>
      </c>
      <c r="L109" s="55">
        <f t="shared" si="36"/>
        <v>0</v>
      </c>
      <c r="M109" s="55">
        <f t="shared" si="36"/>
        <v>0</v>
      </c>
      <c r="N109" s="55">
        <f t="shared" si="36"/>
        <v>0</v>
      </c>
      <c r="O109" s="55">
        <f t="shared" si="36"/>
        <v>0</v>
      </c>
      <c r="P109" s="55">
        <f t="shared" si="36"/>
        <v>0</v>
      </c>
      <c r="Q109" s="55">
        <f t="shared" si="36"/>
        <v>0</v>
      </c>
      <c r="R109" s="55">
        <f t="shared" si="36"/>
        <v>0</v>
      </c>
      <c r="S109" s="55">
        <f t="shared" si="36"/>
        <v>0</v>
      </c>
      <c r="T109" s="55">
        <f t="shared" si="36"/>
        <v>0</v>
      </c>
      <c r="U109" s="55">
        <f t="shared" si="36"/>
        <v>0</v>
      </c>
      <c r="V109" s="55">
        <f t="shared" si="36"/>
        <v>0</v>
      </c>
      <c r="W109" s="55">
        <f t="shared" si="36"/>
        <v>0</v>
      </c>
    </row>
    <row r="110" spans="1:23" x14ac:dyDescent="0.25">
      <c r="A110" s="46" t="s">
        <v>43</v>
      </c>
      <c r="B110" s="54" t="s">
        <v>61</v>
      </c>
      <c r="C110" s="59" t="s">
        <v>89</v>
      </c>
      <c r="D110" s="55">
        <f t="shared" ref="D110:W110" si="37">D32</f>
        <v>1</v>
      </c>
      <c r="E110" s="55">
        <f t="shared" si="37"/>
        <v>0</v>
      </c>
      <c r="F110" s="55">
        <f t="shared" si="37"/>
        <v>0</v>
      </c>
      <c r="G110" s="55">
        <f t="shared" si="37"/>
        <v>0</v>
      </c>
      <c r="H110" s="55">
        <f t="shared" si="37"/>
        <v>0</v>
      </c>
      <c r="I110" s="55">
        <f t="shared" si="37"/>
        <v>0</v>
      </c>
      <c r="J110" s="55">
        <f t="shared" si="37"/>
        <v>0</v>
      </c>
      <c r="K110" s="55">
        <f t="shared" si="37"/>
        <v>0</v>
      </c>
      <c r="L110" s="55">
        <f t="shared" si="37"/>
        <v>0</v>
      </c>
      <c r="M110" s="55">
        <f t="shared" si="37"/>
        <v>0</v>
      </c>
      <c r="N110" s="55">
        <f t="shared" si="37"/>
        <v>0</v>
      </c>
      <c r="O110" s="55">
        <f t="shared" si="37"/>
        <v>0</v>
      </c>
      <c r="P110" s="55">
        <f t="shared" si="37"/>
        <v>0</v>
      </c>
      <c r="Q110" s="55">
        <f t="shared" si="37"/>
        <v>0</v>
      </c>
      <c r="R110" s="55">
        <f t="shared" si="37"/>
        <v>0</v>
      </c>
      <c r="S110" s="55">
        <f t="shared" si="37"/>
        <v>0</v>
      </c>
      <c r="T110" s="55">
        <f t="shared" si="37"/>
        <v>0</v>
      </c>
      <c r="U110" s="55">
        <f t="shared" si="37"/>
        <v>0</v>
      </c>
      <c r="V110" s="55">
        <f t="shared" si="37"/>
        <v>0</v>
      </c>
      <c r="W110" s="55">
        <f t="shared" si="37"/>
        <v>0</v>
      </c>
    </row>
    <row r="111" spans="1:23" x14ac:dyDescent="0.25">
      <c r="A111" s="46" t="s">
        <v>55</v>
      </c>
      <c r="B111" s="47" t="s">
        <v>57</v>
      </c>
      <c r="C111" s="59" t="s">
        <v>89</v>
      </c>
      <c r="D111" s="55">
        <f t="shared" ref="D111:W111" si="38">D33</f>
        <v>1</v>
      </c>
      <c r="E111" s="55">
        <f t="shared" si="38"/>
        <v>1</v>
      </c>
      <c r="F111" s="55">
        <f t="shared" si="38"/>
        <v>1</v>
      </c>
      <c r="G111" s="55">
        <f t="shared" si="38"/>
        <v>1</v>
      </c>
      <c r="H111" s="55">
        <f t="shared" si="38"/>
        <v>0</v>
      </c>
      <c r="I111" s="55">
        <f t="shared" si="38"/>
        <v>0</v>
      </c>
      <c r="J111" s="55">
        <f t="shared" si="38"/>
        <v>0</v>
      </c>
      <c r="K111" s="55">
        <f t="shared" si="38"/>
        <v>0</v>
      </c>
      <c r="L111" s="55">
        <f t="shared" si="38"/>
        <v>0</v>
      </c>
      <c r="M111" s="55">
        <f t="shared" si="38"/>
        <v>0</v>
      </c>
      <c r="N111" s="55">
        <f t="shared" si="38"/>
        <v>0</v>
      </c>
      <c r="O111" s="55">
        <f t="shared" si="38"/>
        <v>0</v>
      </c>
      <c r="P111" s="55">
        <f t="shared" si="38"/>
        <v>0</v>
      </c>
      <c r="Q111" s="55">
        <f t="shared" si="38"/>
        <v>0</v>
      </c>
      <c r="R111" s="55">
        <f t="shared" si="38"/>
        <v>0</v>
      </c>
      <c r="S111" s="55">
        <f t="shared" si="38"/>
        <v>0</v>
      </c>
      <c r="T111" s="55">
        <f t="shared" si="38"/>
        <v>0</v>
      </c>
      <c r="U111" s="55">
        <f t="shared" si="38"/>
        <v>0</v>
      </c>
      <c r="V111" s="55">
        <f t="shared" si="38"/>
        <v>0</v>
      </c>
      <c r="W111" s="55">
        <f t="shared" si="38"/>
        <v>0</v>
      </c>
    </row>
    <row r="112" spans="1:23" x14ac:dyDescent="0.25">
      <c r="A112" s="46" t="s">
        <v>44</v>
      </c>
      <c r="B112" s="46"/>
      <c r="C112" s="59"/>
      <c r="D112" s="55">
        <f t="shared" ref="D112:W112" si="39">D34</f>
        <v>1</v>
      </c>
      <c r="E112" s="55">
        <f t="shared" si="39"/>
        <v>0</v>
      </c>
      <c r="F112" s="55">
        <f t="shared" si="39"/>
        <v>0</v>
      </c>
      <c r="G112" s="55">
        <f t="shared" si="39"/>
        <v>0</v>
      </c>
      <c r="H112" s="55">
        <f t="shared" si="39"/>
        <v>0</v>
      </c>
      <c r="I112" s="55">
        <f t="shared" si="39"/>
        <v>0</v>
      </c>
      <c r="J112" s="55">
        <f t="shared" si="39"/>
        <v>0</v>
      </c>
      <c r="K112" s="55">
        <f t="shared" si="39"/>
        <v>0</v>
      </c>
      <c r="L112" s="55">
        <f t="shared" si="39"/>
        <v>0</v>
      </c>
      <c r="M112" s="55">
        <f t="shared" si="39"/>
        <v>0</v>
      </c>
      <c r="N112" s="55">
        <f t="shared" si="39"/>
        <v>0</v>
      </c>
      <c r="O112" s="55">
        <f t="shared" si="39"/>
        <v>0</v>
      </c>
      <c r="P112" s="55">
        <f t="shared" si="39"/>
        <v>0</v>
      </c>
      <c r="Q112" s="55">
        <f t="shared" si="39"/>
        <v>0</v>
      </c>
      <c r="R112" s="55">
        <f t="shared" si="39"/>
        <v>0</v>
      </c>
      <c r="S112" s="55">
        <f t="shared" si="39"/>
        <v>0</v>
      </c>
      <c r="T112" s="55">
        <f t="shared" si="39"/>
        <v>0</v>
      </c>
      <c r="U112" s="55">
        <f t="shared" si="39"/>
        <v>0</v>
      </c>
      <c r="V112" s="55">
        <f t="shared" si="39"/>
        <v>0</v>
      </c>
      <c r="W112" s="55">
        <f t="shared" si="39"/>
        <v>0</v>
      </c>
    </row>
    <row r="113" spans="1:23" x14ac:dyDescent="0.25">
      <c r="A113" s="46" t="s">
        <v>78</v>
      </c>
      <c r="B113" s="47" t="s">
        <v>57</v>
      </c>
      <c r="C113" s="59" t="s">
        <v>89</v>
      </c>
      <c r="D113" s="55">
        <f t="shared" ref="D113:W113" si="40">D35</f>
        <v>1</v>
      </c>
      <c r="E113" s="55">
        <f t="shared" si="40"/>
        <v>1</v>
      </c>
      <c r="F113" s="55">
        <f t="shared" si="40"/>
        <v>1</v>
      </c>
      <c r="G113" s="55">
        <f t="shared" si="40"/>
        <v>1</v>
      </c>
      <c r="H113" s="55">
        <f t="shared" si="40"/>
        <v>1</v>
      </c>
      <c r="I113" s="55">
        <f t="shared" si="40"/>
        <v>0</v>
      </c>
      <c r="J113" s="55">
        <f t="shared" si="40"/>
        <v>0</v>
      </c>
      <c r="K113" s="55">
        <f t="shared" si="40"/>
        <v>0</v>
      </c>
      <c r="L113" s="55">
        <f t="shared" si="40"/>
        <v>0</v>
      </c>
      <c r="M113" s="55">
        <f t="shared" si="40"/>
        <v>0</v>
      </c>
      <c r="N113" s="55">
        <f t="shared" si="40"/>
        <v>0</v>
      </c>
      <c r="O113" s="55">
        <f t="shared" si="40"/>
        <v>0</v>
      </c>
      <c r="P113" s="55">
        <f t="shared" si="40"/>
        <v>0</v>
      </c>
      <c r="Q113" s="55">
        <f t="shared" si="40"/>
        <v>0</v>
      </c>
      <c r="R113" s="55">
        <f t="shared" si="40"/>
        <v>0</v>
      </c>
      <c r="S113" s="55">
        <f t="shared" si="40"/>
        <v>0</v>
      </c>
      <c r="T113" s="55">
        <f t="shared" si="40"/>
        <v>0</v>
      </c>
      <c r="U113" s="55">
        <f t="shared" si="40"/>
        <v>0</v>
      </c>
      <c r="V113" s="55">
        <f t="shared" si="40"/>
        <v>0</v>
      </c>
      <c r="W113" s="55">
        <f t="shared" si="40"/>
        <v>0</v>
      </c>
    </row>
    <row r="114" spans="1:23" x14ac:dyDescent="0.25">
      <c r="A114" s="46" t="s">
        <v>45</v>
      </c>
      <c r="B114" s="47" t="s">
        <v>57</v>
      </c>
      <c r="C114" s="59"/>
      <c r="D114" s="55">
        <f t="shared" ref="D114:W114" si="41">D36</f>
        <v>1</v>
      </c>
      <c r="E114" s="55">
        <f t="shared" si="41"/>
        <v>1</v>
      </c>
      <c r="F114" s="55">
        <f t="shared" si="41"/>
        <v>1</v>
      </c>
      <c r="G114" s="55">
        <f t="shared" si="41"/>
        <v>0</v>
      </c>
      <c r="H114" s="55">
        <f t="shared" si="41"/>
        <v>0</v>
      </c>
      <c r="I114" s="55">
        <f t="shared" si="41"/>
        <v>0</v>
      </c>
      <c r="J114" s="55">
        <f t="shared" si="41"/>
        <v>0</v>
      </c>
      <c r="K114" s="55">
        <f t="shared" si="41"/>
        <v>0</v>
      </c>
      <c r="L114" s="55">
        <f t="shared" si="41"/>
        <v>0</v>
      </c>
      <c r="M114" s="55">
        <f t="shared" si="41"/>
        <v>0</v>
      </c>
      <c r="N114" s="55">
        <f t="shared" si="41"/>
        <v>0</v>
      </c>
      <c r="O114" s="55">
        <f t="shared" si="41"/>
        <v>0</v>
      </c>
      <c r="P114" s="55">
        <f t="shared" si="41"/>
        <v>0</v>
      </c>
      <c r="Q114" s="55">
        <f t="shared" si="41"/>
        <v>0</v>
      </c>
      <c r="R114" s="55">
        <f t="shared" si="41"/>
        <v>0</v>
      </c>
      <c r="S114" s="55">
        <f t="shared" si="41"/>
        <v>0</v>
      </c>
      <c r="T114" s="55">
        <f t="shared" si="41"/>
        <v>0</v>
      </c>
      <c r="U114" s="55">
        <f t="shared" si="41"/>
        <v>0</v>
      </c>
      <c r="V114" s="55">
        <f t="shared" si="41"/>
        <v>0</v>
      </c>
      <c r="W114" s="55">
        <f t="shared" si="41"/>
        <v>0</v>
      </c>
    </row>
    <row r="115" spans="1:23" x14ac:dyDescent="0.25">
      <c r="A115" s="46" t="s">
        <v>46</v>
      </c>
      <c r="B115" s="54" t="s">
        <v>59</v>
      </c>
      <c r="C115" s="59"/>
      <c r="D115" s="55">
        <f t="shared" ref="D115:W115" si="42">D37</f>
        <v>1</v>
      </c>
      <c r="E115" s="55">
        <f t="shared" si="42"/>
        <v>1</v>
      </c>
      <c r="F115" s="55">
        <f t="shared" si="42"/>
        <v>1</v>
      </c>
      <c r="G115" s="55">
        <f t="shared" si="42"/>
        <v>1</v>
      </c>
      <c r="H115" s="55">
        <f t="shared" si="42"/>
        <v>1</v>
      </c>
      <c r="I115" s="55">
        <f t="shared" si="42"/>
        <v>1</v>
      </c>
      <c r="J115" s="55">
        <f t="shared" si="42"/>
        <v>1</v>
      </c>
      <c r="K115" s="55">
        <f t="shared" si="42"/>
        <v>1</v>
      </c>
      <c r="L115" s="55">
        <f t="shared" si="42"/>
        <v>1</v>
      </c>
      <c r="M115" s="55">
        <f t="shared" si="42"/>
        <v>1</v>
      </c>
      <c r="N115" s="55">
        <f t="shared" si="42"/>
        <v>1</v>
      </c>
      <c r="O115" s="55">
        <f t="shared" si="42"/>
        <v>1</v>
      </c>
      <c r="P115" s="55">
        <f t="shared" si="42"/>
        <v>1</v>
      </c>
      <c r="Q115" s="55">
        <f t="shared" si="42"/>
        <v>1</v>
      </c>
      <c r="R115" s="55">
        <f t="shared" si="42"/>
        <v>1</v>
      </c>
      <c r="S115" s="55">
        <f t="shared" si="42"/>
        <v>1</v>
      </c>
      <c r="T115" s="55">
        <f t="shared" si="42"/>
        <v>1</v>
      </c>
      <c r="U115" s="55">
        <f t="shared" si="42"/>
        <v>1</v>
      </c>
      <c r="V115" s="55">
        <f t="shared" si="42"/>
        <v>1</v>
      </c>
      <c r="W115" s="55">
        <f t="shared" si="42"/>
        <v>1</v>
      </c>
    </row>
    <row r="116" spans="1:23" x14ac:dyDescent="0.25">
      <c r="A116" s="46" t="s">
        <v>47</v>
      </c>
      <c r="B116" s="55" t="s">
        <v>64</v>
      </c>
      <c r="C116" s="59"/>
      <c r="D116" s="55">
        <f t="shared" ref="D116:W116" si="43">D38</f>
        <v>0</v>
      </c>
      <c r="E116" s="55">
        <f t="shared" si="43"/>
        <v>0</v>
      </c>
      <c r="F116" s="55">
        <f t="shared" si="43"/>
        <v>0</v>
      </c>
      <c r="G116" s="55">
        <f t="shared" si="43"/>
        <v>0</v>
      </c>
      <c r="H116" s="55">
        <f t="shared" si="43"/>
        <v>0</v>
      </c>
      <c r="I116" s="55">
        <f t="shared" si="43"/>
        <v>0</v>
      </c>
      <c r="J116" s="55">
        <f t="shared" si="43"/>
        <v>0</v>
      </c>
      <c r="K116" s="55">
        <f t="shared" si="43"/>
        <v>0</v>
      </c>
      <c r="L116" s="55">
        <f t="shared" si="43"/>
        <v>0</v>
      </c>
      <c r="M116" s="55">
        <f t="shared" si="43"/>
        <v>0</v>
      </c>
      <c r="N116" s="55">
        <f t="shared" si="43"/>
        <v>0</v>
      </c>
      <c r="O116" s="55">
        <f t="shared" si="43"/>
        <v>0</v>
      </c>
      <c r="P116" s="55">
        <f t="shared" si="43"/>
        <v>0</v>
      </c>
      <c r="Q116" s="55">
        <f t="shared" si="43"/>
        <v>0</v>
      </c>
      <c r="R116" s="55">
        <f t="shared" si="43"/>
        <v>0</v>
      </c>
      <c r="S116" s="55">
        <f t="shared" si="43"/>
        <v>0</v>
      </c>
      <c r="T116" s="55">
        <f t="shared" si="43"/>
        <v>0</v>
      </c>
      <c r="U116" s="55">
        <f t="shared" si="43"/>
        <v>0</v>
      </c>
      <c r="V116" s="55">
        <f t="shared" si="43"/>
        <v>0</v>
      </c>
      <c r="W116" s="55">
        <f t="shared" si="43"/>
        <v>0</v>
      </c>
    </row>
    <row r="117" spans="1:23" x14ac:dyDescent="0.25">
      <c r="A117" s="46" t="s">
        <v>48</v>
      </c>
      <c r="B117" s="55" t="s">
        <v>64</v>
      </c>
      <c r="C117" s="59"/>
      <c r="D117" s="55">
        <f t="shared" ref="D117:W117" si="44">D39</f>
        <v>0</v>
      </c>
      <c r="E117" s="55">
        <f t="shared" si="44"/>
        <v>0</v>
      </c>
      <c r="F117" s="55">
        <f t="shared" si="44"/>
        <v>0</v>
      </c>
      <c r="G117" s="55">
        <f t="shared" si="44"/>
        <v>0</v>
      </c>
      <c r="H117" s="55">
        <f t="shared" si="44"/>
        <v>0</v>
      </c>
      <c r="I117" s="55">
        <f t="shared" si="44"/>
        <v>0</v>
      </c>
      <c r="J117" s="55">
        <f t="shared" si="44"/>
        <v>0</v>
      </c>
      <c r="K117" s="55">
        <f t="shared" si="44"/>
        <v>0</v>
      </c>
      <c r="L117" s="55">
        <f t="shared" si="44"/>
        <v>0</v>
      </c>
      <c r="M117" s="55">
        <f t="shared" si="44"/>
        <v>0</v>
      </c>
      <c r="N117" s="55">
        <f t="shared" si="44"/>
        <v>0</v>
      </c>
      <c r="O117" s="55">
        <f t="shared" si="44"/>
        <v>0</v>
      </c>
      <c r="P117" s="55">
        <f t="shared" si="44"/>
        <v>0</v>
      </c>
      <c r="Q117" s="55">
        <f t="shared" si="44"/>
        <v>0</v>
      </c>
      <c r="R117" s="55">
        <f t="shared" si="44"/>
        <v>0</v>
      </c>
      <c r="S117" s="55">
        <f t="shared" si="44"/>
        <v>0</v>
      </c>
      <c r="T117" s="55">
        <f t="shared" si="44"/>
        <v>0</v>
      </c>
      <c r="U117" s="55">
        <f t="shared" si="44"/>
        <v>0</v>
      </c>
      <c r="V117" s="55">
        <f t="shared" si="44"/>
        <v>0</v>
      </c>
      <c r="W117" s="55">
        <f t="shared" si="44"/>
        <v>0</v>
      </c>
    </row>
    <row r="118" spans="1:23" x14ac:dyDescent="0.25">
      <c r="A118" s="46" t="s">
        <v>49</v>
      </c>
      <c r="B118" s="47" t="s">
        <v>57</v>
      </c>
      <c r="C118" s="59" t="s">
        <v>89</v>
      </c>
      <c r="D118" s="55">
        <f t="shared" ref="D118:W118" si="45">D40</f>
        <v>0</v>
      </c>
      <c r="E118" s="55">
        <f t="shared" si="45"/>
        <v>0</v>
      </c>
      <c r="F118" s="55">
        <f t="shared" si="45"/>
        <v>0</v>
      </c>
      <c r="G118" s="55">
        <f t="shared" si="45"/>
        <v>0</v>
      </c>
      <c r="H118" s="55">
        <f t="shared" si="45"/>
        <v>0</v>
      </c>
      <c r="I118" s="55">
        <f t="shared" si="45"/>
        <v>0</v>
      </c>
      <c r="J118" s="55">
        <f t="shared" si="45"/>
        <v>0</v>
      </c>
      <c r="K118" s="55">
        <f t="shared" si="45"/>
        <v>0</v>
      </c>
      <c r="L118" s="55">
        <f t="shared" si="45"/>
        <v>0</v>
      </c>
      <c r="M118" s="55">
        <f t="shared" si="45"/>
        <v>0</v>
      </c>
      <c r="N118" s="55">
        <f t="shared" si="45"/>
        <v>0</v>
      </c>
      <c r="O118" s="55">
        <f t="shared" si="45"/>
        <v>0</v>
      </c>
      <c r="P118" s="55">
        <f t="shared" si="45"/>
        <v>0</v>
      </c>
      <c r="Q118" s="55">
        <f t="shared" si="45"/>
        <v>0</v>
      </c>
      <c r="R118" s="55">
        <f t="shared" si="45"/>
        <v>0</v>
      </c>
      <c r="S118" s="55">
        <f t="shared" si="45"/>
        <v>0</v>
      </c>
      <c r="T118" s="55">
        <f t="shared" si="45"/>
        <v>0</v>
      </c>
      <c r="U118" s="55">
        <f t="shared" si="45"/>
        <v>0</v>
      </c>
      <c r="V118" s="55">
        <f t="shared" si="45"/>
        <v>0</v>
      </c>
      <c r="W118" s="55">
        <f t="shared" si="45"/>
        <v>0</v>
      </c>
    </row>
    <row r="119" spans="1:23" x14ac:dyDescent="0.25">
      <c r="A119" s="46" t="s">
        <v>50</v>
      </c>
      <c r="B119" s="54" t="s">
        <v>61</v>
      </c>
      <c r="C119" s="59" t="s">
        <v>89</v>
      </c>
      <c r="D119" s="55">
        <f t="shared" ref="D119:W119" si="46">D41</f>
        <v>1</v>
      </c>
      <c r="E119" s="55">
        <f t="shared" si="46"/>
        <v>1</v>
      </c>
      <c r="F119" s="55">
        <f t="shared" si="46"/>
        <v>1</v>
      </c>
      <c r="G119" s="55">
        <f t="shared" si="46"/>
        <v>1</v>
      </c>
      <c r="H119" s="55">
        <f t="shared" si="46"/>
        <v>1</v>
      </c>
      <c r="I119" s="55">
        <f t="shared" si="46"/>
        <v>0</v>
      </c>
      <c r="J119" s="55">
        <f t="shared" si="46"/>
        <v>0</v>
      </c>
      <c r="K119" s="55">
        <f t="shared" si="46"/>
        <v>0</v>
      </c>
      <c r="L119" s="55">
        <f t="shared" si="46"/>
        <v>0</v>
      </c>
      <c r="M119" s="55">
        <f t="shared" si="46"/>
        <v>0</v>
      </c>
      <c r="N119" s="55">
        <f t="shared" si="46"/>
        <v>0</v>
      </c>
      <c r="O119" s="55">
        <f t="shared" si="46"/>
        <v>0</v>
      </c>
      <c r="P119" s="55">
        <f t="shared" si="46"/>
        <v>0</v>
      </c>
      <c r="Q119" s="55">
        <f t="shared" si="46"/>
        <v>0</v>
      </c>
      <c r="R119" s="55">
        <f t="shared" si="46"/>
        <v>0</v>
      </c>
      <c r="S119" s="55">
        <f t="shared" si="46"/>
        <v>0</v>
      </c>
      <c r="T119" s="55">
        <f t="shared" si="46"/>
        <v>0</v>
      </c>
      <c r="U119" s="55">
        <f t="shared" si="46"/>
        <v>0</v>
      </c>
      <c r="V119" s="55">
        <f t="shared" si="46"/>
        <v>0</v>
      </c>
      <c r="W119" s="55">
        <f t="shared" si="46"/>
        <v>0</v>
      </c>
    </row>
    <row r="120" spans="1:23" x14ac:dyDescent="0.25">
      <c r="A120" s="46" t="s">
        <v>79</v>
      </c>
      <c r="B120" s="54" t="s">
        <v>59</v>
      </c>
      <c r="C120" s="59"/>
      <c r="D120" s="55">
        <f t="shared" ref="D120:W120" si="47">D42</f>
        <v>1</v>
      </c>
      <c r="E120" s="55">
        <f t="shared" si="47"/>
        <v>1</v>
      </c>
      <c r="F120" s="55">
        <f t="shared" si="47"/>
        <v>1</v>
      </c>
      <c r="G120" s="55">
        <f t="shared" si="47"/>
        <v>1</v>
      </c>
      <c r="H120" s="55">
        <f t="shared" si="47"/>
        <v>1</v>
      </c>
      <c r="I120" s="55">
        <f t="shared" si="47"/>
        <v>1</v>
      </c>
      <c r="J120" s="55">
        <f t="shared" si="47"/>
        <v>1</v>
      </c>
      <c r="K120" s="55">
        <f t="shared" si="47"/>
        <v>1</v>
      </c>
      <c r="L120" s="55">
        <f t="shared" si="47"/>
        <v>1</v>
      </c>
      <c r="M120" s="55">
        <f t="shared" si="47"/>
        <v>1</v>
      </c>
      <c r="N120" s="55">
        <f t="shared" si="47"/>
        <v>1</v>
      </c>
      <c r="O120" s="55">
        <f t="shared" si="47"/>
        <v>1</v>
      </c>
      <c r="P120" s="55">
        <f t="shared" si="47"/>
        <v>1</v>
      </c>
      <c r="Q120" s="55">
        <f t="shared" si="47"/>
        <v>1</v>
      </c>
      <c r="R120" s="55">
        <f t="shared" si="47"/>
        <v>1</v>
      </c>
      <c r="S120" s="55">
        <f t="shared" si="47"/>
        <v>1</v>
      </c>
      <c r="T120" s="55">
        <f t="shared" si="47"/>
        <v>1</v>
      </c>
      <c r="U120" s="55">
        <f t="shared" si="47"/>
        <v>1</v>
      </c>
      <c r="V120" s="55">
        <f t="shared" si="47"/>
        <v>1</v>
      </c>
      <c r="W120" s="55">
        <f t="shared" si="47"/>
        <v>1</v>
      </c>
    </row>
    <row r="121" spans="1:23" x14ac:dyDescent="0.25">
      <c r="A121" s="46" t="s">
        <v>80</v>
      </c>
      <c r="B121" s="47" t="s">
        <v>62</v>
      </c>
      <c r="C121" s="59"/>
      <c r="D121" s="55">
        <f t="shared" ref="D121:W121" si="48">D43</f>
        <v>1</v>
      </c>
      <c r="E121" s="55">
        <f t="shared" si="48"/>
        <v>1</v>
      </c>
      <c r="F121" s="55">
        <f t="shared" si="48"/>
        <v>0</v>
      </c>
      <c r="G121" s="55">
        <f t="shared" si="48"/>
        <v>0</v>
      </c>
      <c r="H121" s="55">
        <f t="shared" si="48"/>
        <v>0</v>
      </c>
      <c r="I121" s="55">
        <f t="shared" si="48"/>
        <v>0</v>
      </c>
      <c r="J121" s="55">
        <f t="shared" si="48"/>
        <v>0</v>
      </c>
      <c r="K121" s="55">
        <f t="shared" si="48"/>
        <v>0</v>
      </c>
      <c r="L121" s="55">
        <f t="shared" si="48"/>
        <v>0</v>
      </c>
      <c r="M121" s="55">
        <f t="shared" si="48"/>
        <v>0</v>
      </c>
      <c r="N121" s="55">
        <f t="shared" si="48"/>
        <v>0</v>
      </c>
      <c r="O121" s="55">
        <f t="shared" si="48"/>
        <v>0</v>
      </c>
      <c r="P121" s="55">
        <f t="shared" si="48"/>
        <v>0</v>
      </c>
      <c r="Q121" s="55">
        <f t="shared" si="48"/>
        <v>0</v>
      </c>
      <c r="R121" s="55">
        <f t="shared" si="48"/>
        <v>0</v>
      </c>
      <c r="S121" s="55">
        <f t="shared" si="48"/>
        <v>0</v>
      </c>
      <c r="T121" s="55">
        <f t="shared" si="48"/>
        <v>0</v>
      </c>
      <c r="U121" s="55">
        <f t="shared" si="48"/>
        <v>0</v>
      </c>
      <c r="V121" s="55">
        <f t="shared" si="48"/>
        <v>0</v>
      </c>
      <c r="W121" s="55">
        <f t="shared" si="48"/>
        <v>0</v>
      </c>
    </row>
    <row r="122" spans="1:23" x14ac:dyDescent="0.25">
      <c r="A122" s="46" t="s">
        <v>81</v>
      </c>
      <c r="B122" s="47" t="s">
        <v>57</v>
      </c>
      <c r="C122" s="59" t="s">
        <v>89</v>
      </c>
      <c r="D122" s="55">
        <f t="shared" ref="D122:W122" si="49">D44</f>
        <v>1</v>
      </c>
      <c r="E122" s="55">
        <f t="shared" si="49"/>
        <v>1</v>
      </c>
      <c r="F122" s="55">
        <f t="shared" si="49"/>
        <v>1</v>
      </c>
      <c r="G122" s="55">
        <f t="shared" si="49"/>
        <v>1</v>
      </c>
      <c r="H122" s="55">
        <f t="shared" si="49"/>
        <v>1</v>
      </c>
      <c r="I122" s="55">
        <f t="shared" si="49"/>
        <v>1</v>
      </c>
      <c r="J122" s="55">
        <f t="shared" si="49"/>
        <v>1</v>
      </c>
      <c r="K122" s="55">
        <f t="shared" si="49"/>
        <v>0</v>
      </c>
      <c r="L122" s="55">
        <f t="shared" si="49"/>
        <v>0</v>
      </c>
      <c r="M122" s="55">
        <f t="shared" si="49"/>
        <v>0</v>
      </c>
      <c r="N122" s="55">
        <f t="shared" si="49"/>
        <v>0</v>
      </c>
      <c r="O122" s="55">
        <f t="shared" si="49"/>
        <v>0</v>
      </c>
      <c r="P122" s="55">
        <f t="shared" si="49"/>
        <v>0</v>
      </c>
      <c r="Q122" s="55">
        <f t="shared" si="49"/>
        <v>0</v>
      </c>
      <c r="R122" s="55">
        <f t="shared" si="49"/>
        <v>0</v>
      </c>
      <c r="S122" s="55">
        <f t="shared" si="49"/>
        <v>0</v>
      </c>
      <c r="T122" s="55">
        <f t="shared" si="49"/>
        <v>0</v>
      </c>
      <c r="U122" s="55">
        <f t="shared" si="49"/>
        <v>0</v>
      </c>
      <c r="V122" s="55">
        <f t="shared" si="49"/>
        <v>0</v>
      </c>
      <c r="W122" s="55">
        <f t="shared" si="49"/>
        <v>0</v>
      </c>
    </row>
    <row r="123" spans="1:23" x14ac:dyDescent="0.25">
      <c r="A123" s="46" t="s">
        <v>51</v>
      </c>
      <c r="B123" s="47" t="s">
        <v>56</v>
      </c>
      <c r="C123" s="59"/>
      <c r="D123" s="55">
        <f t="shared" ref="D123:W123" si="50">D45</f>
        <v>1</v>
      </c>
      <c r="E123" s="55">
        <f t="shared" si="50"/>
        <v>1</v>
      </c>
      <c r="F123" s="55">
        <f t="shared" si="50"/>
        <v>0</v>
      </c>
      <c r="G123" s="55">
        <f t="shared" si="50"/>
        <v>0</v>
      </c>
      <c r="H123" s="55">
        <f t="shared" si="50"/>
        <v>0</v>
      </c>
      <c r="I123" s="55">
        <f t="shared" si="50"/>
        <v>0</v>
      </c>
      <c r="J123" s="55">
        <f t="shared" si="50"/>
        <v>0</v>
      </c>
      <c r="K123" s="55">
        <f t="shared" si="50"/>
        <v>0</v>
      </c>
      <c r="L123" s="55">
        <f t="shared" si="50"/>
        <v>0</v>
      </c>
      <c r="M123" s="55">
        <f t="shared" si="50"/>
        <v>0</v>
      </c>
      <c r="N123" s="55">
        <f t="shared" si="50"/>
        <v>0</v>
      </c>
      <c r="O123" s="55">
        <f t="shared" si="50"/>
        <v>0</v>
      </c>
      <c r="P123" s="55">
        <f t="shared" si="50"/>
        <v>0</v>
      </c>
      <c r="Q123" s="55">
        <f t="shared" si="50"/>
        <v>0</v>
      </c>
      <c r="R123" s="55">
        <f t="shared" si="50"/>
        <v>0</v>
      </c>
      <c r="S123" s="55">
        <f t="shared" si="50"/>
        <v>0</v>
      </c>
      <c r="T123" s="55">
        <f t="shared" si="50"/>
        <v>0</v>
      </c>
      <c r="U123" s="55">
        <f t="shared" si="50"/>
        <v>0</v>
      </c>
      <c r="V123" s="55">
        <f t="shared" si="50"/>
        <v>0</v>
      </c>
      <c r="W123" s="55">
        <f t="shared" si="50"/>
        <v>0</v>
      </c>
    </row>
    <row r="124" spans="1:23" x14ac:dyDescent="0.25">
      <c r="A124" s="46" t="s">
        <v>52</v>
      </c>
      <c r="B124" s="47" t="s">
        <v>56</v>
      </c>
      <c r="C124" s="59"/>
      <c r="D124" s="55">
        <f t="shared" ref="D124:W124" si="51">D46</f>
        <v>1</v>
      </c>
      <c r="E124" s="55">
        <f t="shared" si="51"/>
        <v>1</v>
      </c>
      <c r="F124" s="55">
        <f t="shared" si="51"/>
        <v>0</v>
      </c>
      <c r="G124" s="55">
        <f t="shared" si="51"/>
        <v>0</v>
      </c>
      <c r="H124" s="55">
        <f t="shared" si="51"/>
        <v>0</v>
      </c>
      <c r="I124" s="55">
        <f t="shared" si="51"/>
        <v>0</v>
      </c>
      <c r="J124" s="55">
        <f t="shared" si="51"/>
        <v>0</v>
      </c>
      <c r="K124" s="55">
        <f t="shared" si="51"/>
        <v>0</v>
      </c>
      <c r="L124" s="55">
        <f t="shared" si="51"/>
        <v>0</v>
      </c>
      <c r="M124" s="55">
        <f t="shared" si="51"/>
        <v>0</v>
      </c>
      <c r="N124" s="55">
        <f t="shared" si="51"/>
        <v>0</v>
      </c>
      <c r="O124" s="55">
        <f t="shared" si="51"/>
        <v>0</v>
      </c>
      <c r="P124" s="55">
        <f t="shared" si="51"/>
        <v>0</v>
      </c>
      <c r="Q124" s="55">
        <f t="shared" si="51"/>
        <v>0</v>
      </c>
      <c r="R124" s="55">
        <f t="shared" si="51"/>
        <v>0</v>
      </c>
      <c r="S124" s="55">
        <f t="shared" si="51"/>
        <v>0</v>
      </c>
      <c r="T124" s="55">
        <f t="shared" si="51"/>
        <v>0</v>
      </c>
      <c r="U124" s="55">
        <f t="shared" si="51"/>
        <v>0</v>
      </c>
      <c r="V124" s="55">
        <f t="shared" si="51"/>
        <v>0</v>
      </c>
      <c r="W124" s="55">
        <f t="shared" si="51"/>
        <v>0</v>
      </c>
    </row>
    <row r="125" spans="1:23" x14ac:dyDescent="0.25">
      <c r="A125" s="46" t="s">
        <v>53</v>
      </c>
      <c r="B125" s="47" t="s">
        <v>56</v>
      </c>
      <c r="C125" s="59"/>
      <c r="D125" s="55">
        <f t="shared" ref="D125:W125" si="52">D47</f>
        <v>1</v>
      </c>
      <c r="E125" s="55">
        <f t="shared" si="52"/>
        <v>1</v>
      </c>
      <c r="F125" s="55">
        <f t="shared" si="52"/>
        <v>0</v>
      </c>
      <c r="G125" s="55">
        <f t="shared" si="52"/>
        <v>0</v>
      </c>
      <c r="H125" s="55">
        <f t="shared" si="52"/>
        <v>0</v>
      </c>
      <c r="I125" s="55">
        <f t="shared" si="52"/>
        <v>0</v>
      </c>
      <c r="J125" s="55">
        <f t="shared" si="52"/>
        <v>0</v>
      </c>
      <c r="K125" s="55">
        <f t="shared" si="52"/>
        <v>0</v>
      </c>
      <c r="L125" s="55">
        <f t="shared" si="52"/>
        <v>0</v>
      </c>
      <c r="M125" s="55">
        <f t="shared" si="52"/>
        <v>0</v>
      </c>
      <c r="N125" s="55">
        <f t="shared" si="52"/>
        <v>0</v>
      </c>
      <c r="O125" s="55">
        <f t="shared" si="52"/>
        <v>0</v>
      </c>
      <c r="P125" s="55">
        <f t="shared" si="52"/>
        <v>0</v>
      </c>
      <c r="Q125" s="55">
        <f t="shared" si="52"/>
        <v>0</v>
      </c>
      <c r="R125" s="55">
        <f t="shared" si="52"/>
        <v>0</v>
      </c>
      <c r="S125" s="55">
        <f t="shared" si="52"/>
        <v>0</v>
      </c>
      <c r="T125" s="55">
        <f t="shared" si="52"/>
        <v>0</v>
      </c>
      <c r="U125" s="55">
        <f t="shared" si="52"/>
        <v>0</v>
      </c>
      <c r="V125" s="55">
        <f t="shared" si="52"/>
        <v>0</v>
      </c>
      <c r="W125" s="55">
        <f t="shared" si="52"/>
        <v>0</v>
      </c>
    </row>
    <row r="126" spans="1:23" x14ac:dyDescent="0.25">
      <c r="A126" s="46" t="s">
        <v>54</v>
      </c>
      <c r="B126" s="47" t="s">
        <v>57</v>
      </c>
      <c r="C126" s="59"/>
      <c r="D126" s="55">
        <f t="shared" ref="D126:W126" si="53">D48</f>
        <v>1</v>
      </c>
      <c r="E126" s="55">
        <f t="shared" si="53"/>
        <v>0</v>
      </c>
      <c r="F126" s="55">
        <f t="shared" si="53"/>
        <v>0</v>
      </c>
      <c r="G126" s="55">
        <f t="shared" si="53"/>
        <v>0</v>
      </c>
      <c r="H126" s="55">
        <f t="shared" si="53"/>
        <v>0</v>
      </c>
      <c r="I126" s="55">
        <f t="shared" si="53"/>
        <v>0</v>
      </c>
      <c r="J126" s="55">
        <f t="shared" si="53"/>
        <v>0</v>
      </c>
      <c r="K126" s="55">
        <f t="shared" si="53"/>
        <v>0</v>
      </c>
      <c r="L126" s="55">
        <f t="shared" si="53"/>
        <v>0</v>
      </c>
      <c r="M126" s="55">
        <f t="shared" si="53"/>
        <v>0</v>
      </c>
      <c r="N126" s="55">
        <f t="shared" si="53"/>
        <v>0</v>
      </c>
      <c r="O126" s="55">
        <f t="shared" si="53"/>
        <v>0</v>
      </c>
      <c r="P126" s="55">
        <f t="shared" si="53"/>
        <v>0</v>
      </c>
      <c r="Q126" s="55">
        <f t="shared" si="53"/>
        <v>0</v>
      </c>
      <c r="R126" s="55">
        <f t="shared" si="53"/>
        <v>0</v>
      </c>
      <c r="S126" s="55">
        <f t="shared" si="53"/>
        <v>0</v>
      </c>
      <c r="T126" s="55">
        <f t="shared" si="53"/>
        <v>0</v>
      </c>
      <c r="U126" s="55">
        <f t="shared" si="53"/>
        <v>0</v>
      </c>
      <c r="V126" s="55">
        <f t="shared" si="53"/>
        <v>0</v>
      </c>
      <c r="W126" s="55">
        <f t="shared" si="53"/>
        <v>0</v>
      </c>
    </row>
    <row r="127" spans="1:23" x14ac:dyDescent="0.25">
      <c r="A127" s="110" t="str">
        <f>A49</f>
        <v>New</v>
      </c>
      <c r="B127" s="110" t="str">
        <f>B49</f>
        <v>Human Space Flight</v>
      </c>
      <c r="C127" s="37" t="str">
        <f>New_missions!C88</f>
        <v>-</v>
      </c>
      <c r="D127" s="37">
        <f>New_missions!D14+New_missions!D38</f>
        <v>0.4</v>
      </c>
      <c r="E127" s="37">
        <f>New_missions!E14+New_missions!E38</f>
        <v>0.8</v>
      </c>
      <c r="F127" s="37">
        <f>New_missions!F14+New_missions!F38</f>
        <v>1.2000000000000002</v>
      </c>
      <c r="G127" s="37">
        <f>New_missions!G14+New_missions!G38</f>
        <v>1.6</v>
      </c>
      <c r="H127" s="37">
        <f>New_missions!H14+New_missions!H38</f>
        <v>2</v>
      </c>
      <c r="I127" s="37">
        <f>New_missions!I14+New_missions!I38</f>
        <v>2.4</v>
      </c>
      <c r="J127" s="37">
        <f>New_missions!J14+New_missions!J38</f>
        <v>2.8</v>
      </c>
      <c r="K127" s="37">
        <f>New_missions!K14+New_missions!K38</f>
        <v>3.1999999999999997</v>
      </c>
      <c r="L127" s="37">
        <f>New_missions!L14+New_missions!L38</f>
        <v>3.5999999999999996</v>
      </c>
      <c r="M127" s="37">
        <f>New_missions!M14+New_missions!M38</f>
        <v>3.9999999999999996</v>
      </c>
      <c r="N127" s="37">
        <f>New_missions!N14+New_missions!N38</f>
        <v>6</v>
      </c>
      <c r="O127" s="37">
        <f>New_missions!O14+New_missions!O38</f>
        <v>6</v>
      </c>
      <c r="P127" s="37">
        <f>New_missions!P14+New_missions!P38</f>
        <v>6</v>
      </c>
      <c r="Q127" s="37">
        <f>New_missions!Q14+New_missions!Q38</f>
        <v>6</v>
      </c>
      <c r="R127" s="37">
        <f>New_missions!R14+New_missions!R38</f>
        <v>6</v>
      </c>
      <c r="S127" s="37">
        <f>New_missions!S14+New_missions!S38</f>
        <v>6</v>
      </c>
      <c r="T127" s="37">
        <f>New_missions!T14+New_missions!T38</f>
        <v>6</v>
      </c>
      <c r="U127" s="37">
        <f>New_missions!U14+New_missions!U38</f>
        <v>6</v>
      </c>
      <c r="V127" s="37">
        <f>New_missions!V14+New_missions!V38</f>
        <v>6</v>
      </c>
      <c r="W127" s="37">
        <f>New_missions!W14+New_missions!W38</f>
        <v>6</v>
      </c>
    </row>
    <row r="128" spans="1:23" x14ac:dyDescent="0.25">
      <c r="A128" s="110" t="str">
        <f t="shared" ref="A128:B128" si="54">A50</f>
        <v>New</v>
      </c>
      <c r="B128" s="110" t="str">
        <f t="shared" si="54"/>
        <v>Near Earth Robotic - LEO Science</v>
      </c>
      <c r="C128" s="37" t="str">
        <f>New_missions!C89</f>
        <v>-</v>
      </c>
      <c r="D128" s="37">
        <f>New_missions!D15+New_missions!D39</f>
        <v>1.4</v>
      </c>
      <c r="E128" s="37">
        <f>New_missions!E15+New_missions!E39</f>
        <v>4.8</v>
      </c>
      <c r="F128" s="37">
        <f>New_missions!F15+New_missions!F39</f>
        <v>7.1999999999999993</v>
      </c>
      <c r="G128" s="37">
        <f>New_missions!G15+New_missions!G39</f>
        <v>10.6</v>
      </c>
      <c r="H128" s="37">
        <f>New_missions!H15+New_missions!H39</f>
        <v>15</v>
      </c>
      <c r="I128" s="37">
        <f>New_missions!I15+New_missions!I39</f>
        <v>19.399999999999999</v>
      </c>
      <c r="J128" s="37">
        <f>New_missions!J15+New_missions!J39</f>
        <v>23.8</v>
      </c>
      <c r="K128" s="37">
        <f>New_missions!K15+New_missions!K39</f>
        <v>27.200000000000003</v>
      </c>
      <c r="L128" s="37">
        <f>New_missions!L15+New_missions!L39</f>
        <v>28.6</v>
      </c>
      <c r="M128" s="37">
        <f>New_missions!M15+New_missions!M39</f>
        <v>30</v>
      </c>
      <c r="N128" s="37">
        <f>New_missions!N15+New_missions!N39</f>
        <v>30</v>
      </c>
      <c r="O128" s="37">
        <f>New_missions!O15+New_missions!O39</f>
        <v>30</v>
      </c>
      <c r="P128" s="37">
        <f>New_missions!P15+New_missions!P39</f>
        <v>30</v>
      </c>
      <c r="Q128" s="37">
        <f>New_missions!Q15+New_missions!Q39</f>
        <v>30</v>
      </c>
      <c r="R128" s="37">
        <f>New_missions!R15+New_missions!R39</f>
        <v>30</v>
      </c>
      <c r="S128" s="37">
        <f>New_missions!S15+New_missions!S39</f>
        <v>30</v>
      </c>
      <c r="T128" s="37">
        <f>New_missions!T15+New_missions!T39</f>
        <v>30</v>
      </c>
      <c r="U128" s="37">
        <f>New_missions!U15+New_missions!U39</f>
        <v>30</v>
      </c>
      <c r="V128" s="37">
        <f>New_missions!V15+New_missions!V39</f>
        <v>30</v>
      </c>
      <c r="W128" s="37">
        <f>New_missions!W15+New_missions!W39</f>
        <v>30</v>
      </c>
    </row>
    <row r="129" spans="1:23" x14ac:dyDescent="0.25">
      <c r="A129" s="110" t="str">
        <f t="shared" ref="A129:B129" si="55">A51</f>
        <v>New</v>
      </c>
      <c r="B129" s="110" t="str">
        <f t="shared" si="55"/>
        <v>Near Earth Robotic - GEO and Near Earth</v>
      </c>
      <c r="C129" s="37" t="str">
        <f>New_missions!C90</f>
        <v>-</v>
      </c>
      <c r="D129" s="37">
        <f>New_missions!D16+New_missions!D40</f>
        <v>0.5</v>
      </c>
      <c r="E129" s="37">
        <f>New_missions!E16+New_missions!E40</f>
        <v>1</v>
      </c>
      <c r="F129" s="37">
        <f>New_missions!F16+New_missions!F40</f>
        <v>5.5</v>
      </c>
      <c r="G129" s="37">
        <f>New_missions!G16+New_missions!G40</f>
        <v>6</v>
      </c>
      <c r="H129" s="37">
        <f>New_missions!H16+New_missions!H40</f>
        <v>6.5</v>
      </c>
      <c r="I129" s="37">
        <f>New_missions!I16+New_missions!I40</f>
        <v>7</v>
      </c>
      <c r="J129" s="37">
        <f>New_missions!J16+New_missions!J40</f>
        <v>7.5</v>
      </c>
      <c r="K129" s="37">
        <f>New_missions!K16+New_missions!K40</f>
        <v>8</v>
      </c>
      <c r="L129" s="37">
        <f>New_missions!L16+New_missions!L40</f>
        <v>8.5</v>
      </c>
      <c r="M129" s="37">
        <f>New_missions!M16+New_missions!M40</f>
        <v>9</v>
      </c>
      <c r="N129" s="37">
        <f>New_missions!N16+New_missions!N40</f>
        <v>9</v>
      </c>
      <c r="O129" s="37">
        <f>New_missions!O16+New_missions!O40</f>
        <v>9</v>
      </c>
      <c r="P129" s="37">
        <f>New_missions!P16+New_missions!P40</f>
        <v>9</v>
      </c>
      <c r="Q129" s="37">
        <f>New_missions!Q16+New_missions!Q40</f>
        <v>9</v>
      </c>
      <c r="R129" s="37">
        <f>New_missions!R16+New_missions!R40</f>
        <v>9</v>
      </c>
      <c r="S129" s="37">
        <f>New_missions!S16+New_missions!S40</f>
        <v>9</v>
      </c>
      <c r="T129" s="37">
        <f>New_missions!T16+New_missions!T40</f>
        <v>9</v>
      </c>
      <c r="U129" s="37">
        <f>New_missions!U16+New_missions!U40</f>
        <v>9</v>
      </c>
      <c r="V129" s="37">
        <f>New_missions!V16+New_missions!V40</f>
        <v>9</v>
      </c>
      <c r="W129" s="37">
        <f>New_missions!W16+New_missions!W40</f>
        <v>9</v>
      </c>
    </row>
    <row r="130" spans="1:23" x14ac:dyDescent="0.25">
      <c r="A130" s="110" t="str">
        <f t="shared" ref="A130:B130" si="56">A52</f>
        <v>New</v>
      </c>
      <c r="B130" s="110" t="str">
        <f t="shared" si="56"/>
        <v>Deep Space Robotic</v>
      </c>
      <c r="C130" s="37" t="str">
        <f>New_missions!C91</f>
        <v>-</v>
      </c>
      <c r="D130" s="37">
        <f>New_missions!D17+New_missions!D41</f>
        <v>0</v>
      </c>
      <c r="E130" s="37">
        <f>New_missions!E17+New_missions!E41</f>
        <v>0</v>
      </c>
      <c r="F130" s="37">
        <f>New_missions!F17+New_missions!F41</f>
        <v>0</v>
      </c>
      <c r="G130" s="37">
        <f>New_missions!G17+New_missions!G41</f>
        <v>0</v>
      </c>
      <c r="H130" s="37">
        <f>New_missions!H17+New_missions!H41</f>
        <v>0</v>
      </c>
      <c r="I130" s="37">
        <f>New_missions!I17+New_missions!I41</f>
        <v>0</v>
      </c>
      <c r="J130" s="37">
        <f>New_missions!J17+New_missions!J41</f>
        <v>0</v>
      </c>
      <c r="K130" s="37">
        <f>New_missions!K17+New_missions!K41</f>
        <v>0</v>
      </c>
      <c r="L130" s="37">
        <f>New_missions!L17+New_missions!L41</f>
        <v>0</v>
      </c>
      <c r="M130" s="37">
        <f>New_missions!M17+New_missions!M41</f>
        <v>0</v>
      </c>
      <c r="N130" s="37">
        <f>New_missions!N17+New_missions!N41</f>
        <v>0</v>
      </c>
      <c r="O130" s="37">
        <f>New_missions!O17+New_missions!O41</f>
        <v>0</v>
      </c>
      <c r="P130" s="37">
        <f>New_missions!P17+New_missions!P41</f>
        <v>0</v>
      </c>
      <c r="Q130" s="37">
        <f>New_missions!Q17+New_missions!Q41</f>
        <v>0</v>
      </c>
      <c r="R130" s="37">
        <f>New_missions!R17+New_missions!R41</f>
        <v>0</v>
      </c>
      <c r="S130" s="37">
        <f>New_missions!S17+New_missions!S41</f>
        <v>0</v>
      </c>
      <c r="T130" s="37">
        <f>New_missions!T17+New_missions!T41</f>
        <v>0</v>
      </c>
      <c r="U130" s="37">
        <f>New_missions!U17+New_missions!U41</f>
        <v>0</v>
      </c>
      <c r="V130" s="37">
        <f>New_missions!V17+New_missions!V41</f>
        <v>0</v>
      </c>
      <c r="W130" s="37">
        <f>New_missions!W17+New_missions!W41</f>
        <v>0</v>
      </c>
    </row>
    <row r="131" spans="1:23" x14ac:dyDescent="0.25">
      <c r="A131" s="110" t="str">
        <f t="shared" ref="A131:B131" si="57">A53</f>
        <v>New</v>
      </c>
      <c r="B131" s="110" t="str">
        <f t="shared" si="57"/>
        <v>Near Earth Robotic - Low Latency &amp; Complex Needs</v>
      </c>
      <c r="C131" s="37" t="str">
        <f>New_missions!C92</f>
        <v>-</v>
      </c>
      <c r="D131" s="37">
        <f>New_missions!D18+New_missions!D42</f>
        <v>0.1</v>
      </c>
      <c r="E131" s="37">
        <f>New_missions!E18+New_missions!E42</f>
        <v>0.2</v>
      </c>
      <c r="F131" s="37">
        <f>New_missions!F18+New_missions!F42</f>
        <v>0.30000000000000004</v>
      </c>
      <c r="G131" s="37">
        <f>New_missions!G18+New_missions!G42</f>
        <v>0.4</v>
      </c>
      <c r="H131" s="37">
        <f>New_missions!H18+New_missions!H42</f>
        <v>1.5</v>
      </c>
      <c r="I131" s="37">
        <f>New_missions!I18+New_missions!I42</f>
        <v>1.6</v>
      </c>
      <c r="J131" s="37">
        <f>New_missions!J18+New_missions!J42</f>
        <v>1.7</v>
      </c>
      <c r="K131" s="37">
        <f>New_missions!K18+New_missions!K42</f>
        <v>1.7999999999999998</v>
      </c>
      <c r="L131" s="37">
        <f>New_missions!L18+New_missions!L42</f>
        <v>1.9</v>
      </c>
      <c r="M131" s="37">
        <f>New_missions!M18+New_missions!M42</f>
        <v>2</v>
      </c>
      <c r="N131" s="37">
        <f>New_missions!N18+New_missions!N42</f>
        <v>2</v>
      </c>
      <c r="O131" s="37">
        <f>New_missions!O18+New_missions!O42</f>
        <v>2</v>
      </c>
      <c r="P131" s="37">
        <f>New_missions!P18+New_missions!P42</f>
        <v>2</v>
      </c>
      <c r="Q131" s="37">
        <f>New_missions!Q18+New_missions!Q42</f>
        <v>2</v>
      </c>
      <c r="R131" s="37">
        <f>New_missions!R18+New_missions!R42</f>
        <v>2</v>
      </c>
      <c r="S131" s="37">
        <f>New_missions!S18+New_missions!S42</f>
        <v>2</v>
      </c>
      <c r="T131" s="37">
        <f>New_missions!T18+New_missions!T42</f>
        <v>2</v>
      </c>
      <c r="U131" s="37">
        <f>New_missions!U18+New_missions!U42</f>
        <v>2</v>
      </c>
      <c r="V131" s="37">
        <f>New_missions!V18+New_missions!V42</f>
        <v>2</v>
      </c>
      <c r="W131" s="37">
        <f>New_missions!W18+New_missions!W42</f>
        <v>2</v>
      </c>
    </row>
    <row r="132" spans="1:23" x14ac:dyDescent="0.25">
      <c r="A132" s="110" t="str">
        <f t="shared" ref="A132:B132" si="58">A54</f>
        <v>New</v>
      </c>
      <c r="B132" s="110" t="str">
        <f t="shared" si="58"/>
        <v>Mission Operations</v>
      </c>
      <c r="C132" s="37" t="str">
        <f>New_missions!C93</f>
        <v>-</v>
      </c>
      <c r="D132" s="37">
        <f>New_missions!D19+New_missions!D43</f>
        <v>0</v>
      </c>
      <c r="E132" s="37">
        <f>New_missions!E19+New_missions!E43</f>
        <v>0</v>
      </c>
      <c r="F132" s="37">
        <f>New_missions!F19+New_missions!F43</f>
        <v>0</v>
      </c>
      <c r="G132" s="37">
        <f>New_missions!G19+New_missions!G43</f>
        <v>0</v>
      </c>
      <c r="H132" s="37">
        <f>New_missions!H19+New_missions!H43</f>
        <v>0</v>
      </c>
      <c r="I132" s="37">
        <f>New_missions!I19+New_missions!I43</f>
        <v>0</v>
      </c>
      <c r="J132" s="37">
        <f>New_missions!J19+New_missions!J43</f>
        <v>0</v>
      </c>
      <c r="K132" s="37">
        <f>New_missions!K19+New_missions!K43</f>
        <v>0</v>
      </c>
      <c r="L132" s="37">
        <f>New_missions!L19+New_missions!L43</f>
        <v>0</v>
      </c>
      <c r="M132" s="37">
        <f>New_missions!M19+New_missions!M43</f>
        <v>0</v>
      </c>
      <c r="N132" s="37">
        <f>New_missions!N19+New_missions!N43</f>
        <v>0</v>
      </c>
      <c r="O132" s="37">
        <f>New_missions!O19+New_missions!O43</f>
        <v>0</v>
      </c>
      <c r="P132" s="37">
        <f>New_missions!P19+New_missions!P43</f>
        <v>0</v>
      </c>
      <c r="Q132" s="37">
        <f>New_missions!Q19+New_missions!Q43</f>
        <v>0</v>
      </c>
      <c r="R132" s="37">
        <f>New_missions!R19+New_missions!R43</f>
        <v>0</v>
      </c>
      <c r="S132" s="37">
        <f>New_missions!S19+New_missions!S43</f>
        <v>0</v>
      </c>
      <c r="T132" s="37">
        <f>New_missions!T19+New_missions!T43</f>
        <v>0</v>
      </c>
      <c r="U132" s="37">
        <f>New_missions!U19+New_missions!U43</f>
        <v>0</v>
      </c>
      <c r="V132" s="37">
        <f>New_missions!V19+New_missions!V43</f>
        <v>0</v>
      </c>
      <c r="W132" s="37">
        <f>New_missions!W19+New_missions!W43</f>
        <v>0</v>
      </c>
    </row>
    <row r="133" spans="1:23" x14ac:dyDescent="0.25">
      <c r="A133" s="110" t="str">
        <f t="shared" ref="A133:B133" si="59">A55</f>
        <v>New</v>
      </c>
      <c r="B133" s="110" t="str">
        <f t="shared" si="59"/>
        <v>Launch Events</v>
      </c>
      <c r="C133" s="37">
        <f>New_missions!C94</f>
        <v>0</v>
      </c>
      <c r="D133" s="37">
        <f>New_missions!D20+New_missions!D44</f>
        <v>0.4</v>
      </c>
      <c r="E133" s="37">
        <f>New_missions!E20+New_missions!E44</f>
        <v>0.8</v>
      </c>
      <c r="F133" s="37">
        <f>New_missions!F20+New_missions!F44</f>
        <v>1.2000000000000002</v>
      </c>
      <c r="G133" s="37">
        <f>New_missions!G20+New_missions!G44</f>
        <v>1.6</v>
      </c>
      <c r="H133" s="37">
        <f>New_missions!H20+New_missions!H44</f>
        <v>3</v>
      </c>
      <c r="I133" s="37">
        <f>New_missions!I20+New_missions!I44</f>
        <v>3.4</v>
      </c>
      <c r="J133" s="37">
        <f>New_missions!J20+New_missions!J44</f>
        <v>3.8</v>
      </c>
      <c r="K133" s="37">
        <f>New_missions!K20+New_missions!K44</f>
        <v>4.1999999999999993</v>
      </c>
      <c r="L133" s="37">
        <f>New_missions!L20+New_missions!L44</f>
        <v>4.5999999999999996</v>
      </c>
      <c r="M133" s="37">
        <f>New_missions!M20+New_missions!M44</f>
        <v>5</v>
      </c>
      <c r="N133" s="37">
        <f>New_missions!N20+New_missions!N44</f>
        <v>5</v>
      </c>
      <c r="O133" s="37">
        <f>New_missions!O20+New_missions!O44</f>
        <v>5</v>
      </c>
      <c r="P133" s="37">
        <f>New_missions!P20+New_missions!P44</f>
        <v>5</v>
      </c>
      <c r="Q133" s="37">
        <f>New_missions!Q20+New_missions!Q44</f>
        <v>5</v>
      </c>
      <c r="R133" s="37">
        <f>New_missions!R20+New_missions!R44</f>
        <v>5</v>
      </c>
      <c r="S133" s="37">
        <f>New_missions!S20+New_missions!S44</f>
        <v>5</v>
      </c>
      <c r="T133" s="37">
        <f>New_missions!T20+New_missions!T44</f>
        <v>5</v>
      </c>
      <c r="U133" s="37">
        <f>New_missions!U20+New_missions!U44</f>
        <v>5</v>
      </c>
      <c r="V133" s="37">
        <f>New_missions!V20+New_missions!V44</f>
        <v>5</v>
      </c>
      <c r="W133" s="37">
        <f>New_missions!W20+New_missions!W44</f>
        <v>5</v>
      </c>
    </row>
    <row r="134" spans="1:23" x14ac:dyDescent="0.25">
      <c r="A134" s="110" t="str">
        <f t="shared" ref="A134:B134" si="60">A56</f>
        <v>New</v>
      </c>
      <c r="B134" s="110" t="str">
        <f t="shared" si="60"/>
        <v>Terrestrial &amp; Aerial</v>
      </c>
      <c r="C134" s="37">
        <f>New_missions!C95</f>
        <v>0</v>
      </c>
      <c r="D134" s="37">
        <f>New_missions!D21+New_missions!D45</f>
        <v>0.2</v>
      </c>
      <c r="E134" s="37">
        <f>New_missions!E21+New_missions!E45</f>
        <v>1.4</v>
      </c>
      <c r="F134" s="37">
        <f>New_missions!F21+New_missions!F45</f>
        <v>1.6</v>
      </c>
      <c r="G134" s="37">
        <f>New_missions!G21+New_missions!G45</f>
        <v>1.8</v>
      </c>
      <c r="H134" s="37">
        <f>New_missions!H21+New_missions!H45</f>
        <v>2</v>
      </c>
      <c r="I134" s="37">
        <f>New_missions!I21+New_missions!I45</f>
        <v>3.2</v>
      </c>
      <c r="J134" s="37">
        <f>New_missions!J21+New_missions!J45</f>
        <v>3.4</v>
      </c>
      <c r="K134" s="37">
        <f>New_missions!K21+New_missions!K45</f>
        <v>3.5999999999999996</v>
      </c>
      <c r="L134" s="37">
        <f>New_missions!L21+New_missions!L45</f>
        <v>3.8</v>
      </c>
      <c r="M134" s="37">
        <f>New_missions!M21+New_missions!M45</f>
        <v>4</v>
      </c>
      <c r="N134" s="37">
        <f>New_missions!N21+New_missions!N45</f>
        <v>4</v>
      </c>
      <c r="O134" s="37">
        <f>New_missions!O21+New_missions!O45</f>
        <v>4</v>
      </c>
      <c r="P134" s="37">
        <f>New_missions!P21+New_missions!P45</f>
        <v>4</v>
      </c>
      <c r="Q134" s="37">
        <f>New_missions!Q21+New_missions!Q45</f>
        <v>4</v>
      </c>
      <c r="R134" s="37">
        <f>New_missions!R21+New_missions!R45</f>
        <v>4</v>
      </c>
      <c r="S134" s="37">
        <f>New_missions!S21+New_missions!S45</f>
        <v>4</v>
      </c>
      <c r="T134" s="37">
        <f>New_missions!T21+New_missions!T45</f>
        <v>4</v>
      </c>
      <c r="U134" s="37">
        <f>New_missions!U21+New_missions!U45</f>
        <v>4</v>
      </c>
      <c r="V134" s="37">
        <f>New_missions!V21+New_missions!V45</f>
        <v>4</v>
      </c>
      <c r="W134" s="37">
        <f>New_missions!W21+New_missions!W45</f>
        <v>4</v>
      </c>
    </row>
    <row r="135" spans="1:23" x14ac:dyDescent="0.25">
      <c r="A135" s="104"/>
      <c r="B135" s="111"/>
    </row>
    <row r="136" spans="1:23" x14ac:dyDescent="0.25">
      <c r="A136" s="104"/>
      <c r="B136" s="111"/>
      <c r="D136" s="113">
        <f>SUM(D80:D134)</f>
        <v>45</v>
      </c>
      <c r="E136" s="113">
        <f>SUM(E80:E134)</f>
        <v>46.999999999999993</v>
      </c>
      <c r="F136" s="113">
        <f t="shared" ref="F136:W136" si="61">SUM(F80:F134)</f>
        <v>49.000000000000007</v>
      </c>
      <c r="G136" s="113">
        <f t="shared" si="61"/>
        <v>51</v>
      </c>
      <c r="H136" s="113">
        <f t="shared" si="61"/>
        <v>54</v>
      </c>
      <c r="I136" s="113">
        <f t="shared" si="61"/>
        <v>57</v>
      </c>
      <c r="J136" s="113">
        <f t="shared" si="61"/>
        <v>60</v>
      </c>
      <c r="K136" s="113">
        <f t="shared" si="61"/>
        <v>63.000000000000007</v>
      </c>
      <c r="L136" s="113">
        <f>SUM(L80:L134)</f>
        <v>66</v>
      </c>
      <c r="M136" s="114">
        <f t="shared" si="61"/>
        <v>69</v>
      </c>
      <c r="N136" s="113">
        <f t="shared" si="61"/>
        <v>69</v>
      </c>
      <c r="O136" s="113">
        <f t="shared" si="61"/>
        <v>69</v>
      </c>
      <c r="P136" s="113">
        <f t="shared" si="61"/>
        <v>69</v>
      </c>
      <c r="Q136" s="113">
        <f t="shared" si="61"/>
        <v>69</v>
      </c>
      <c r="R136" s="113">
        <f t="shared" si="61"/>
        <v>69</v>
      </c>
      <c r="S136" s="113">
        <f t="shared" si="61"/>
        <v>69</v>
      </c>
      <c r="T136" s="113">
        <f t="shared" si="61"/>
        <v>69</v>
      </c>
      <c r="U136" s="113">
        <f t="shared" si="61"/>
        <v>69</v>
      </c>
      <c r="V136" s="113">
        <f t="shared" si="61"/>
        <v>69</v>
      </c>
      <c r="W136" s="113">
        <f t="shared" si="61"/>
        <v>69</v>
      </c>
    </row>
    <row r="137" spans="1:23" ht="14.4" thickBot="1" x14ac:dyDescent="0.3">
      <c r="B137" s="3" t="s">
        <v>95</v>
      </c>
    </row>
    <row r="138" spans="1:23" x14ac:dyDescent="0.25">
      <c r="B138" s="75" t="s">
        <v>102</v>
      </c>
      <c r="D138" s="76">
        <f>D79</f>
        <v>2021</v>
      </c>
      <c r="E138" s="76">
        <f t="shared" ref="E138:W138" si="62">E79</f>
        <v>2022</v>
      </c>
      <c r="F138" s="76">
        <f t="shared" si="62"/>
        <v>2023</v>
      </c>
      <c r="G138" s="76">
        <f t="shared" si="62"/>
        <v>2024</v>
      </c>
      <c r="H138" s="76">
        <f t="shared" si="62"/>
        <v>2025</v>
      </c>
      <c r="I138" s="76">
        <f t="shared" si="62"/>
        <v>2026</v>
      </c>
      <c r="J138" s="76">
        <f t="shared" si="62"/>
        <v>2027</v>
      </c>
      <c r="K138" s="76">
        <f t="shared" si="62"/>
        <v>2028</v>
      </c>
      <c r="L138" s="76">
        <f t="shared" si="62"/>
        <v>2029</v>
      </c>
      <c r="M138" s="93">
        <f t="shared" si="62"/>
        <v>2030</v>
      </c>
      <c r="N138" s="94">
        <f t="shared" si="62"/>
        <v>2031</v>
      </c>
      <c r="O138" s="76">
        <f t="shared" si="62"/>
        <v>2032</v>
      </c>
      <c r="P138" s="76">
        <f t="shared" si="62"/>
        <v>2033</v>
      </c>
      <c r="Q138" s="76">
        <f t="shared" si="62"/>
        <v>2034</v>
      </c>
      <c r="R138" s="76">
        <f t="shared" si="62"/>
        <v>2035</v>
      </c>
      <c r="S138" s="76">
        <f t="shared" si="62"/>
        <v>2036</v>
      </c>
      <c r="T138" s="76">
        <f t="shared" si="62"/>
        <v>2037</v>
      </c>
      <c r="U138" s="76">
        <f t="shared" si="62"/>
        <v>2038</v>
      </c>
      <c r="V138" s="76">
        <f t="shared" si="62"/>
        <v>2039</v>
      </c>
      <c r="W138" s="76">
        <f t="shared" si="62"/>
        <v>2040</v>
      </c>
    </row>
    <row r="139" spans="1:23" x14ac:dyDescent="0.25">
      <c r="B139" s="50" t="s">
        <v>59</v>
      </c>
      <c r="D139" s="51">
        <f>SUMIF($B$80:$B$134,$B139,D$80:D$134)</f>
        <v>6.4</v>
      </c>
      <c r="E139" s="51">
        <f t="shared" ref="E139:W146" si="63">SUMIF($B$80:$B$134,$B139,E$80:E$134)</f>
        <v>6.8</v>
      </c>
      <c r="F139" s="51">
        <f t="shared" si="63"/>
        <v>7.2</v>
      </c>
      <c r="G139" s="51">
        <f t="shared" si="63"/>
        <v>7.6</v>
      </c>
      <c r="H139" s="51">
        <f t="shared" si="63"/>
        <v>8</v>
      </c>
      <c r="I139" s="51">
        <f t="shared" si="63"/>
        <v>8.4</v>
      </c>
      <c r="J139" s="51">
        <f t="shared" si="63"/>
        <v>8.8000000000000007</v>
      </c>
      <c r="K139" s="51">
        <f t="shared" si="63"/>
        <v>9.1999999999999993</v>
      </c>
      <c r="L139" s="51">
        <f t="shared" si="63"/>
        <v>9.6</v>
      </c>
      <c r="M139" s="51">
        <f t="shared" si="63"/>
        <v>10</v>
      </c>
      <c r="N139" s="51">
        <f t="shared" si="63"/>
        <v>10</v>
      </c>
      <c r="O139" s="51">
        <f t="shared" si="63"/>
        <v>10</v>
      </c>
      <c r="P139" s="51">
        <f t="shared" si="63"/>
        <v>10</v>
      </c>
      <c r="Q139" s="51">
        <f t="shared" si="63"/>
        <v>10</v>
      </c>
      <c r="R139" s="51">
        <f t="shared" si="63"/>
        <v>10</v>
      </c>
      <c r="S139" s="51">
        <f t="shared" si="63"/>
        <v>10</v>
      </c>
      <c r="T139" s="51">
        <f t="shared" si="63"/>
        <v>10</v>
      </c>
      <c r="U139" s="51">
        <f t="shared" si="63"/>
        <v>10</v>
      </c>
      <c r="V139" s="51">
        <f t="shared" si="63"/>
        <v>10</v>
      </c>
      <c r="W139" s="51">
        <f t="shared" si="63"/>
        <v>10</v>
      </c>
    </row>
    <row r="140" spans="1:23" x14ac:dyDescent="0.25">
      <c r="B140" s="50" t="s">
        <v>57</v>
      </c>
      <c r="D140" s="51">
        <f t="shared" ref="D140:S146" si="64">SUMIF($B$80:$B$134,$B140,D$80:D$134)</f>
        <v>18.399999999999999</v>
      </c>
      <c r="E140" s="51">
        <f t="shared" si="64"/>
        <v>19.8</v>
      </c>
      <c r="F140" s="51">
        <f t="shared" si="64"/>
        <v>21.2</v>
      </c>
      <c r="G140" s="51">
        <f t="shared" si="64"/>
        <v>22.6</v>
      </c>
      <c r="H140" s="51">
        <f t="shared" si="64"/>
        <v>24</v>
      </c>
      <c r="I140" s="51">
        <f t="shared" si="64"/>
        <v>25.4</v>
      </c>
      <c r="J140" s="51">
        <f t="shared" si="64"/>
        <v>26.8</v>
      </c>
      <c r="K140" s="51">
        <f t="shared" si="64"/>
        <v>28.200000000000003</v>
      </c>
      <c r="L140" s="51">
        <f t="shared" si="64"/>
        <v>29.6</v>
      </c>
      <c r="M140" s="51">
        <f t="shared" si="64"/>
        <v>31</v>
      </c>
      <c r="N140" s="51">
        <f t="shared" si="64"/>
        <v>31</v>
      </c>
      <c r="O140" s="51">
        <f t="shared" si="64"/>
        <v>31</v>
      </c>
      <c r="P140" s="51">
        <f t="shared" si="64"/>
        <v>31</v>
      </c>
      <c r="Q140" s="51">
        <f t="shared" si="64"/>
        <v>31</v>
      </c>
      <c r="R140" s="51">
        <f t="shared" si="64"/>
        <v>31</v>
      </c>
      <c r="S140" s="51">
        <f t="shared" si="64"/>
        <v>31</v>
      </c>
      <c r="T140" s="51">
        <f t="shared" si="63"/>
        <v>31</v>
      </c>
      <c r="U140" s="51">
        <f t="shared" si="63"/>
        <v>31</v>
      </c>
      <c r="V140" s="51">
        <f t="shared" si="63"/>
        <v>31</v>
      </c>
      <c r="W140" s="51">
        <f t="shared" si="63"/>
        <v>31</v>
      </c>
    </row>
    <row r="141" spans="1:23" x14ac:dyDescent="0.25">
      <c r="B141" s="50" t="s">
        <v>56</v>
      </c>
      <c r="D141" s="51">
        <f t="shared" si="64"/>
        <v>8.5</v>
      </c>
      <c r="E141" s="51">
        <f t="shared" si="63"/>
        <v>9</v>
      </c>
      <c r="F141" s="51">
        <f t="shared" si="63"/>
        <v>9.5</v>
      </c>
      <c r="G141" s="51">
        <f t="shared" si="63"/>
        <v>10</v>
      </c>
      <c r="H141" s="51">
        <f t="shared" si="63"/>
        <v>10.5</v>
      </c>
      <c r="I141" s="51">
        <f t="shared" si="63"/>
        <v>11</v>
      </c>
      <c r="J141" s="51">
        <f t="shared" si="63"/>
        <v>11.5</v>
      </c>
      <c r="K141" s="51">
        <f t="shared" si="63"/>
        <v>12</v>
      </c>
      <c r="L141" s="51">
        <f t="shared" si="63"/>
        <v>12.5</v>
      </c>
      <c r="M141" s="51">
        <f t="shared" si="63"/>
        <v>13</v>
      </c>
      <c r="N141" s="51">
        <f t="shared" si="63"/>
        <v>13</v>
      </c>
      <c r="O141" s="51">
        <f t="shared" si="63"/>
        <v>13</v>
      </c>
      <c r="P141" s="51">
        <f t="shared" si="63"/>
        <v>13</v>
      </c>
      <c r="Q141" s="51">
        <f t="shared" si="63"/>
        <v>13</v>
      </c>
      <c r="R141" s="51">
        <f t="shared" si="63"/>
        <v>13</v>
      </c>
      <c r="S141" s="51">
        <f t="shared" si="63"/>
        <v>13</v>
      </c>
      <c r="T141" s="51">
        <f t="shared" si="63"/>
        <v>13</v>
      </c>
      <c r="U141" s="51">
        <f t="shared" si="63"/>
        <v>13</v>
      </c>
      <c r="V141" s="51">
        <f t="shared" si="63"/>
        <v>13</v>
      </c>
      <c r="W141" s="51">
        <f t="shared" si="63"/>
        <v>13</v>
      </c>
    </row>
    <row r="142" spans="1:23" x14ac:dyDescent="0.25">
      <c r="B142" s="50" t="s">
        <v>100</v>
      </c>
      <c r="D142" s="51">
        <f t="shared" si="64"/>
        <v>0</v>
      </c>
      <c r="E142" s="51">
        <f t="shared" si="63"/>
        <v>0</v>
      </c>
      <c r="F142" s="51">
        <f t="shared" si="63"/>
        <v>0</v>
      </c>
      <c r="G142" s="51">
        <f t="shared" si="63"/>
        <v>0</v>
      </c>
      <c r="H142" s="51">
        <f t="shared" si="63"/>
        <v>0</v>
      </c>
      <c r="I142" s="51">
        <f t="shared" si="63"/>
        <v>0</v>
      </c>
      <c r="J142" s="51">
        <f t="shared" si="63"/>
        <v>0</v>
      </c>
      <c r="K142" s="51">
        <f t="shared" si="63"/>
        <v>0</v>
      </c>
      <c r="L142" s="51">
        <f t="shared" si="63"/>
        <v>0</v>
      </c>
      <c r="M142" s="51">
        <f t="shared" si="63"/>
        <v>0</v>
      </c>
      <c r="N142" s="51">
        <f t="shared" si="63"/>
        <v>0</v>
      </c>
      <c r="O142" s="51">
        <f t="shared" si="63"/>
        <v>0</v>
      </c>
      <c r="P142" s="51">
        <f t="shared" si="63"/>
        <v>0</v>
      </c>
      <c r="Q142" s="51">
        <f t="shared" si="63"/>
        <v>0</v>
      </c>
      <c r="R142" s="51">
        <f t="shared" si="63"/>
        <v>0</v>
      </c>
      <c r="S142" s="51">
        <f t="shared" si="63"/>
        <v>0</v>
      </c>
      <c r="T142" s="51">
        <f t="shared" si="63"/>
        <v>0</v>
      </c>
      <c r="U142" s="51">
        <f t="shared" si="63"/>
        <v>0</v>
      </c>
      <c r="V142" s="51">
        <f t="shared" si="63"/>
        <v>0</v>
      </c>
      <c r="W142" s="51">
        <f t="shared" si="63"/>
        <v>0</v>
      </c>
    </row>
    <row r="143" spans="1:23" x14ac:dyDescent="0.25">
      <c r="B143" s="50" t="s">
        <v>60</v>
      </c>
      <c r="D143" s="51">
        <f t="shared" si="64"/>
        <v>1.1000000000000001</v>
      </c>
      <c r="E143" s="51">
        <f t="shared" si="63"/>
        <v>1.2</v>
      </c>
      <c r="F143" s="51">
        <f t="shared" si="63"/>
        <v>1.3</v>
      </c>
      <c r="G143" s="51">
        <f t="shared" si="63"/>
        <v>1.4</v>
      </c>
      <c r="H143" s="51">
        <f t="shared" si="63"/>
        <v>1.5</v>
      </c>
      <c r="I143" s="51">
        <f t="shared" si="63"/>
        <v>1.6</v>
      </c>
      <c r="J143" s="51">
        <f t="shared" si="63"/>
        <v>1.7</v>
      </c>
      <c r="K143" s="51">
        <f t="shared" si="63"/>
        <v>1.7999999999999998</v>
      </c>
      <c r="L143" s="51">
        <f t="shared" si="63"/>
        <v>1.9</v>
      </c>
      <c r="M143" s="51">
        <f t="shared" si="63"/>
        <v>2</v>
      </c>
      <c r="N143" s="51">
        <f t="shared" si="63"/>
        <v>2</v>
      </c>
      <c r="O143" s="51">
        <f t="shared" si="63"/>
        <v>2</v>
      </c>
      <c r="P143" s="51">
        <f t="shared" si="63"/>
        <v>2</v>
      </c>
      <c r="Q143" s="51">
        <f t="shared" si="63"/>
        <v>2</v>
      </c>
      <c r="R143" s="51">
        <f t="shared" si="63"/>
        <v>2</v>
      </c>
      <c r="S143" s="51">
        <f t="shared" si="63"/>
        <v>2</v>
      </c>
      <c r="T143" s="51">
        <f t="shared" si="63"/>
        <v>2</v>
      </c>
      <c r="U143" s="51">
        <f t="shared" si="63"/>
        <v>2</v>
      </c>
      <c r="V143" s="51">
        <f t="shared" si="63"/>
        <v>2</v>
      </c>
      <c r="W143" s="51">
        <f t="shared" si="63"/>
        <v>2</v>
      </c>
    </row>
    <row r="144" spans="1:23" x14ac:dyDescent="0.25">
      <c r="B144" s="50" t="s">
        <v>101</v>
      </c>
      <c r="D144" s="51">
        <f t="shared" si="64"/>
        <v>0</v>
      </c>
      <c r="E144" s="51">
        <f t="shared" si="63"/>
        <v>0</v>
      </c>
      <c r="F144" s="51">
        <f t="shared" si="63"/>
        <v>0</v>
      </c>
      <c r="G144" s="51">
        <f t="shared" si="63"/>
        <v>0</v>
      </c>
      <c r="H144" s="51">
        <f t="shared" si="63"/>
        <v>0</v>
      </c>
      <c r="I144" s="51">
        <f t="shared" si="63"/>
        <v>0</v>
      </c>
      <c r="J144" s="51">
        <f t="shared" si="63"/>
        <v>0</v>
      </c>
      <c r="K144" s="51">
        <f t="shared" si="63"/>
        <v>0</v>
      </c>
      <c r="L144" s="51">
        <f t="shared" si="63"/>
        <v>0</v>
      </c>
      <c r="M144" s="51">
        <f t="shared" si="63"/>
        <v>0</v>
      </c>
      <c r="N144" s="51">
        <f t="shared" si="63"/>
        <v>0</v>
      </c>
      <c r="O144" s="51">
        <f t="shared" si="63"/>
        <v>0</v>
      </c>
      <c r="P144" s="51">
        <f t="shared" si="63"/>
        <v>0</v>
      </c>
      <c r="Q144" s="51">
        <f t="shared" si="63"/>
        <v>0</v>
      </c>
      <c r="R144" s="51">
        <f t="shared" si="63"/>
        <v>0</v>
      </c>
      <c r="S144" s="51">
        <f t="shared" si="63"/>
        <v>0</v>
      </c>
      <c r="T144" s="51">
        <f t="shared" si="63"/>
        <v>0</v>
      </c>
      <c r="U144" s="51">
        <f t="shared" si="63"/>
        <v>0</v>
      </c>
      <c r="V144" s="51">
        <f t="shared" si="63"/>
        <v>0</v>
      </c>
      <c r="W144" s="51">
        <f t="shared" si="63"/>
        <v>0</v>
      </c>
    </row>
    <row r="145" spans="1:23" x14ac:dyDescent="0.25">
      <c r="B145" s="50" t="s">
        <v>58</v>
      </c>
      <c r="D145" s="51">
        <f t="shared" si="64"/>
        <v>3.4</v>
      </c>
      <c r="E145" s="51">
        <f t="shared" si="63"/>
        <v>3.8</v>
      </c>
      <c r="F145" s="51">
        <f t="shared" si="63"/>
        <v>4.2</v>
      </c>
      <c r="G145" s="51">
        <f t="shared" si="63"/>
        <v>4.5999999999999996</v>
      </c>
      <c r="H145" s="51">
        <f t="shared" si="63"/>
        <v>5</v>
      </c>
      <c r="I145" s="51">
        <f t="shared" si="63"/>
        <v>5.4</v>
      </c>
      <c r="J145" s="51">
        <f t="shared" si="63"/>
        <v>5.8</v>
      </c>
      <c r="K145" s="51">
        <f t="shared" si="63"/>
        <v>6.1999999999999993</v>
      </c>
      <c r="L145" s="51">
        <f t="shared" si="63"/>
        <v>6.6</v>
      </c>
      <c r="M145" s="51">
        <f t="shared" si="63"/>
        <v>7</v>
      </c>
      <c r="N145" s="51">
        <f t="shared" si="63"/>
        <v>7</v>
      </c>
      <c r="O145" s="51">
        <f t="shared" si="63"/>
        <v>7</v>
      </c>
      <c r="P145" s="51">
        <f t="shared" si="63"/>
        <v>7</v>
      </c>
      <c r="Q145" s="51">
        <f t="shared" si="63"/>
        <v>7</v>
      </c>
      <c r="R145" s="51">
        <f t="shared" si="63"/>
        <v>7</v>
      </c>
      <c r="S145" s="51">
        <f t="shared" si="63"/>
        <v>7</v>
      </c>
      <c r="T145" s="51">
        <f t="shared" si="63"/>
        <v>7</v>
      </c>
      <c r="U145" s="51">
        <f t="shared" si="63"/>
        <v>7</v>
      </c>
      <c r="V145" s="51">
        <f t="shared" si="63"/>
        <v>7</v>
      </c>
      <c r="W145" s="51">
        <f t="shared" si="63"/>
        <v>7</v>
      </c>
    </row>
    <row r="146" spans="1:23" ht="14.4" thickBot="1" x14ac:dyDescent="0.3">
      <c r="B146" s="56" t="s">
        <v>61</v>
      </c>
      <c r="D146" s="51">
        <f t="shared" si="64"/>
        <v>3.2</v>
      </c>
      <c r="E146" s="51">
        <f t="shared" si="63"/>
        <v>3.4</v>
      </c>
      <c r="F146" s="51">
        <f t="shared" si="63"/>
        <v>3.6</v>
      </c>
      <c r="G146" s="51">
        <f t="shared" si="63"/>
        <v>3.8</v>
      </c>
      <c r="H146" s="51">
        <f t="shared" si="63"/>
        <v>4</v>
      </c>
      <c r="I146" s="51">
        <f t="shared" si="63"/>
        <v>4.2</v>
      </c>
      <c r="J146" s="51">
        <f t="shared" si="63"/>
        <v>4.4000000000000004</v>
      </c>
      <c r="K146" s="51">
        <f t="shared" si="63"/>
        <v>4.5999999999999996</v>
      </c>
      <c r="L146" s="51">
        <f t="shared" si="63"/>
        <v>4.8</v>
      </c>
      <c r="M146" s="51">
        <f t="shared" si="63"/>
        <v>5</v>
      </c>
      <c r="N146" s="51">
        <f t="shared" si="63"/>
        <v>5</v>
      </c>
      <c r="O146" s="51">
        <f t="shared" si="63"/>
        <v>5</v>
      </c>
      <c r="P146" s="51">
        <f t="shared" si="63"/>
        <v>5</v>
      </c>
      <c r="Q146" s="51">
        <f t="shared" si="63"/>
        <v>5</v>
      </c>
      <c r="R146" s="51">
        <f t="shared" si="63"/>
        <v>5</v>
      </c>
      <c r="S146" s="51">
        <f t="shared" si="63"/>
        <v>5</v>
      </c>
      <c r="T146" s="51">
        <f t="shared" si="63"/>
        <v>5</v>
      </c>
      <c r="U146" s="51">
        <f t="shared" si="63"/>
        <v>5</v>
      </c>
      <c r="V146" s="51">
        <f t="shared" si="63"/>
        <v>5</v>
      </c>
      <c r="W146" s="51">
        <f t="shared" si="63"/>
        <v>5</v>
      </c>
    </row>
    <row r="148" spans="1:23" x14ac:dyDescent="0.25">
      <c r="D148" s="115">
        <f>SUM(D139:D146)</f>
        <v>41</v>
      </c>
      <c r="E148" s="115">
        <f t="shared" ref="E148:W148" si="65">SUM(E139:E146)</f>
        <v>44</v>
      </c>
      <c r="F148" s="115">
        <f t="shared" si="65"/>
        <v>47</v>
      </c>
      <c r="G148" s="115">
        <f t="shared" si="65"/>
        <v>50</v>
      </c>
      <c r="H148" s="115">
        <f t="shared" si="65"/>
        <v>53</v>
      </c>
      <c r="I148" s="115">
        <f t="shared" si="65"/>
        <v>56</v>
      </c>
      <c r="J148" s="115">
        <f t="shared" si="65"/>
        <v>59</v>
      </c>
      <c r="K148" s="115">
        <f t="shared" si="65"/>
        <v>62.000000000000007</v>
      </c>
      <c r="L148" s="115">
        <f t="shared" si="65"/>
        <v>65</v>
      </c>
      <c r="M148" s="116">
        <f t="shared" si="65"/>
        <v>68</v>
      </c>
      <c r="N148" s="115">
        <f t="shared" si="65"/>
        <v>68</v>
      </c>
      <c r="O148" s="115">
        <f t="shared" si="65"/>
        <v>68</v>
      </c>
      <c r="P148" s="115">
        <f t="shared" si="65"/>
        <v>68</v>
      </c>
      <c r="Q148" s="115">
        <f t="shared" si="65"/>
        <v>68</v>
      </c>
      <c r="R148" s="115">
        <f t="shared" si="65"/>
        <v>68</v>
      </c>
      <c r="S148" s="115">
        <f t="shared" si="65"/>
        <v>68</v>
      </c>
      <c r="T148" s="115">
        <f t="shared" si="65"/>
        <v>68</v>
      </c>
      <c r="U148" s="115">
        <f t="shared" si="65"/>
        <v>68</v>
      </c>
      <c r="V148" s="115">
        <f t="shared" si="65"/>
        <v>68</v>
      </c>
      <c r="W148" s="115">
        <f t="shared" si="65"/>
        <v>68</v>
      </c>
    </row>
    <row r="149" spans="1:23" x14ac:dyDescent="0.25">
      <c r="D149" s="115"/>
      <c r="E149" s="115"/>
      <c r="F149" s="115"/>
      <c r="G149" s="115"/>
      <c r="H149" s="115"/>
      <c r="I149" s="115"/>
      <c r="J149" s="115"/>
      <c r="K149" s="115"/>
      <c r="L149" s="115"/>
      <c r="M149" s="116"/>
      <c r="N149" s="115"/>
      <c r="O149" s="115"/>
      <c r="P149" s="115"/>
      <c r="Q149" s="115"/>
      <c r="R149" s="115"/>
      <c r="S149" s="115"/>
      <c r="T149" s="115"/>
      <c r="U149" s="115"/>
      <c r="V149" s="115"/>
      <c r="W149" s="115"/>
    </row>
    <row r="150" spans="1:23" ht="14.4" thickBot="1" x14ac:dyDescent="0.3">
      <c r="B150" s="3" t="s">
        <v>95</v>
      </c>
    </row>
    <row r="151" spans="1:23" x14ac:dyDescent="0.25">
      <c r="B151" s="75" t="s">
        <v>102</v>
      </c>
      <c r="D151" s="95">
        <v>2021</v>
      </c>
      <c r="E151" s="95">
        <v>2022</v>
      </c>
      <c r="F151" s="95">
        <v>2023</v>
      </c>
      <c r="G151" s="95">
        <v>2024</v>
      </c>
      <c r="H151" s="95">
        <v>2025</v>
      </c>
      <c r="I151" s="95">
        <v>2026</v>
      </c>
      <c r="J151" s="95">
        <v>2027</v>
      </c>
      <c r="K151" s="95">
        <v>2028</v>
      </c>
      <c r="L151" s="95">
        <v>2029</v>
      </c>
      <c r="M151" s="95">
        <v>2030</v>
      </c>
      <c r="N151" s="95">
        <v>2031</v>
      </c>
      <c r="O151" s="95">
        <v>2032</v>
      </c>
      <c r="P151" s="95">
        <v>2033</v>
      </c>
      <c r="Q151" s="95">
        <v>2034</v>
      </c>
      <c r="R151" s="95">
        <v>2035</v>
      </c>
      <c r="S151" s="95">
        <v>2036</v>
      </c>
      <c r="T151" s="95">
        <v>2037</v>
      </c>
      <c r="U151" s="95">
        <v>2038</v>
      </c>
      <c r="V151" s="95">
        <v>2039</v>
      </c>
      <c r="W151" s="95">
        <v>2040</v>
      </c>
    </row>
    <row r="152" spans="1:23" x14ac:dyDescent="0.25">
      <c r="B152" s="50" t="s">
        <v>115</v>
      </c>
      <c r="D152" s="110">
        <f>SUM(D80:D126)</f>
        <v>42</v>
      </c>
      <c r="E152" s="110">
        <f t="shared" ref="E152:W152" si="66">SUM(E80:E126)</f>
        <v>38</v>
      </c>
      <c r="F152" s="110">
        <f t="shared" si="66"/>
        <v>32</v>
      </c>
      <c r="G152" s="110">
        <f t="shared" si="66"/>
        <v>29</v>
      </c>
      <c r="H152" s="110">
        <f t="shared" si="66"/>
        <v>24</v>
      </c>
      <c r="I152" s="110">
        <f t="shared" si="66"/>
        <v>20</v>
      </c>
      <c r="J152" s="110">
        <f t="shared" si="66"/>
        <v>17</v>
      </c>
      <c r="K152" s="110">
        <f t="shared" si="66"/>
        <v>15</v>
      </c>
      <c r="L152" s="110">
        <f t="shared" si="66"/>
        <v>15</v>
      </c>
      <c r="M152" s="110">
        <f t="shared" si="66"/>
        <v>15</v>
      </c>
      <c r="N152" s="110">
        <f t="shared" si="66"/>
        <v>13</v>
      </c>
      <c r="O152" s="110">
        <f t="shared" si="66"/>
        <v>13</v>
      </c>
      <c r="P152" s="110">
        <f t="shared" si="66"/>
        <v>13</v>
      </c>
      <c r="Q152" s="110">
        <f t="shared" si="66"/>
        <v>13</v>
      </c>
      <c r="R152" s="110">
        <f t="shared" si="66"/>
        <v>13</v>
      </c>
      <c r="S152" s="110">
        <f t="shared" si="66"/>
        <v>13</v>
      </c>
      <c r="T152" s="110">
        <f t="shared" si="66"/>
        <v>13</v>
      </c>
      <c r="U152" s="110">
        <f t="shared" si="66"/>
        <v>13</v>
      </c>
      <c r="V152" s="110">
        <f t="shared" si="66"/>
        <v>13</v>
      </c>
      <c r="W152" s="110">
        <f t="shared" si="66"/>
        <v>13</v>
      </c>
    </row>
    <row r="153" spans="1:23" x14ac:dyDescent="0.25">
      <c r="B153" s="50" t="s">
        <v>116</v>
      </c>
      <c r="D153" s="117">
        <f>SUM(D127:D134)</f>
        <v>3</v>
      </c>
      <c r="E153" s="117">
        <f t="shared" ref="E153:W153" si="67">SUM(E127:E134)</f>
        <v>9</v>
      </c>
      <c r="F153" s="117">
        <f t="shared" si="67"/>
        <v>17</v>
      </c>
      <c r="G153" s="117">
        <f t="shared" si="67"/>
        <v>22</v>
      </c>
      <c r="H153" s="117">
        <f t="shared" si="67"/>
        <v>30</v>
      </c>
      <c r="I153" s="117">
        <f t="shared" si="67"/>
        <v>37</v>
      </c>
      <c r="J153" s="117">
        <f t="shared" si="67"/>
        <v>43</v>
      </c>
      <c r="K153" s="117">
        <f t="shared" si="67"/>
        <v>48.000000000000007</v>
      </c>
      <c r="L153" s="117">
        <f t="shared" si="67"/>
        <v>51</v>
      </c>
      <c r="M153" s="117">
        <f t="shared" si="67"/>
        <v>54</v>
      </c>
      <c r="N153" s="117">
        <f t="shared" si="67"/>
        <v>56</v>
      </c>
      <c r="O153" s="117">
        <f t="shared" si="67"/>
        <v>56</v>
      </c>
      <c r="P153" s="117">
        <f t="shared" si="67"/>
        <v>56</v>
      </c>
      <c r="Q153" s="117">
        <f t="shared" si="67"/>
        <v>56</v>
      </c>
      <c r="R153" s="117">
        <f t="shared" si="67"/>
        <v>56</v>
      </c>
      <c r="S153" s="117">
        <f t="shared" si="67"/>
        <v>56</v>
      </c>
      <c r="T153" s="117">
        <f t="shared" si="67"/>
        <v>56</v>
      </c>
      <c r="U153" s="117">
        <f t="shared" si="67"/>
        <v>56</v>
      </c>
      <c r="V153" s="117">
        <f t="shared" si="67"/>
        <v>56</v>
      </c>
      <c r="W153" s="117">
        <f t="shared" si="67"/>
        <v>56</v>
      </c>
    </row>
    <row r="157" spans="1:23" x14ac:dyDescent="0.25">
      <c r="A157" s="44" t="s">
        <v>32</v>
      </c>
      <c r="B157" s="44" t="s">
        <v>148</v>
      </c>
      <c r="C157" s="45" t="s">
        <v>88</v>
      </c>
      <c r="D157" s="44">
        <v>2021</v>
      </c>
      <c r="E157" s="45">
        <v>2022</v>
      </c>
      <c r="F157" s="44">
        <v>2023</v>
      </c>
      <c r="G157" s="45">
        <v>2024</v>
      </c>
      <c r="H157" s="44">
        <v>2025</v>
      </c>
      <c r="I157" s="45">
        <v>2026</v>
      </c>
      <c r="J157" s="44">
        <v>2027</v>
      </c>
      <c r="K157" s="45">
        <v>2028</v>
      </c>
      <c r="L157" s="44">
        <v>2029</v>
      </c>
      <c r="M157" s="85">
        <v>2030</v>
      </c>
      <c r="N157" s="86">
        <v>2031</v>
      </c>
      <c r="O157" s="45">
        <v>2032</v>
      </c>
      <c r="P157" s="44">
        <v>2033</v>
      </c>
      <c r="Q157" s="45">
        <v>2034</v>
      </c>
      <c r="R157" s="44">
        <v>2035</v>
      </c>
      <c r="S157" s="45">
        <v>2036</v>
      </c>
      <c r="T157" s="44">
        <v>2037</v>
      </c>
      <c r="U157" s="45">
        <v>2038</v>
      </c>
      <c r="V157" s="44">
        <v>2039</v>
      </c>
      <c r="W157" s="45">
        <v>2040</v>
      </c>
    </row>
    <row r="158" spans="1:23" x14ac:dyDescent="0.25">
      <c r="A158" s="46" t="s">
        <v>63</v>
      </c>
      <c r="B158" s="47" t="s">
        <v>57</v>
      </c>
      <c r="C158" s="59"/>
      <c r="D158" s="55">
        <f t="shared" ref="D158:W158" si="68">D2</f>
        <v>1</v>
      </c>
      <c r="E158" s="55">
        <f t="shared" si="68"/>
        <v>1</v>
      </c>
      <c r="F158" s="55">
        <f t="shared" si="68"/>
        <v>0</v>
      </c>
      <c r="G158" s="55">
        <f t="shared" si="68"/>
        <v>0</v>
      </c>
      <c r="H158" s="55">
        <f t="shared" si="68"/>
        <v>0</v>
      </c>
      <c r="I158" s="55">
        <f t="shared" si="68"/>
        <v>0</v>
      </c>
      <c r="J158" s="55">
        <f t="shared" si="68"/>
        <v>0</v>
      </c>
      <c r="K158" s="55">
        <f t="shared" si="68"/>
        <v>0</v>
      </c>
      <c r="L158" s="55">
        <f t="shared" si="68"/>
        <v>0</v>
      </c>
      <c r="M158" s="55">
        <f t="shared" si="68"/>
        <v>0</v>
      </c>
      <c r="N158" s="55">
        <f t="shared" si="68"/>
        <v>0</v>
      </c>
      <c r="O158" s="55">
        <f t="shared" si="68"/>
        <v>0</v>
      </c>
      <c r="P158" s="55">
        <f t="shared" si="68"/>
        <v>0</v>
      </c>
      <c r="Q158" s="55">
        <f t="shared" si="68"/>
        <v>0</v>
      </c>
      <c r="R158" s="55">
        <f t="shared" si="68"/>
        <v>0</v>
      </c>
      <c r="S158" s="55">
        <f t="shared" si="68"/>
        <v>0</v>
      </c>
      <c r="T158" s="55">
        <f t="shared" si="68"/>
        <v>0</v>
      </c>
      <c r="U158" s="55">
        <f t="shared" si="68"/>
        <v>0</v>
      </c>
      <c r="V158" s="55">
        <f t="shared" si="68"/>
        <v>0</v>
      </c>
      <c r="W158" s="55">
        <f t="shared" si="68"/>
        <v>0</v>
      </c>
    </row>
    <row r="159" spans="1:23" x14ac:dyDescent="0.25">
      <c r="A159" s="46" t="s">
        <v>33</v>
      </c>
      <c r="B159" s="47" t="s">
        <v>57</v>
      </c>
      <c r="C159" s="59" t="s">
        <v>89</v>
      </c>
      <c r="D159" s="55">
        <f t="shared" ref="D159:W159" si="69">D3</f>
        <v>1</v>
      </c>
      <c r="E159" s="55">
        <f t="shared" si="69"/>
        <v>1</v>
      </c>
      <c r="F159" s="55">
        <f t="shared" si="69"/>
        <v>1</v>
      </c>
      <c r="G159" s="55">
        <f t="shared" si="69"/>
        <v>1</v>
      </c>
      <c r="H159" s="55">
        <f t="shared" si="69"/>
        <v>0</v>
      </c>
      <c r="I159" s="55">
        <f t="shared" si="69"/>
        <v>0</v>
      </c>
      <c r="J159" s="55">
        <f t="shared" si="69"/>
        <v>0</v>
      </c>
      <c r="K159" s="55">
        <f t="shared" si="69"/>
        <v>0</v>
      </c>
      <c r="L159" s="55">
        <f t="shared" si="69"/>
        <v>0</v>
      </c>
      <c r="M159" s="55">
        <f t="shared" si="69"/>
        <v>0</v>
      </c>
      <c r="N159" s="55">
        <f t="shared" si="69"/>
        <v>0</v>
      </c>
      <c r="O159" s="55">
        <f t="shared" si="69"/>
        <v>0</v>
      </c>
      <c r="P159" s="55">
        <f t="shared" si="69"/>
        <v>0</v>
      </c>
      <c r="Q159" s="55">
        <f t="shared" si="69"/>
        <v>0</v>
      </c>
      <c r="R159" s="55">
        <f t="shared" si="69"/>
        <v>0</v>
      </c>
      <c r="S159" s="55">
        <f t="shared" si="69"/>
        <v>0</v>
      </c>
      <c r="T159" s="55">
        <f t="shared" si="69"/>
        <v>0</v>
      </c>
      <c r="U159" s="55">
        <f t="shared" si="69"/>
        <v>0</v>
      </c>
      <c r="V159" s="55">
        <f t="shared" si="69"/>
        <v>0</v>
      </c>
      <c r="W159" s="55">
        <f t="shared" si="69"/>
        <v>0</v>
      </c>
    </row>
    <row r="160" spans="1:23" x14ac:dyDescent="0.25">
      <c r="A160" s="46" t="s">
        <v>65</v>
      </c>
      <c r="B160" s="47" t="s">
        <v>57</v>
      </c>
      <c r="C160" s="59" t="s">
        <v>89</v>
      </c>
      <c r="D160" s="55">
        <f t="shared" ref="D160:W160" si="70">D4</f>
        <v>1</v>
      </c>
      <c r="E160" s="55">
        <f t="shared" si="70"/>
        <v>1</v>
      </c>
      <c r="F160" s="55">
        <f t="shared" si="70"/>
        <v>1</v>
      </c>
      <c r="G160" s="55">
        <f t="shared" si="70"/>
        <v>1</v>
      </c>
      <c r="H160" s="55">
        <f t="shared" si="70"/>
        <v>1</v>
      </c>
      <c r="I160" s="55">
        <f t="shared" si="70"/>
        <v>1</v>
      </c>
      <c r="J160" s="55">
        <f t="shared" si="70"/>
        <v>0</v>
      </c>
      <c r="K160" s="55">
        <f t="shared" si="70"/>
        <v>0</v>
      </c>
      <c r="L160" s="55">
        <f t="shared" si="70"/>
        <v>0</v>
      </c>
      <c r="M160" s="55">
        <f t="shared" si="70"/>
        <v>0</v>
      </c>
      <c r="N160" s="55">
        <f t="shared" si="70"/>
        <v>0</v>
      </c>
      <c r="O160" s="55">
        <f t="shared" si="70"/>
        <v>0</v>
      </c>
      <c r="P160" s="55">
        <f t="shared" si="70"/>
        <v>0</v>
      </c>
      <c r="Q160" s="55">
        <f t="shared" si="70"/>
        <v>0</v>
      </c>
      <c r="R160" s="55">
        <f t="shared" si="70"/>
        <v>0</v>
      </c>
      <c r="S160" s="55">
        <f t="shared" si="70"/>
        <v>0</v>
      </c>
      <c r="T160" s="55">
        <f t="shared" si="70"/>
        <v>0</v>
      </c>
      <c r="U160" s="55">
        <f t="shared" si="70"/>
        <v>0</v>
      </c>
      <c r="V160" s="55">
        <f t="shared" si="70"/>
        <v>0</v>
      </c>
      <c r="W160" s="55">
        <f t="shared" si="70"/>
        <v>0</v>
      </c>
    </row>
    <row r="161" spans="1:23" x14ac:dyDescent="0.25">
      <c r="A161" s="46" t="s">
        <v>66</v>
      </c>
      <c r="B161" s="53" t="s">
        <v>59</v>
      </c>
      <c r="C161" s="59"/>
      <c r="D161" s="55">
        <f t="shared" ref="D161:W161" si="71">D5</f>
        <v>1</v>
      </c>
      <c r="E161" s="55">
        <f t="shared" si="71"/>
        <v>1</v>
      </c>
      <c r="F161" s="55">
        <f t="shared" si="71"/>
        <v>1</v>
      </c>
      <c r="G161" s="55">
        <f t="shared" si="71"/>
        <v>1</v>
      </c>
      <c r="H161" s="55">
        <f t="shared" si="71"/>
        <v>1</v>
      </c>
      <c r="I161" s="55">
        <f t="shared" si="71"/>
        <v>1</v>
      </c>
      <c r="J161" s="55">
        <f t="shared" si="71"/>
        <v>1</v>
      </c>
      <c r="K161" s="55">
        <f t="shared" si="71"/>
        <v>1</v>
      </c>
      <c r="L161" s="55">
        <f t="shared" si="71"/>
        <v>1</v>
      </c>
      <c r="M161" s="55">
        <f t="shared" si="71"/>
        <v>1</v>
      </c>
      <c r="N161" s="55">
        <f t="shared" si="71"/>
        <v>1</v>
      </c>
      <c r="O161" s="55">
        <f t="shared" si="71"/>
        <v>1</v>
      </c>
      <c r="P161" s="55">
        <f t="shared" si="71"/>
        <v>1</v>
      </c>
      <c r="Q161" s="55">
        <f t="shared" si="71"/>
        <v>1</v>
      </c>
      <c r="R161" s="55">
        <f t="shared" si="71"/>
        <v>1</v>
      </c>
      <c r="S161" s="55">
        <f t="shared" si="71"/>
        <v>1</v>
      </c>
      <c r="T161" s="55">
        <f t="shared" si="71"/>
        <v>1</v>
      </c>
      <c r="U161" s="55">
        <f t="shared" si="71"/>
        <v>1</v>
      </c>
      <c r="V161" s="55">
        <f t="shared" si="71"/>
        <v>1</v>
      </c>
      <c r="W161" s="55">
        <f t="shared" si="71"/>
        <v>1</v>
      </c>
    </row>
    <row r="162" spans="1:23" x14ac:dyDescent="0.25">
      <c r="A162" s="46" t="s">
        <v>67</v>
      </c>
      <c r="B162" s="54" t="s">
        <v>58</v>
      </c>
      <c r="C162" s="59" t="s">
        <v>89</v>
      </c>
      <c r="D162" s="55">
        <f t="shared" ref="D162:W162" si="72">D6</f>
        <v>1</v>
      </c>
      <c r="E162" s="55">
        <f t="shared" si="72"/>
        <v>1</v>
      </c>
      <c r="F162" s="55">
        <f t="shared" si="72"/>
        <v>1</v>
      </c>
      <c r="G162" s="55">
        <f t="shared" si="72"/>
        <v>1</v>
      </c>
      <c r="H162" s="55">
        <f t="shared" si="72"/>
        <v>0</v>
      </c>
      <c r="I162" s="55">
        <f t="shared" si="72"/>
        <v>0</v>
      </c>
      <c r="J162" s="55">
        <f t="shared" si="72"/>
        <v>0</v>
      </c>
      <c r="K162" s="55">
        <f t="shared" si="72"/>
        <v>0</v>
      </c>
      <c r="L162" s="55">
        <f t="shared" si="72"/>
        <v>0</v>
      </c>
      <c r="M162" s="55">
        <f t="shared" si="72"/>
        <v>0</v>
      </c>
      <c r="N162" s="55">
        <f t="shared" si="72"/>
        <v>0</v>
      </c>
      <c r="O162" s="55">
        <f t="shared" si="72"/>
        <v>0</v>
      </c>
      <c r="P162" s="55">
        <f t="shared" si="72"/>
        <v>0</v>
      </c>
      <c r="Q162" s="55">
        <f t="shared" si="72"/>
        <v>0</v>
      </c>
      <c r="R162" s="55">
        <f t="shared" si="72"/>
        <v>0</v>
      </c>
      <c r="S162" s="55">
        <f t="shared" si="72"/>
        <v>0</v>
      </c>
      <c r="T162" s="55">
        <f t="shared" si="72"/>
        <v>0</v>
      </c>
      <c r="U162" s="55">
        <f t="shared" si="72"/>
        <v>0</v>
      </c>
      <c r="V162" s="55">
        <f t="shared" si="72"/>
        <v>0</v>
      </c>
      <c r="W162" s="55">
        <f t="shared" si="72"/>
        <v>0</v>
      </c>
    </row>
    <row r="163" spans="1:23" x14ac:dyDescent="0.25">
      <c r="A163" s="46" t="s">
        <v>68</v>
      </c>
      <c r="B163" s="47" t="s">
        <v>57</v>
      </c>
      <c r="C163" s="59" t="s">
        <v>89</v>
      </c>
      <c r="D163" s="55">
        <f t="shared" ref="D163:W163" si="73">D7</f>
        <v>1</v>
      </c>
      <c r="E163" s="55">
        <f t="shared" si="73"/>
        <v>1</v>
      </c>
      <c r="F163" s="55">
        <f t="shared" si="73"/>
        <v>1</v>
      </c>
      <c r="G163" s="55">
        <f t="shared" si="73"/>
        <v>1</v>
      </c>
      <c r="H163" s="55">
        <f t="shared" si="73"/>
        <v>1</v>
      </c>
      <c r="I163" s="55">
        <f t="shared" si="73"/>
        <v>1</v>
      </c>
      <c r="J163" s="55">
        <f t="shared" si="73"/>
        <v>0</v>
      </c>
      <c r="K163" s="55">
        <f t="shared" si="73"/>
        <v>0</v>
      </c>
      <c r="L163" s="55">
        <f t="shared" si="73"/>
        <v>0</v>
      </c>
      <c r="M163" s="55">
        <f t="shared" si="73"/>
        <v>0</v>
      </c>
      <c r="N163" s="55">
        <f t="shared" si="73"/>
        <v>0</v>
      </c>
      <c r="O163" s="55">
        <f t="shared" si="73"/>
        <v>0</v>
      </c>
      <c r="P163" s="55">
        <f t="shared" si="73"/>
        <v>0</v>
      </c>
      <c r="Q163" s="55">
        <f t="shared" si="73"/>
        <v>0</v>
      </c>
      <c r="R163" s="55">
        <f t="shared" si="73"/>
        <v>0</v>
      </c>
      <c r="S163" s="55">
        <f t="shared" si="73"/>
        <v>0</v>
      </c>
      <c r="T163" s="55">
        <f t="shared" si="73"/>
        <v>0</v>
      </c>
      <c r="U163" s="55">
        <f t="shared" si="73"/>
        <v>0</v>
      </c>
      <c r="V163" s="55">
        <f t="shared" si="73"/>
        <v>0</v>
      </c>
      <c r="W163" s="55">
        <f t="shared" si="73"/>
        <v>0</v>
      </c>
    </row>
    <row r="164" spans="1:23" x14ac:dyDescent="0.25">
      <c r="A164" s="46" t="s">
        <v>34</v>
      </c>
      <c r="B164" s="55" t="s">
        <v>64</v>
      </c>
      <c r="C164" s="59" t="s">
        <v>89</v>
      </c>
      <c r="D164" s="55">
        <f t="shared" ref="D164:W164" si="74">D8</f>
        <v>1</v>
      </c>
      <c r="E164" s="55">
        <f t="shared" si="74"/>
        <v>1</v>
      </c>
      <c r="F164" s="55">
        <f t="shared" si="74"/>
        <v>1</v>
      </c>
      <c r="G164" s="55">
        <f t="shared" si="74"/>
        <v>1</v>
      </c>
      <c r="H164" s="55">
        <f t="shared" si="74"/>
        <v>1</v>
      </c>
      <c r="I164" s="55">
        <f t="shared" si="74"/>
        <v>1</v>
      </c>
      <c r="J164" s="55">
        <f t="shared" si="74"/>
        <v>1</v>
      </c>
      <c r="K164" s="55">
        <f t="shared" si="74"/>
        <v>1</v>
      </c>
      <c r="L164" s="55">
        <f t="shared" si="74"/>
        <v>1</v>
      </c>
      <c r="M164" s="55">
        <f t="shared" si="74"/>
        <v>1</v>
      </c>
      <c r="N164" s="55">
        <f t="shared" si="74"/>
        <v>1</v>
      </c>
      <c r="O164" s="55">
        <f t="shared" si="74"/>
        <v>1</v>
      </c>
      <c r="P164" s="55">
        <f t="shared" si="74"/>
        <v>1</v>
      </c>
      <c r="Q164" s="55">
        <f t="shared" si="74"/>
        <v>1</v>
      </c>
      <c r="R164" s="55">
        <f t="shared" si="74"/>
        <v>1</v>
      </c>
      <c r="S164" s="55">
        <f t="shared" si="74"/>
        <v>1</v>
      </c>
      <c r="T164" s="55">
        <f t="shared" si="74"/>
        <v>1</v>
      </c>
      <c r="U164" s="55">
        <f t="shared" si="74"/>
        <v>1</v>
      </c>
      <c r="V164" s="55">
        <f t="shared" si="74"/>
        <v>1</v>
      </c>
      <c r="W164" s="55">
        <f t="shared" si="74"/>
        <v>1</v>
      </c>
    </row>
    <row r="165" spans="1:23" x14ac:dyDescent="0.25">
      <c r="A165" s="46" t="s">
        <v>69</v>
      </c>
      <c r="B165" s="47" t="s">
        <v>57</v>
      </c>
      <c r="C165" s="59"/>
      <c r="D165" s="55">
        <f t="shared" ref="D165:W165" si="75">D9</f>
        <v>0</v>
      </c>
      <c r="E165" s="55">
        <f t="shared" si="75"/>
        <v>0</v>
      </c>
      <c r="F165" s="55">
        <f t="shared" si="75"/>
        <v>0</v>
      </c>
      <c r="G165" s="55">
        <f t="shared" si="75"/>
        <v>0</v>
      </c>
      <c r="H165" s="55">
        <f t="shared" si="75"/>
        <v>0</v>
      </c>
      <c r="I165" s="55">
        <f t="shared" si="75"/>
        <v>0</v>
      </c>
      <c r="J165" s="55">
        <f t="shared" si="75"/>
        <v>0</v>
      </c>
      <c r="K165" s="55">
        <f t="shared" si="75"/>
        <v>0</v>
      </c>
      <c r="L165" s="55">
        <f t="shared" si="75"/>
        <v>0</v>
      </c>
      <c r="M165" s="55">
        <f t="shared" si="75"/>
        <v>0</v>
      </c>
      <c r="N165" s="55">
        <f t="shared" si="75"/>
        <v>0</v>
      </c>
      <c r="O165" s="55">
        <f t="shared" si="75"/>
        <v>0</v>
      </c>
      <c r="P165" s="55">
        <f t="shared" si="75"/>
        <v>0</v>
      </c>
      <c r="Q165" s="55">
        <f t="shared" si="75"/>
        <v>0</v>
      </c>
      <c r="R165" s="55">
        <f t="shared" si="75"/>
        <v>0</v>
      </c>
      <c r="S165" s="55">
        <f t="shared" si="75"/>
        <v>0</v>
      </c>
      <c r="T165" s="55">
        <f t="shared" si="75"/>
        <v>0</v>
      </c>
      <c r="U165" s="55">
        <f t="shared" si="75"/>
        <v>0</v>
      </c>
      <c r="V165" s="55">
        <f t="shared" si="75"/>
        <v>0</v>
      </c>
      <c r="W165" s="55">
        <f t="shared" si="75"/>
        <v>0</v>
      </c>
    </row>
    <row r="166" spans="1:23" x14ac:dyDescent="0.25">
      <c r="A166" s="46" t="s">
        <v>70</v>
      </c>
      <c r="B166" s="54" t="s">
        <v>59</v>
      </c>
      <c r="C166" s="59" t="s">
        <v>89</v>
      </c>
      <c r="D166" s="55">
        <f t="shared" ref="D166:W166" si="76">D10</f>
        <v>1</v>
      </c>
      <c r="E166" s="55">
        <f t="shared" si="76"/>
        <v>1</v>
      </c>
      <c r="F166" s="55">
        <f t="shared" si="76"/>
        <v>1</v>
      </c>
      <c r="G166" s="55">
        <f t="shared" si="76"/>
        <v>1</v>
      </c>
      <c r="H166" s="55">
        <f t="shared" si="76"/>
        <v>1</v>
      </c>
      <c r="I166" s="55">
        <f t="shared" si="76"/>
        <v>1</v>
      </c>
      <c r="J166" s="55">
        <f t="shared" si="76"/>
        <v>1</v>
      </c>
      <c r="K166" s="55">
        <f t="shared" si="76"/>
        <v>1</v>
      </c>
      <c r="L166" s="55">
        <f t="shared" si="76"/>
        <v>1</v>
      </c>
      <c r="M166" s="55">
        <f t="shared" si="76"/>
        <v>1</v>
      </c>
      <c r="N166" s="55">
        <f t="shared" si="76"/>
        <v>0</v>
      </c>
      <c r="O166" s="55">
        <f t="shared" si="76"/>
        <v>0</v>
      </c>
      <c r="P166" s="55">
        <f t="shared" si="76"/>
        <v>0</v>
      </c>
      <c r="Q166" s="55">
        <f t="shared" si="76"/>
        <v>0</v>
      </c>
      <c r="R166" s="55">
        <f t="shared" si="76"/>
        <v>0</v>
      </c>
      <c r="S166" s="55">
        <f t="shared" si="76"/>
        <v>0</v>
      </c>
      <c r="T166" s="55">
        <f t="shared" si="76"/>
        <v>0</v>
      </c>
      <c r="U166" s="55">
        <f t="shared" si="76"/>
        <v>0</v>
      </c>
      <c r="V166" s="55">
        <f t="shared" si="76"/>
        <v>0</v>
      </c>
      <c r="W166" s="55">
        <f t="shared" si="76"/>
        <v>0</v>
      </c>
    </row>
    <row r="167" spans="1:23" x14ac:dyDescent="0.25">
      <c r="A167" s="46" t="s">
        <v>71</v>
      </c>
      <c r="B167" s="54" t="s">
        <v>58</v>
      </c>
      <c r="C167" s="59"/>
      <c r="D167" s="55">
        <f t="shared" ref="D167:W167" si="77">D11</f>
        <v>1</v>
      </c>
      <c r="E167" s="55">
        <f t="shared" si="77"/>
        <v>1</v>
      </c>
      <c r="F167" s="55">
        <f t="shared" si="77"/>
        <v>1</v>
      </c>
      <c r="G167" s="55">
        <f t="shared" si="77"/>
        <v>1</v>
      </c>
      <c r="H167" s="55">
        <f t="shared" si="77"/>
        <v>1</v>
      </c>
      <c r="I167" s="55">
        <f t="shared" si="77"/>
        <v>1</v>
      </c>
      <c r="J167" s="55">
        <f t="shared" si="77"/>
        <v>1</v>
      </c>
      <c r="K167" s="55">
        <f t="shared" si="77"/>
        <v>1</v>
      </c>
      <c r="L167" s="55">
        <f t="shared" si="77"/>
        <v>1</v>
      </c>
      <c r="M167" s="55">
        <f t="shared" si="77"/>
        <v>1</v>
      </c>
      <c r="N167" s="55">
        <f t="shared" si="77"/>
        <v>1</v>
      </c>
      <c r="O167" s="55">
        <f t="shared" si="77"/>
        <v>1</v>
      </c>
      <c r="P167" s="55">
        <f t="shared" si="77"/>
        <v>1</v>
      </c>
      <c r="Q167" s="55">
        <f t="shared" si="77"/>
        <v>1</v>
      </c>
      <c r="R167" s="55">
        <f t="shared" si="77"/>
        <v>1</v>
      </c>
      <c r="S167" s="55">
        <f t="shared" si="77"/>
        <v>1</v>
      </c>
      <c r="T167" s="55">
        <f t="shared" si="77"/>
        <v>1</v>
      </c>
      <c r="U167" s="55">
        <f t="shared" si="77"/>
        <v>1</v>
      </c>
      <c r="V167" s="55">
        <f t="shared" si="77"/>
        <v>1</v>
      </c>
      <c r="W167" s="55">
        <f t="shared" si="77"/>
        <v>1</v>
      </c>
    </row>
    <row r="168" spans="1:23" x14ac:dyDescent="0.25">
      <c r="A168" s="46" t="s">
        <v>72</v>
      </c>
      <c r="B168" s="53" t="s">
        <v>59</v>
      </c>
      <c r="C168" s="59"/>
      <c r="D168" s="55">
        <f t="shared" ref="D168:W168" si="78">D12</f>
        <v>1</v>
      </c>
      <c r="E168" s="55">
        <f t="shared" si="78"/>
        <v>1</v>
      </c>
      <c r="F168" s="55">
        <f t="shared" si="78"/>
        <v>1</v>
      </c>
      <c r="G168" s="55">
        <f t="shared" si="78"/>
        <v>1</v>
      </c>
      <c r="H168" s="55">
        <f t="shared" si="78"/>
        <v>1</v>
      </c>
      <c r="I168" s="55">
        <f t="shared" si="78"/>
        <v>1</v>
      </c>
      <c r="J168" s="55">
        <f t="shared" si="78"/>
        <v>1</v>
      </c>
      <c r="K168" s="55">
        <f t="shared" si="78"/>
        <v>1</v>
      </c>
      <c r="L168" s="55">
        <f t="shared" si="78"/>
        <v>1</v>
      </c>
      <c r="M168" s="55">
        <f t="shared" si="78"/>
        <v>1</v>
      </c>
      <c r="N168" s="55">
        <f t="shared" si="78"/>
        <v>1</v>
      </c>
      <c r="O168" s="55">
        <f t="shared" si="78"/>
        <v>1</v>
      </c>
      <c r="P168" s="55">
        <f t="shared" si="78"/>
        <v>1</v>
      </c>
      <c r="Q168" s="55">
        <f t="shared" si="78"/>
        <v>1</v>
      </c>
      <c r="R168" s="55">
        <f t="shared" si="78"/>
        <v>1</v>
      </c>
      <c r="S168" s="55">
        <f t="shared" si="78"/>
        <v>1</v>
      </c>
      <c r="T168" s="55">
        <f t="shared" si="78"/>
        <v>1</v>
      </c>
      <c r="U168" s="55">
        <f t="shared" si="78"/>
        <v>1</v>
      </c>
      <c r="V168" s="55">
        <f t="shared" si="78"/>
        <v>1</v>
      </c>
      <c r="W168" s="55">
        <f t="shared" si="78"/>
        <v>1</v>
      </c>
    </row>
    <row r="169" spans="1:23" x14ac:dyDescent="0.25">
      <c r="A169" s="46" t="s">
        <v>82</v>
      </c>
      <c r="B169" s="55" t="s">
        <v>64</v>
      </c>
      <c r="C169" s="59"/>
      <c r="D169" s="55">
        <f t="shared" ref="D169:W169" si="79">D13</f>
        <v>1</v>
      </c>
      <c r="E169" s="55">
        <f t="shared" si="79"/>
        <v>1</v>
      </c>
      <c r="F169" s="55">
        <f t="shared" si="79"/>
        <v>1</v>
      </c>
      <c r="G169" s="55">
        <f t="shared" si="79"/>
        <v>0</v>
      </c>
      <c r="H169" s="55">
        <f t="shared" si="79"/>
        <v>0</v>
      </c>
      <c r="I169" s="55">
        <f t="shared" si="79"/>
        <v>0</v>
      </c>
      <c r="J169" s="55">
        <f t="shared" si="79"/>
        <v>0</v>
      </c>
      <c r="K169" s="55">
        <f t="shared" si="79"/>
        <v>0</v>
      </c>
      <c r="L169" s="55">
        <f t="shared" si="79"/>
        <v>0</v>
      </c>
      <c r="M169" s="55">
        <f t="shared" si="79"/>
        <v>0</v>
      </c>
      <c r="N169" s="55">
        <f t="shared" si="79"/>
        <v>0</v>
      </c>
      <c r="O169" s="55">
        <f t="shared" si="79"/>
        <v>0</v>
      </c>
      <c r="P169" s="55">
        <f t="shared" si="79"/>
        <v>0</v>
      </c>
      <c r="Q169" s="55">
        <f t="shared" si="79"/>
        <v>0</v>
      </c>
      <c r="R169" s="55">
        <f t="shared" si="79"/>
        <v>0</v>
      </c>
      <c r="S169" s="55">
        <f t="shared" si="79"/>
        <v>0</v>
      </c>
      <c r="T169" s="55">
        <f t="shared" si="79"/>
        <v>0</v>
      </c>
      <c r="U169" s="55">
        <f t="shared" si="79"/>
        <v>0</v>
      </c>
      <c r="V169" s="55">
        <f t="shared" si="79"/>
        <v>0</v>
      </c>
      <c r="W169" s="55">
        <f t="shared" si="79"/>
        <v>0</v>
      </c>
    </row>
    <row r="170" spans="1:23" x14ac:dyDescent="0.25">
      <c r="A170" s="46" t="s">
        <v>35</v>
      </c>
      <c r="B170" s="47" t="s">
        <v>57</v>
      </c>
      <c r="C170" s="59" t="s">
        <v>89</v>
      </c>
      <c r="D170" s="55">
        <f t="shared" ref="D170:W170" si="80">D14</f>
        <v>1</v>
      </c>
      <c r="E170" s="55">
        <f t="shared" si="80"/>
        <v>1</v>
      </c>
      <c r="F170" s="55">
        <f t="shared" si="80"/>
        <v>1</v>
      </c>
      <c r="G170" s="55">
        <f t="shared" si="80"/>
        <v>1</v>
      </c>
      <c r="H170" s="55">
        <f t="shared" si="80"/>
        <v>1</v>
      </c>
      <c r="I170" s="55">
        <f t="shared" si="80"/>
        <v>1</v>
      </c>
      <c r="J170" s="55">
        <f t="shared" si="80"/>
        <v>1</v>
      </c>
      <c r="K170" s="55">
        <f t="shared" si="80"/>
        <v>0</v>
      </c>
      <c r="L170" s="55">
        <f t="shared" si="80"/>
        <v>0</v>
      </c>
      <c r="M170" s="55">
        <f t="shared" si="80"/>
        <v>0</v>
      </c>
      <c r="N170" s="55">
        <f t="shared" si="80"/>
        <v>0</v>
      </c>
      <c r="O170" s="55">
        <f t="shared" si="80"/>
        <v>0</v>
      </c>
      <c r="P170" s="55">
        <f t="shared" si="80"/>
        <v>0</v>
      </c>
      <c r="Q170" s="55">
        <f t="shared" si="80"/>
        <v>0</v>
      </c>
      <c r="R170" s="55">
        <f t="shared" si="80"/>
        <v>0</v>
      </c>
      <c r="S170" s="55">
        <f t="shared" si="80"/>
        <v>0</v>
      </c>
      <c r="T170" s="55">
        <f t="shared" si="80"/>
        <v>0</v>
      </c>
      <c r="U170" s="55">
        <f t="shared" si="80"/>
        <v>0</v>
      </c>
      <c r="V170" s="55">
        <f t="shared" si="80"/>
        <v>0</v>
      </c>
      <c r="W170" s="55">
        <f t="shared" si="80"/>
        <v>0</v>
      </c>
    </row>
    <row r="171" spans="1:23" x14ac:dyDescent="0.25">
      <c r="A171" s="59" t="s">
        <v>83</v>
      </c>
      <c r="B171" s="47" t="s">
        <v>56</v>
      </c>
      <c r="C171" s="59"/>
      <c r="D171" s="55">
        <f t="shared" ref="D171:W171" si="81">D15</f>
        <v>1</v>
      </c>
      <c r="E171" s="55">
        <f t="shared" si="81"/>
        <v>1</v>
      </c>
      <c r="F171" s="55">
        <f t="shared" si="81"/>
        <v>1</v>
      </c>
      <c r="G171" s="55">
        <f t="shared" si="81"/>
        <v>1</v>
      </c>
      <c r="H171" s="55">
        <f t="shared" si="81"/>
        <v>1</v>
      </c>
      <c r="I171" s="55">
        <f t="shared" si="81"/>
        <v>1</v>
      </c>
      <c r="J171" s="55">
        <f t="shared" si="81"/>
        <v>1</v>
      </c>
      <c r="K171" s="55">
        <f t="shared" si="81"/>
        <v>1</v>
      </c>
      <c r="L171" s="55">
        <f t="shared" si="81"/>
        <v>1</v>
      </c>
      <c r="M171" s="55">
        <f t="shared" si="81"/>
        <v>1</v>
      </c>
      <c r="N171" s="55">
        <f t="shared" si="81"/>
        <v>1</v>
      </c>
      <c r="O171" s="55">
        <f t="shared" si="81"/>
        <v>1</v>
      </c>
      <c r="P171" s="55">
        <f t="shared" si="81"/>
        <v>1</v>
      </c>
      <c r="Q171" s="55">
        <f t="shared" si="81"/>
        <v>1</v>
      </c>
      <c r="R171" s="55">
        <f t="shared" si="81"/>
        <v>1</v>
      </c>
      <c r="S171" s="55">
        <f t="shared" si="81"/>
        <v>1</v>
      </c>
      <c r="T171" s="55">
        <f t="shared" si="81"/>
        <v>1</v>
      </c>
      <c r="U171" s="55">
        <f t="shared" si="81"/>
        <v>1</v>
      </c>
      <c r="V171" s="55">
        <f t="shared" si="81"/>
        <v>1</v>
      </c>
      <c r="W171" s="55">
        <f t="shared" si="81"/>
        <v>1</v>
      </c>
    </row>
    <row r="172" spans="1:23" x14ac:dyDescent="0.25">
      <c r="A172" s="59" t="s">
        <v>84</v>
      </c>
      <c r="B172" s="47" t="s">
        <v>56</v>
      </c>
      <c r="C172" s="59"/>
      <c r="D172" s="55">
        <f t="shared" ref="D172:W172" si="82">D16</f>
        <v>1</v>
      </c>
      <c r="E172" s="55">
        <f t="shared" si="82"/>
        <v>1</v>
      </c>
      <c r="F172" s="55">
        <f t="shared" si="82"/>
        <v>1</v>
      </c>
      <c r="G172" s="55">
        <f t="shared" si="82"/>
        <v>1</v>
      </c>
      <c r="H172" s="55">
        <f t="shared" si="82"/>
        <v>1</v>
      </c>
      <c r="I172" s="55">
        <f t="shared" si="82"/>
        <v>1</v>
      </c>
      <c r="J172" s="55">
        <f t="shared" si="82"/>
        <v>1</v>
      </c>
      <c r="K172" s="55">
        <f t="shared" si="82"/>
        <v>1</v>
      </c>
      <c r="L172" s="55">
        <f t="shared" si="82"/>
        <v>1</v>
      </c>
      <c r="M172" s="55">
        <f t="shared" si="82"/>
        <v>1</v>
      </c>
      <c r="N172" s="55">
        <f t="shared" si="82"/>
        <v>1</v>
      </c>
      <c r="O172" s="55">
        <f t="shared" si="82"/>
        <v>1</v>
      </c>
      <c r="P172" s="55">
        <f t="shared" si="82"/>
        <v>1</v>
      </c>
      <c r="Q172" s="55">
        <f t="shared" si="82"/>
        <v>1</v>
      </c>
      <c r="R172" s="55">
        <f t="shared" si="82"/>
        <v>1</v>
      </c>
      <c r="S172" s="55">
        <f t="shared" si="82"/>
        <v>1</v>
      </c>
      <c r="T172" s="55">
        <f t="shared" si="82"/>
        <v>1</v>
      </c>
      <c r="U172" s="55">
        <f t="shared" si="82"/>
        <v>1</v>
      </c>
      <c r="V172" s="55">
        <f t="shared" si="82"/>
        <v>1</v>
      </c>
      <c r="W172" s="55">
        <f t="shared" si="82"/>
        <v>1</v>
      </c>
    </row>
    <row r="173" spans="1:23" x14ac:dyDescent="0.25">
      <c r="A173" s="59" t="s">
        <v>85</v>
      </c>
      <c r="B173" s="47" t="s">
        <v>56</v>
      </c>
      <c r="C173" s="59"/>
      <c r="D173" s="55">
        <f t="shared" ref="D173:W173" si="83">D17</f>
        <v>1</v>
      </c>
      <c r="E173" s="55">
        <f t="shared" si="83"/>
        <v>1</v>
      </c>
      <c r="F173" s="55">
        <f t="shared" si="83"/>
        <v>1</v>
      </c>
      <c r="G173" s="55">
        <f t="shared" si="83"/>
        <v>1</v>
      </c>
      <c r="H173" s="55">
        <f t="shared" si="83"/>
        <v>1</v>
      </c>
      <c r="I173" s="55">
        <f t="shared" si="83"/>
        <v>1</v>
      </c>
      <c r="J173" s="55">
        <f t="shared" si="83"/>
        <v>1</v>
      </c>
      <c r="K173" s="55">
        <f t="shared" si="83"/>
        <v>1</v>
      </c>
      <c r="L173" s="55">
        <f t="shared" si="83"/>
        <v>1</v>
      </c>
      <c r="M173" s="55">
        <f t="shared" si="83"/>
        <v>1</v>
      </c>
      <c r="N173" s="55">
        <f t="shared" si="83"/>
        <v>1</v>
      </c>
      <c r="O173" s="55">
        <f t="shared" si="83"/>
        <v>1</v>
      </c>
      <c r="P173" s="55">
        <f t="shared" si="83"/>
        <v>1</v>
      </c>
      <c r="Q173" s="55">
        <f t="shared" si="83"/>
        <v>1</v>
      </c>
      <c r="R173" s="55">
        <f t="shared" si="83"/>
        <v>1</v>
      </c>
      <c r="S173" s="55">
        <f t="shared" si="83"/>
        <v>1</v>
      </c>
      <c r="T173" s="55">
        <f t="shared" si="83"/>
        <v>1</v>
      </c>
      <c r="U173" s="55">
        <f t="shared" si="83"/>
        <v>1</v>
      </c>
      <c r="V173" s="55">
        <f t="shared" si="83"/>
        <v>1</v>
      </c>
      <c r="W173" s="55">
        <f t="shared" si="83"/>
        <v>1</v>
      </c>
    </row>
    <row r="174" spans="1:23" x14ac:dyDescent="0.25">
      <c r="A174" s="59" t="s">
        <v>86</v>
      </c>
      <c r="B174" s="47" t="s">
        <v>56</v>
      </c>
      <c r="C174" s="59"/>
      <c r="D174" s="55">
        <f t="shared" ref="D174:W174" si="84">D18</f>
        <v>1</v>
      </c>
      <c r="E174" s="55">
        <f t="shared" si="84"/>
        <v>1</v>
      </c>
      <c r="F174" s="55">
        <f t="shared" si="84"/>
        <v>1</v>
      </c>
      <c r="G174" s="55">
        <f t="shared" si="84"/>
        <v>1</v>
      </c>
      <c r="H174" s="55">
        <f t="shared" si="84"/>
        <v>1</v>
      </c>
      <c r="I174" s="55">
        <f t="shared" si="84"/>
        <v>1</v>
      </c>
      <c r="J174" s="55">
        <f t="shared" si="84"/>
        <v>1</v>
      </c>
      <c r="K174" s="55">
        <f t="shared" si="84"/>
        <v>1</v>
      </c>
      <c r="L174" s="55">
        <f t="shared" si="84"/>
        <v>1</v>
      </c>
      <c r="M174" s="55">
        <f t="shared" si="84"/>
        <v>1</v>
      </c>
      <c r="N174" s="55">
        <f t="shared" si="84"/>
        <v>1</v>
      </c>
      <c r="O174" s="55">
        <f t="shared" si="84"/>
        <v>1</v>
      </c>
      <c r="P174" s="55">
        <f t="shared" si="84"/>
        <v>1</v>
      </c>
      <c r="Q174" s="55">
        <f t="shared" si="84"/>
        <v>1</v>
      </c>
      <c r="R174" s="55">
        <f t="shared" si="84"/>
        <v>1</v>
      </c>
      <c r="S174" s="55">
        <f t="shared" si="84"/>
        <v>1</v>
      </c>
      <c r="T174" s="55">
        <f t="shared" si="84"/>
        <v>1</v>
      </c>
      <c r="U174" s="55">
        <f t="shared" si="84"/>
        <v>1</v>
      </c>
      <c r="V174" s="55">
        <f t="shared" si="84"/>
        <v>1</v>
      </c>
      <c r="W174" s="55">
        <f t="shared" si="84"/>
        <v>1</v>
      </c>
    </row>
    <row r="175" spans="1:23" x14ac:dyDescent="0.25">
      <c r="A175" s="46" t="s">
        <v>36</v>
      </c>
      <c r="B175" s="47" t="s">
        <v>57</v>
      </c>
      <c r="C175" s="59" t="s">
        <v>89</v>
      </c>
      <c r="D175" s="55">
        <f t="shared" ref="D175:W175" si="85">D19</f>
        <v>1</v>
      </c>
      <c r="E175" s="55">
        <f t="shared" si="85"/>
        <v>1</v>
      </c>
      <c r="F175" s="55">
        <f t="shared" si="85"/>
        <v>1</v>
      </c>
      <c r="G175" s="55">
        <f t="shared" si="85"/>
        <v>1</v>
      </c>
      <c r="H175" s="55">
        <f t="shared" si="85"/>
        <v>1</v>
      </c>
      <c r="I175" s="55">
        <f t="shared" si="85"/>
        <v>1</v>
      </c>
      <c r="J175" s="55">
        <f t="shared" si="85"/>
        <v>1</v>
      </c>
      <c r="K175" s="55">
        <f t="shared" si="85"/>
        <v>1</v>
      </c>
      <c r="L175" s="55">
        <f t="shared" si="85"/>
        <v>1</v>
      </c>
      <c r="M175" s="55">
        <f t="shared" si="85"/>
        <v>1</v>
      </c>
      <c r="N175" s="55">
        <f t="shared" si="85"/>
        <v>1</v>
      </c>
      <c r="O175" s="55">
        <f t="shared" si="85"/>
        <v>1</v>
      </c>
      <c r="P175" s="55">
        <f t="shared" si="85"/>
        <v>1</v>
      </c>
      <c r="Q175" s="55">
        <f t="shared" si="85"/>
        <v>1</v>
      </c>
      <c r="R175" s="55">
        <f t="shared" si="85"/>
        <v>1</v>
      </c>
      <c r="S175" s="55">
        <f t="shared" si="85"/>
        <v>1</v>
      </c>
      <c r="T175" s="55">
        <f t="shared" si="85"/>
        <v>1</v>
      </c>
      <c r="U175" s="55">
        <f t="shared" si="85"/>
        <v>1</v>
      </c>
      <c r="V175" s="55">
        <f t="shared" si="85"/>
        <v>1</v>
      </c>
      <c r="W175" s="55">
        <f t="shared" si="85"/>
        <v>1</v>
      </c>
    </row>
    <row r="176" spans="1:23" x14ac:dyDescent="0.25">
      <c r="A176" s="46" t="s">
        <v>37</v>
      </c>
      <c r="B176" s="47" t="s">
        <v>57</v>
      </c>
      <c r="C176" s="59" t="s">
        <v>89</v>
      </c>
      <c r="D176" s="55">
        <f t="shared" ref="D176:W176" si="86">D20</f>
        <v>1</v>
      </c>
      <c r="E176" s="55">
        <f t="shared" si="86"/>
        <v>1</v>
      </c>
      <c r="F176" s="55">
        <f t="shared" si="86"/>
        <v>1</v>
      </c>
      <c r="G176" s="55">
        <f t="shared" si="86"/>
        <v>1</v>
      </c>
      <c r="H176" s="55">
        <f t="shared" si="86"/>
        <v>1</v>
      </c>
      <c r="I176" s="55">
        <f t="shared" si="86"/>
        <v>0</v>
      </c>
      <c r="J176" s="55">
        <f t="shared" si="86"/>
        <v>0</v>
      </c>
      <c r="K176" s="55">
        <f t="shared" si="86"/>
        <v>0</v>
      </c>
      <c r="L176" s="55">
        <f t="shared" si="86"/>
        <v>0</v>
      </c>
      <c r="M176" s="55">
        <f t="shared" si="86"/>
        <v>0</v>
      </c>
      <c r="N176" s="55">
        <f t="shared" si="86"/>
        <v>0</v>
      </c>
      <c r="O176" s="55">
        <f t="shared" si="86"/>
        <v>0</v>
      </c>
      <c r="P176" s="55">
        <f t="shared" si="86"/>
        <v>0</v>
      </c>
      <c r="Q176" s="55">
        <f t="shared" si="86"/>
        <v>0</v>
      </c>
      <c r="R176" s="55">
        <f t="shared" si="86"/>
        <v>0</v>
      </c>
      <c r="S176" s="55">
        <f t="shared" si="86"/>
        <v>0</v>
      </c>
      <c r="T176" s="55">
        <f t="shared" si="86"/>
        <v>0</v>
      </c>
      <c r="U176" s="55">
        <f t="shared" si="86"/>
        <v>0</v>
      </c>
      <c r="V176" s="55">
        <f t="shared" si="86"/>
        <v>0</v>
      </c>
      <c r="W176" s="55">
        <f t="shared" si="86"/>
        <v>0</v>
      </c>
    </row>
    <row r="177" spans="1:23" x14ac:dyDescent="0.25">
      <c r="A177" s="46" t="s">
        <v>40</v>
      </c>
      <c r="B177" s="60" t="s">
        <v>58</v>
      </c>
      <c r="C177" s="59"/>
      <c r="D177" s="55">
        <f t="shared" ref="D177:W177" si="87">D21</f>
        <v>0</v>
      </c>
      <c r="E177" s="55">
        <f t="shared" si="87"/>
        <v>0</v>
      </c>
      <c r="F177" s="55">
        <f t="shared" si="87"/>
        <v>0</v>
      </c>
      <c r="G177" s="55">
        <f t="shared" si="87"/>
        <v>0</v>
      </c>
      <c r="H177" s="55">
        <f t="shared" si="87"/>
        <v>0</v>
      </c>
      <c r="I177" s="55">
        <f t="shared" si="87"/>
        <v>0</v>
      </c>
      <c r="J177" s="55">
        <f t="shared" si="87"/>
        <v>0</v>
      </c>
      <c r="K177" s="55">
        <f t="shared" si="87"/>
        <v>0</v>
      </c>
      <c r="L177" s="55">
        <f t="shared" si="87"/>
        <v>0</v>
      </c>
      <c r="M177" s="55">
        <f t="shared" si="87"/>
        <v>0</v>
      </c>
      <c r="N177" s="55">
        <f t="shared" si="87"/>
        <v>0</v>
      </c>
      <c r="O177" s="55">
        <f t="shared" si="87"/>
        <v>0</v>
      </c>
      <c r="P177" s="55">
        <f t="shared" si="87"/>
        <v>0</v>
      </c>
      <c r="Q177" s="55">
        <f t="shared" si="87"/>
        <v>0</v>
      </c>
      <c r="R177" s="55">
        <f t="shared" si="87"/>
        <v>0</v>
      </c>
      <c r="S177" s="55">
        <f t="shared" si="87"/>
        <v>0</v>
      </c>
      <c r="T177" s="55">
        <f t="shared" si="87"/>
        <v>0</v>
      </c>
      <c r="U177" s="55">
        <f t="shared" si="87"/>
        <v>0</v>
      </c>
      <c r="V177" s="55">
        <f t="shared" si="87"/>
        <v>0</v>
      </c>
      <c r="W177" s="55">
        <f t="shared" si="87"/>
        <v>0</v>
      </c>
    </row>
    <row r="178" spans="1:23" x14ac:dyDescent="0.25">
      <c r="A178" s="46" t="s">
        <v>73</v>
      </c>
      <c r="B178" s="47" t="s">
        <v>57</v>
      </c>
      <c r="C178" s="59"/>
      <c r="D178" s="55">
        <f t="shared" ref="D178:W178" si="88">D22</f>
        <v>1</v>
      </c>
      <c r="E178" s="55">
        <f t="shared" si="88"/>
        <v>1</v>
      </c>
      <c r="F178" s="55">
        <f t="shared" si="88"/>
        <v>1</v>
      </c>
      <c r="G178" s="55">
        <f t="shared" si="88"/>
        <v>1</v>
      </c>
      <c r="H178" s="55">
        <f t="shared" si="88"/>
        <v>1</v>
      </c>
      <c r="I178" s="55">
        <f t="shared" si="88"/>
        <v>0</v>
      </c>
      <c r="J178" s="55">
        <f t="shared" si="88"/>
        <v>0</v>
      </c>
      <c r="K178" s="55">
        <f t="shared" si="88"/>
        <v>0</v>
      </c>
      <c r="L178" s="55">
        <f t="shared" si="88"/>
        <v>0</v>
      </c>
      <c r="M178" s="55">
        <f t="shared" si="88"/>
        <v>0</v>
      </c>
      <c r="N178" s="55">
        <f t="shared" si="88"/>
        <v>0</v>
      </c>
      <c r="O178" s="55">
        <f t="shared" si="88"/>
        <v>0</v>
      </c>
      <c r="P178" s="55">
        <f t="shared" si="88"/>
        <v>0</v>
      </c>
      <c r="Q178" s="55">
        <f t="shared" si="88"/>
        <v>0</v>
      </c>
      <c r="R178" s="55">
        <f t="shared" si="88"/>
        <v>0</v>
      </c>
      <c r="S178" s="55">
        <f t="shared" si="88"/>
        <v>0</v>
      </c>
      <c r="T178" s="55">
        <f t="shared" si="88"/>
        <v>0</v>
      </c>
      <c r="U178" s="55">
        <f t="shared" si="88"/>
        <v>0</v>
      </c>
      <c r="V178" s="55">
        <f t="shared" si="88"/>
        <v>0</v>
      </c>
      <c r="W178" s="55">
        <f t="shared" si="88"/>
        <v>0</v>
      </c>
    </row>
    <row r="179" spans="1:23" x14ac:dyDescent="0.25">
      <c r="A179" s="46" t="s">
        <v>38</v>
      </c>
      <c r="B179" s="47" t="s">
        <v>57</v>
      </c>
      <c r="C179" s="59" t="s">
        <v>89</v>
      </c>
      <c r="D179" s="55">
        <f t="shared" ref="D179:W179" si="89">D23</f>
        <v>1</v>
      </c>
      <c r="E179" s="55">
        <f t="shared" si="89"/>
        <v>1</v>
      </c>
      <c r="F179" s="55">
        <f t="shared" si="89"/>
        <v>1</v>
      </c>
      <c r="G179" s="55">
        <f t="shared" si="89"/>
        <v>1</v>
      </c>
      <c r="H179" s="55">
        <f t="shared" si="89"/>
        <v>0</v>
      </c>
      <c r="I179" s="55">
        <f t="shared" si="89"/>
        <v>0</v>
      </c>
      <c r="J179" s="55">
        <f t="shared" si="89"/>
        <v>0</v>
      </c>
      <c r="K179" s="55">
        <f t="shared" si="89"/>
        <v>0</v>
      </c>
      <c r="L179" s="55">
        <f t="shared" si="89"/>
        <v>0</v>
      </c>
      <c r="M179" s="55">
        <f t="shared" si="89"/>
        <v>0</v>
      </c>
      <c r="N179" s="55">
        <f t="shared" si="89"/>
        <v>0</v>
      </c>
      <c r="O179" s="55">
        <f t="shared" si="89"/>
        <v>0</v>
      </c>
      <c r="P179" s="55">
        <f t="shared" si="89"/>
        <v>0</v>
      </c>
      <c r="Q179" s="55">
        <f t="shared" si="89"/>
        <v>0</v>
      </c>
      <c r="R179" s="55">
        <f t="shared" si="89"/>
        <v>0</v>
      </c>
      <c r="S179" s="55">
        <f t="shared" si="89"/>
        <v>0</v>
      </c>
      <c r="T179" s="55">
        <f t="shared" si="89"/>
        <v>0</v>
      </c>
      <c r="U179" s="55">
        <f t="shared" si="89"/>
        <v>0</v>
      </c>
      <c r="V179" s="55">
        <f t="shared" si="89"/>
        <v>0</v>
      </c>
      <c r="W179" s="55">
        <f t="shared" si="89"/>
        <v>0</v>
      </c>
    </row>
    <row r="180" spans="1:23" x14ac:dyDescent="0.25">
      <c r="A180" s="46" t="s">
        <v>39</v>
      </c>
      <c r="B180" s="54" t="s">
        <v>59</v>
      </c>
      <c r="C180" s="59" t="s">
        <v>89</v>
      </c>
      <c r="D180" s="55">
        <f t="shared" ref="D180:W180" si="90">D24</f>
        <v>1</v>
      </c>
      <c r="E180" s="55">
        <f t="shared" si="90"/>
        <v>1</v>
      </c>
      <c r="F180" s="55">
        <f t="shared" si="90"/>
        <v>1</v>
      </c>
      <c r="G180" s="55">
        <f t="shared" si="90"/>
        <v>1</v>
      </c>
      <c r="H180" s="55">
        <f t="shared" si="90"/>
        <v>1</v>
      </c>
      <c r="I180" s="55">
        <f t="shared" si="90"/>
        <v>1</v>
      </c>
      <c r="J180" s="55">
        <f t="shared" si="90"/>
        <v>1</v>
      </c>
      <c r="K180" s="55">
        <f t="shared" si="90"/>
        <v>1</v>
      </c>
      <c r="L180" s="55">
        <f t="shared" si="90"/>
        <v>1</v>
      </c>
      <c r="M180" s="55">
        <f t="shared" si="90"/>
        <v>1</v>
      </c>
      <c r="N180" s="55">
        <f t="shared" si="90"/>
        <v>0</v>
      </c>
      <c r="O180" s="55">
        <f t="shared" si="90"/>
        <v>0</v>
      </c>
      <c r="P180" s="55">
        <f t="shared" si="90"/>
        <v>0</v>
      </c>
      <c r="Q180" s="55">
        <f t="shared" si="90"/>
        <v>0</v>
      </c>
      <c r="R180" s="55">
        <f t="shared" si="90"/>
        <v>0</v>
      </c>
      <c r="S180" s="55">
        <f t="shared" si="90"/>
        <v>0</v>
      </c>
      <c r="T180" s="55">
        <f t="shared" si="90"/>
        <v>0</v>
      </c>
      <c r="U180" s="55">
        <f t="shared" si="90"/>
        <v>0</v>
      </c>
      <c r="V180" s="55">
        <f t="shared" si="90"/>
        <v>0</v>
      </c>
      <c r="W180" s="55">
        <f t="shared" si="90"/>
        <v>0</v>
      </c>
    </row>
    <row r="181" spans="1:23" x14ac:dyDescent="0.25">
      <c r="A181" s="46" t="s">
        <v>41</v>
      </c>
      <c r="B181" s="47" t="s">
        <v>60</v>
      </c>
      <c r="C181" s="59"/>
      <c r="D181" s="55">
        <f t="shared" ref="D181:W181" si="91">D25</f>
        <v>1</v>
      </c>
      <c r="E181" s="55">
        <f t="shared" si="91"/>
        <v>1</v>
      </c>
      <c r="F181" s="55">
        <f t="shared" si="91"/>
        <v>1</v>
      </c>
      <c r="G181" s="55">
        <f t="shared" si="91"/>
        <v>1</v>
      </c>
      <c r="H181" s="55">
        <f t="shared" si="91"/>
        <v>0</v>
      </c>
      <c r="I181" s="55">
        <f t="shared" si="91"/>
        <v>0</v>
      </c>
      <c r="J181" s="55">
        <f t="shared" si="91"/>
        <v>0</v>
      </c>
      <c r="K181" s="55">
        <f t="shared" si="91"/>
        <v>0</v>
      </c>
      <c r="L181" s="55">
        <f t="shared" si="91"/>
        <v>0</v>
      </c>
      <c r="M181" s="55">
        <f t="shared" si="91"/>
        <v>0</v>
      </c>
      <c r="N181" s="55">
        <f t="shared" si="91"/>
        <v>0</v>
      </c>
      <c r="O181" s="55">
        <f t="shared" si="91"/>
        <v>0</v>
      </c>
      <c r="P181" s="55">
        <f t="shared" si="91"/>
        <v>0</v>
      </c>
      <c r="Q181" s="55">
        <f t="shared" si="91"/>
        <v>0</v>
      </c>
      <c r="R181" s="55">
        <f t="shared" si="91"/>
        <v>0</v>
      </c>
      <c r="S181" s="55">
        <f t="shared" si="91"/>
        <v>0</v>
      </c>
      <c r="T181" s="55">
        <f t="shared" si="91"/>
        <v>0</v>
      </c>
      <c r="U181" s="55">
        <f t="shared" si="91"/>
        <v>0</v>
      </c>
      <c r="V181" s="55">
        <f t="shared" si="91"/>
        <v>0</v>
      </c>
      <c r="W181" s="55">
        <f t="shared" si="91"/>
        <v>0</v>
      </c>
    </row>
    <row r="182" spans="1:23" x14ac:dyDescent="0.25">
      <c r="A182" s="46" t="s">
        <v>74</v>
      </c>
      <c r="B182" s="47" t="s">
        <v>57</v>
      </c>
      <c r="C182" s="59"/>
      <c r="D182" s="55">
        <f t="shared" ref="D182:W182" si="92">D26</f>
        <v>1</v>
      </c>
      <c r="E182" s="55">
        <f t="shared" si="92"/>
        <v>0</v>
      </c>
      <c r="F182" s="55">
        <f t="shared" si="92"/>
        <v>0</v>
      </c>
      <c r="G182" s="55">
        <f t="shared" si="92"/>
        <v>0</v>
      </c>
      <c r="H182" s="55">
        <f t="shared" si="92"/>
        <v>0</v>
      </c>
      <c r="I182" s="55">
        <f t="shared" si="92"/>
        <v>0</v>
      </c>
      <c r="J182" s="55">
        <f t="shared" si="92"/>
        <v>0</v>
      </c>
      <c r="K182" s="55">
        <f t="shared" si="92"/>
        <v>0</v>
      </c>
      <c r="L182" s="55">
        <f t="shared" si="92"/>
        <v>0</v>
      </c>
      <c r="M182" s="55">
        <f t="shared" si="92"/>
        <v>0</v>
      </c>
      <c r="N182" s="55">
        <f t="shared" si="92"/>
        <v>0</v>
      </c>
      <c r="O182" s="55">
        <f t="shared" si="92"/>
        <v>0</v>
      </c>
      <c r="P182" s="55">
        <f t="shared" si="92"/>
        <v>0</v>
      </c>
      <c r="Q182" s="55">
        <f t="shared" si="92"/>
        <v>0</v>
      </c>
      <c r="R182" s="55">
        <f t="shared" si="92"/>
        <v>0</v>
      </c>
      <c r="S182" s="55">
        <f t="shared" si="92"/>
        <v>0</v>
      </c>
      <c r="T182" s="55">
        <f t="shared" si="92"/>
        <v>0</v>
      </c>
      <c r="U182" s="55">
        <f t="shared" si="92"/>
        <v>0</v>
      </c>
      <c r="V182" s="55">
        <f t="shared" si="92"/>
        <v>0</v>
      </c>
      <c r="W182" s="55">
        <f t="shared" si="92"/>
        <v>0</v>
      </c>
    </row>
    <row r="183" spans="1:23" x14ac:dyDescent="0.25">
      <c r="A183" s="46" t="s">
        <v>75</v>
      </c>
      <c r="B183" s="47" t="s">
        <v>57</v>
      </c>
      <c r="C183" s="59"/>
      <c r="D183" s="55">
        <f t="shared" ref="D183:W183" si="93">D27</f>
        <v>1</v>
      </c>
      <c r="E183" s="55">
        <f t="shared" si="93"/>
        <v>1</v>
      </c>
      <c r="F183" s="55">
        <f t="shared" si="93"/>
        <v>1</v>
      </c>
      <c r="G183" s="55">
        <f t="shared" si="93"/>
        <v>0</v>
      </c>
      <c r="H183" s="55">
        <f t="shared" si="93"/>
        <v>0</v>
      </c>
      <c r="I183" s="55">
        <f t="shared" si="93"/>
        <v>0</v>
      </c>
      <c r="J183" s="55">
        <f t="shared" si="93"/>
        <v>0</v>
      </c>
      <c r="K183" s="55">
        <f t="shared" si="93"/>
        <v>0</v>
      </c>
      <c r="L183" s="55">
        <f t="shared" si="93"/>
        <v>0</v>
      </c>
      <c r="M183" s="55">
        <f t="shared" si="93"/>
        <v>0</v>
      </c>
      <c r="N183" s="55">
        <f t="shared" si="93"/>
        <v>0</v>
      </c>
      <c r="O183" s="55">
        <f t="shared" si="93"/>
        <v>0</v>
      </c>
      <c r="P183" s="55">
        <f t="shared" si="93"/>
        <v>0</v>
      </c>
      <c r="Q183" s="55">
        <f t="shared" si="93"/>
        <v>0</v>
      </c>
      <c r="R183" s="55">
        <f t="shared" si="93"/>
        <v>0</v>
      </c>
      <c r="S183" s="55">
        <f t="shared" si="93"/>
        <v>0</v>
      </c>
      <c r="T183" s="55">
        <f t="shared" si="93"/>
        <v>0</v>
      </c>
      <c r="U183" s="55">
        <f t="shared" si="93"/>
        <v>0</v>
      </c>
      <c r="V183" s="55">
        <f t="shared" si="93"/>
        <v>0</v>
      </c>
      <c r="W183" s="55">
        <f t="shared" si="93"/>
        <v>0</v>
      </c>
    </row>
    <row r="184" spans="1:23" x14ac:dyDescent="0.25">
      <c r="A184" s="46" t="s">
        <v>76</v>
      </c>
      <c r="B184" s="47" t="s">
        <v>57</v>
      </c>
      <c r="C184" s="59"/>
      <c r="D184" s="55">
        <f t="shared" ref="D184:W184" si="94">D28</f>
        <v>1</v>
      </c>
      <c r="E184" s="55">
        <f t="shared" si="94"/>
        <v>1</v>
      </c>
      <c r="F184" s="55">
        <f t="shared" si="94"/>
        <v>1</v>
      </c>
      <c r="G184" s="55">
        <f t="shared" si="94"/>
        <v>1</v>
      </c>
      <c r="H184" s="55">
        <f t="shared" si="94"/>
        <v>1</v>
      </c>
      <c r="I184" s="55">
        <f t="shared" si="94"/>
        <v>1</v>
      </c>
      <c r="J184" s="55">
        <f t="shared" si="94"/>
        <v>0</v>
      </c>
      <c r="K184" s="55">
        <f t="shared" si="94"/>
        <v>0</v>
      </c>
      <c r="L184" s="55">
        <f t="shared" si="94"/>
        <v>0</v>
      </c>
      <c r="M184" s="55">
        <f t="shared" si="94"/>
        <v>0</v>
      </c>
      <c r="N184" s="55">
        <f t="shared" si="94"/>
        <v>0</v>
      </c>
      <c r="O184" s="55">
        <f t="shared" si="94"/>
        <v>0</v>
      </c>
      <c r="P184" s="55">
        <f t="shared" si="94"/>
        <v>0</v>
      </c>
      <c r="Q184" s="55">
        <f t="shared" si="94"/>
        <v>0</v>
      </c>
      <c r="R184" s="55">
        <f t="shared" si="94"/>
        <v>0</v>
      </c>
      <c r="S184" s="55">
        <f t="shared" si="94"/>
        <v>0</v>
      </c>
      <c r="T184" s="55">
        <f t="shared" si="94"/>
        <v>0</v>
      </c>
      <c r="U184" s="55">
        <f t="shared" si="94"/>
        <v>0</v>
      </c>
      <c r="V184" s="55">
        <f t="shared" si="94"/>
        <v>0</v>
      </c>
      <c r="W184" s="55">
        <f t="shared" si="94"/>
        <v>0</v>
      </c>
    </row>
    <row r="185" spans="1:23" x14ac:dyDescent="0.25">
      <c r="A185" s="46" t="s">
        <v>42</v>
      </c>
      <c r="B185" s="54" t="s">
        <v>61</v>
      </c>
      <c r="C185" s="59"/>
      <c r="D185" s="55">
        <f t="shared" ref="D185:W185" si="95">D29</f>
        <v>1</v>
      </c>
      <c r="E185" s="55">
        <f t="shared" si="95"/>
        <v>1</v>
      </c>
      <c r="F185" s="55">
        <f t="shared" si="95"/>
        <v>1</v>
      </c>
      <c r="G185" s="55">
        <f t="shared" si="95"/>
        <v>1</v>
      </c>
      <c r="H185" s="55">
        <f t="shared" si="95"/>
        <v>1</v>
      </c>
      <c r="I185" s="55">
        <f t="shared" si="95"/>
        <v>1</v>
      </c>
      <c r="J185" s="55">
        <f t="shared" si="95"/>
        <v>1</v>
      </c>
      <c r="K185" s="55">
        <f t="shared" si="95"/>
        <v>1</v>
      </c>
      <c r="L185" s="55">
        <f t="shared" si="95"/>
        <v>1</v>
      </c>
      <c r="M185" s="55">
        <f t="shared" si="95"/>
        <v>1</v>
      </c>
      <c r="N185" s="55">
        <f t="shared" si="95"/>
        <v>1</v>
      </c>
      <c r="O185" s="55">
        <f t="shared" si="95"/>
        <v>1</v>
      </c>
      <c r="P185" s="55">
        <f t="shared" si="95"/>
        <v>1</v>
      </c>
      <c r="Q185" s="55">
        <f t="shared" si="95"/>
        <v>1</v>
      </c>
      <c r="R185" s="55">
        <f t="shared" si="95"/>
        <v>1</v>
      </c>
      <c r="S185" s="55">
        <f t="shared" si="95"/>
        <v>1</v>
      </c>
      <c r="T185" s="55">
        <f t="shared" si="95"/>
        <v>1</v>
      </c>
      <c r="U185" s="55">
        <f t="shared" si="95"/>
        <v>1</v>
      </c>
      <c r="V185" s="55">
        <f t="shared" si="95"/>
        <v>1</v>
      </c>
      <c r="W185" s="55">
        <f t="shared" si="95"/>
        <v>1</v>
      </c>
    </row>
    <row r="186" spans="1:23" x14ac:dyDescent="0.25">
      <c r="A186" s="46" t="s">
        <v>77</v>
      </c>
      <c r="B186" s="54" t="s">
        <v>58</v>
      </c>
      <c r="C186" s="59"/>
      <c r="D186" s="55">
        <f t="shared" ref="D186:W186" si="96">D30</f>
        <v>1</v>
      </c>
      <c r="E186" s="55">
        <f t="shared" si="96"/>
        <v>1</v>
      </c>
      <c r="F186" s="55">
        <f t="shared" si="96"/>
        <v>1</v>
      </c>
      <c r="G186" s="55">
        <f t="shared" si="96"/>
        <v>1</v>
      </c>
      <c r="H186" s="55">
        <f t="shared" si="96"/>
        <v>1</v>
      </c>
      <c r="I186" s="55">
        <f t="shared" si="96"/>
        <v>1</v>
      </c>
      <c r="J186" s="55">
        <f t="shared" si="96"/>
        <v>1</v>
      </c>
      <c r="K186" s="55">
        <f t="shared" si="96"/>
        <v>1</v>
      </c>
      <c r="L186" s="55">
        <f t="shared" si="96"/>
        <v>1</v>
      </c>
      <c r="M186" s="55">
        <f t="shared" si="96"/>
        <v>1</v>
      </c>
      <c r="N186" s="55">
        <f t="shared" si="96"/>
        <v>1</v>
      </c>
      <c r="O186" s="55">
        <f t="shared" si="96"/>
        <v>1</v>
      </c>
      <c r="P186" s="55">
        <f t="shared" si="96"/>
        <v>1</v>
      </c>
      <c r="Q186" s="55">
        <f t="shared" si="96"/>
        <v>1</v>
      </c>
      <c r="R186" s="55">
        <f t="shared" si="96"/>
        <v>1</v>
      </c>
      <c r="S186" s="55">
        <f t="shared" si="96"/>
        <v>1</v>
      </c>
      <c r="T186" s="55">
        <f t="shared" si="96"/>
        <v>1</v>
      </c>
      <c r="U186" s="55">
        <f t="shared" si="96"/>
        <v>1</v>
      </c>
      <c r="V186" s="55">
        <f t="shared" si="96"/>
        <v>1</v>
      </c>
      <c r="W186" s="55">
        <f t="shared" si="96"/>
        <v>1</v>
      </c>
    </row>
    <row r="187" spans="1:23" x14ac:dyDescent="0.25">
      <c r="A187" s="46" t="s">
        <v>87</v>
      </c>
      <c r="B187" s="47" t="s">
        <v>56</v>
      </c>
      <c r="C187" s="59" t="s">
        <v>89</v>
      </c>
      <c r="D187" s="55">
        <f t="shared" ref="D187:W187" si="97">D31</f>
        <v>1</v>
      </c>
      <c r="E187" s="55">
        <f t="shared" si="97"/>
        <v>1</v>
      </c>
      <c r="F187" s="55">
        <f t="shared" si="97"/>
        <v>0</v>
      </c>
      <c r="G187" s="55">
        <f t="shared" si="97"/>
        <v>0</v>
      </c>
      <c r="H187" s="55">
        <f t="shared" si="97"/>
        <v>0</v>
      </c>
      <c r="I187" s="55">
        <f t="shared" si="97"/>
        <v>0</v>
      </c>
      <c r="J187" s="55">
        <f t="shared" si="97"/>
        <v>0</v>
      </c>
      <c r="K187" s="55">
        <f t="shared" si="97"/>
        <v>0</v>
      </c>
      <c r="L187" s="55">
        <f t="shared" si="97"/>
        <v>0</v>
      </c>
      <c r="M187" s="55">
        <f t="shared" si="97"/>
        <v>0</v>
      </c>
      <c r="N187" s="55">
        <f t="shared" si="97"/>
        <v>0</v>
      </c>
      <c r="O187" s="55">
        <f t="shared" si="97"/>
        <v>0</v>
      </c>
      <c r="P187" s="55">
        <f t="shared" si="97"/>
        <v>0</v>
      </c>
      <c r="Q187" s="55">
        <f t="shared" si="97"/>
        <v>0</v>
      </c>
      <c r="R187" s="55">
        <f t="shared" si="97"/>
        <v>0</v>
      </c>
      <c r="S187" s="55">
        <f t="shared" si="97"/>
        <v>0</v>
      </c>
      <c r="T187" s="55">
        <f t="shared" si="97"/>
        <v>0</v>
      </c>
      <c r="U187" s="55">
        <f t="shared" si="97"/>
        <v>0</v>
      </c>
      <c r="V187" s="55">
        <f t="shared" si="97"/>
        <v>0</v>
      </c>
      <c r="W187" s="55">
        <f t="shared" si="97"/>
        <v>0</v>
      </c>
    </row>
    <row r="188" spans="1:23" x14ac:dyDescent="0.25">
      <c r="A188" s="46" t="s">
        <v>43</v>
      </c>
      <c r="B188" s="54" t="s">
        <v>61</v>
      </c>
      <c r="C188" s="59" t="s">
        <v>89</v>
      </c>
      <c r="D188" s="55">
        <f t="shared" ref="D188:W188" si="98">D32</f>
        <v>1</v>
      </c>
      <c r="E188" s="55">
        <f t="shared" si="98"/>
        <v>0</v>
      </c>
      <c r="F188" s="55">
        <f t="shared" si="98"/>
        <v>0</v>
      </c>
      <c r="G188" s="55">
        <f t="shared" si="98"/>
        <v>0</v>
      </c>
      <c r="H188" s="55">
        <f t="shared" si="98"/>
        <v>0</v>
      </c>
      <c r="I188" s="55">
        <f t="shared" si="98"/>
        <v>0</v>
      </c>
      <c r="J188" s="55">
        <f t="shared" si="98"/>
        <v>0</v>
      </c>
      <c r="K188" s="55">
        <f t="shared" si="98"/>
        <v>0</v>
      </c>
      <c r="L188" s="55">
        <f t="shared" si="98"/>
        <v>0</v>
      </c>
      <c r="M188" s="55">
        <f t="shared" si="98"/>
        <v>0</v>
      </c>
      <c r="N188" s="55">
        <f t="shared" si="98"/>
        <v>0</v>
      </c>
      <c r="O188" s="55">
        <f t="shared" si="98"/>
        <v>0</v>
      </c>
      <c r="P188" s="55">
        <f t="shared" si="98"/>
        <v>0</v>
      </c>
      <c r="Q188" s="55">
        <f t="shared" si="98"/>
        <v>0</v>
      </c>
      <c r="R188" s="55">
        <f t="shared" si="98"/>
        <v>0</v>
      </c>
      <c r="S188" s="55">
        <f t="shared" si="98"/>
        <v>0</v>
      </c>
      <c r="T188" s="55">
        <f t="shared" si="98"/>
        <v>0</v>
      </c>
      <c r="U188" s="55">
        <f t="shared" si="98"/>
        <v>0</v>
      </c>
      <c r="V188" s="55">
        <f t="shared" si="98"/>
        <v>0</v>
      </c>
      <c r="W188" s="55">
        <f t="shared" si="98"/>
        <v>0</v>
      </c>
    </row>
    <row r="189" spans="1:23" x14ac:dyDescent="0.25">
      <c r="A189" s="46" t="s">
        <v>55</v>
      </c>
      <c r="B189" s="47" t="s">
        <v>57</v>
      </c>
      <c r="C189" s="59" t="s">
        <v>89</v>
      </c>
      <c r="D189" s="55">
        <f t="shared" ref="D189:W189" si="99">D33</f>
        <v>1</v>
      </c>
      <c r="E189" s="55">
        <f t="shared" si="99"/>
        <v>1</v>
      </c>
      <c r="F189" s="55">
        <f t="shared" si="99"/>
        <v>1</v>
      </c>
      <c r="G189" s="55">
        <f t="shared" si="99"/>
        <v>1</v>
      </c>
      <c r="H189" s="55">
        <f t="shared" si="99"/>
        <v>0</v>
      </c>
      <c r="I189" s="55">
        <f t="shared" si="99"/>
        <v>0</v>
      </c>
      <c r="J189" s="55">
        <f t="shared" si="99"/>
        <v>0</v>
      </c>
      <c r="K189" s="55">
        <f t="shared" si="99"/>
        <v>0</v>
      </c>
      <c r="L189" s="55">
        <f t="shared" si="99"/>
        <v>0</v>
      </c>
      <c r="M189" s="55">
        <f t="shared" si="99"/>
        <v>0</v>
      </c>
      <c r="N189" s="55">
        <f t="shared" si="99"/>
        <v>0</v>
      </c>
      <c r="O189" s="55">
        <f t="shared" si="99"/>
        <v>0</v>
      </c>
      <c r="P189" s="55">
        <f t="shared" si="99"/>
        <v>0</v>
      </c>
      <c r="Q189" s="55">
        <f t="shared" si="99"/>
        <v>0</v>
      </c>
      <c r="R189" s="55">
        <f t="shared" si="99"/>
        <v>0</v>
      </c>
      <c r="S189" s="55">
        <f t="shared" si="99"/>
        <v>0</v>
      </c>
      <c r="T189" s="55">
        <f t="shared" si="99"/>
        <v>0</v>
      </c>
      <c r="U189" s="55">
        <f t="shared" si="99"/>
        <v>0</v>
      </c>
      <c r="V189" s="55">
        <f t="shared" si="99"/>
        <v>0</v>
      </c>
      <c r="W189" s="55">
        <f t="shared" si="99"/>
        <v>0</v>
      </c>
    </row>
    <row r="190" spans="1:23" x14ac:dyDescent="0.25">
      <c r="A190" s="46" t="s">
        <v>44</v>
      </c>
      <c r="B190" s="46"/>
      <c r="C190" s="59"/>
      <c r="D190" s="55">
        <f t="shared" ref="D190:W190" si="100">D34</f>
        <v>1</v>
      </c>
      <c r="E190" s="55">
        <f t="shared" si="100"/>
        <v>0</v>
      </c>
      <c r="F190" s="55">
        <f t="shared" si="100"/>
        <v>0</v>
      </c>
      <c r="G190" s="55">
        <f t="shared" si="100"/>
        <v>0</v>
      </c>
      <c r="H190" s="55">
        <f t="shared" si="100"/>
        <v>0</v>
      </c>
      <c r="I190" s="55">
        <f t="shared" si="100"/>
        <v>0</v>
      </c>
      <c r="J190" s="55">
        <f t="shared" si="100"/>
        <v>0</v>
      </c>
      <c r="K190" s="55">
        <f t="shared" si="100"/>
        <v>0</v>
      </c>
      <c r="L190" s="55">
        <f t="shared" si="100"/>
        <v>0</v>
      </c>
      <c r="M190" s="55">
        <f t="shared" si="100"/>
        <v>0</v>
      </c>
      <c r="N190" s="55">
        <f t="shared" si="100"/>
        <v>0</v>
      </c>
      <c r="O190" s="55">
        <f t="shared" si="100"/>
        <v>0</v>
      </c>
      <c r="P190" s="55">
        <f t="shared" si="100"/>
        <v>0</v>
      </c>
      <c r="Q190" s="55">
        <f t="shared" si="100"/>
        <v>0</v>
      </c>
      <c r="R190" s="55">
        <f t="shared" si="100"/>
        <v>0</v>
      </c>
      <c r="S190" s="55">
        <f t="shared" si="100"/>
        <v>0</v>
      </c>
      <c r="T190" s="55">
        <f t="shared" si="100"/>
        <v>0</v>
      </c>
      <c r="U190" s="55">
        <f t="shared" si="100"/>
        <v>0</v>
      </c>
      <c r="V190" s="55">
        <f t="shared" si="100"/>
        <v>0</v>
      </c>
      <c r="W190" s="55">
        <f t="shared" si="100"/>
        <v>0</v>
      </c>
    </row>
    <row r="191" spans="1:23" x14ac:dyDescent="0.25">
      <c r="A191" s="46" t="s">
        <v>78</v>
      </c>
      <c r="B191" s="47" t="s">
        <v>57</v>
      </c>
      <c r="C191" s="59" t="s">
        <v>89</v>
      </c>
      <c r="D191" s="55">
        <f t="shared" ref="D191:W191" si="101">D35</f>
        <v>1</v>
      </c>
      <c r="E191" s="55">
        <f t="shared" si="101"/>
        <v>1</v>
      </c>
      <c r="F191" s="55">
        <f t="shared" si="101"/>
        <v>1</v>
      </c>
      <c r="G191" s="55">
        <f t="shared" si="101"/>
        <v>1</v>
      </c>
      <c r="H191" s="55">
        <f t="shared" si="101"/>
        <v>1</v>
      </c>
      <c r="I191" s="55">
        <f t="shared" si="101"/>
        <v>0</v>
      </c>
      <c r="J191" s="55">
        <f t="shared" si="101"/>
        <v>0</v>
      </c>
      <c r="K191" s="55">
        <f t="shared" si="101"/>
        <v>0</v>
      </c>
      <c r="L191" s="55">
        <f t="shared" si="101"/>
        <v>0</v>
      </c>
      <c r="M191" s="55">
        <f t="shared" si="101"/>
        <v>0</v>
      </c>
      <c r="N191" s="55">
        <f t="shared" si="101"/>
        <v>0</v>
      </c>
      <c r="O191" s="55">
        <f t="shared" si="101"/>
        <v>0</v>
      </c>
      <c r="P191" s="55">
        <f t="shared" si="101"/>
        <v>0</v>
      </c>
      <c r="Q191" s="55">
        <f t="shared" si="101"/>
        <v>0</v>
      </c>
      <c r="R191" s="55">
        <f t="shared" si="101"/>
        <v>0</v>
      </c>
      <c r="S191" s="55">
        <f t="shared" si="101"/>
        <v>0</v>
      </c>
      <c r="T191" s="55">
        <f t="shared" si="101"/>
        <v>0</v>
      </c>
      <c r="U191" s="55">
        <f t="shared" si="101"/>
        <v>0</v>
      </c>
      <c r="V191" s="55">
        <f t="shared" si="101"/>
        <v>0</v>
      </c>
      <c r="W191" s="55">
        <f t="shared" si="101"/>
        <v>0</v>
      </c>
    </row>
    <row r="192" spans="1:23" x14ac:dyDescent="0.25">
      <c r="A192" s="46" t="s">
        <v>45</v>
      </c>
      <c r="B192" s="47" t="s">
        <v>57</v>
      </c>
      <c r="C192" s="59"/>
      <c r="D192" s="55">
        <f t="shared" ref="D192:W192" si="102">D36</f>
        <v>1</v>
      </c>
      <c r="E192" s="55">
        <f t="shared" si="102"/>
        <v>1</v>
      </c>
      <c r="F192" s="55">
        <f t="shared" si="102"/>
        <v>1</v>
      </c>
      <c r="G192" s="55">
        <f t="shared" si="102"/>
        <v>0</v>
      </c>
      <c r="H192" s="55">
        <f t="shared" si="102"/>
        <v>0</v>
      </c>
      <c r="I192" s="55">
        <f t="shared" si="102"/>
        <v>0</v>
      </c>
      <c r="J192" s="55">
        <f t="shared" si="102"/>
        <v>0</v>
      </c>
      <c r="K192" s="55">
        <f t="shared" si="102"/>
        <v>0</v>
      </c>
      <c r="L192" s="55">
        <f t="shared" si="102"/>
        <v>0</v>
      </c>
      <c r="M192" s="55">
        <f t="shared" si="102"/>
        <v>0</v>
      </c>
      <c r="N192" s="55">
        <f t="shared" si="102"/>
        <v>0</v>
      </c>
      <c r="O192" s="55">
        <f t="shared" si="102"/>
        <v>0</v>
      </c>
      <c r="P192" s="55">
        <f t="shared" si="102"/>
        <v>0</v>
      </c>
      <c r="Q192" s="55">
        <f t="shared" si="102"/>
        <v>0</v>
      </c>
      <c r="R192" s="55">
        <f t="shared" si="102"/>
        <v>0</v>
      </c>
      <c r="S192" s="55">
        <f t="shared" si="102"/>
        <v>0</v>
      </c>
      <c r="T192" s="55">
        <f t="shared" si="102"/>
        <v>0</v>
      </c>
      <c r="U192" s="55">
        <f t="shared" si="102"/>
        <v>0</v>
      </c>
      <c r="V192" s="55">
        <f t="shared" si="102"/>
        <v>0</v>
      </c>
      <c r="W192" s="55">
        <f t="shared" si="102"/>
        <v>0</v>
      </c>
    </row>
    <row r="193" spans="1:23" x14ac:dyDescent="0.25">
      <c r="A193" s="46" t="s">
        <v>46</v>
      </c>
      <c r="B193" s="54" t="s">
        <v>59</v>
      </c>
      <c r="C193" s="59"/>
      <c r="D193" s="55">
        <f t="shared" ref="D193:W193" si="103">D37</f>
        <v>1</v>
      </c>
      <c r="E193" s="55">
        <f t="shared" si="103"/>
        <v>1</v>
      </c>
      <c r="F193" s="55">
        <f t="shared" si="103"/>
        <v>1</v>
      </c>
      <c r="G193" s="55">
        <f t="shared" si="103"/>
        <v>1</v>
      </c>
      <c r="H193" s="55">
        <f t="shared" si="103"/>
        <v>1</v>
      </c>
      <c r="I193" s="55">
        <f t="shared" si="103"/>
        <v>1</v>
      </c>
      <c r="J193" s="55">
        <f t="shared" si="103"/>
        <v>1</v>
      </c>
      <c r="K193" s="55">
        <f t="shared" si="103"/>
        <v>1</v>
      </c>
      <c r="L193" s="55">
        <f t="shared" si="103"/>
        <v>1</v>
      </c>
      <c r="M193" s="55">
        <f t="shared" si="103"/>
        <v>1</v>
      </c>
      <c r="N193" s="55">
        <f t="shared" si="103"/>
        <v>1</v>
      </c>
      <c r="O193" s="55">
        <f t="shared" si="103"/>
        <v>1</v>
      </c>
      <c r="P193" s="55">
        <f t="shared" si="103"/>
        <v>1</v>
      </c>
      <c r="Q193" s="55">
        <f t="shared" si="103"/>
        <v>1</v>
      </c>
      <c r="R193" s="55">
        <f t="shared" si="103"/>
        <v>1</v>
      </c>
      <c r="S193" s="55">
        <f t="shared" si="103"/>
        <v>1</v>
      </c>
      <c r="T193" s="55">
        <f t="shared" si="103"/>
        <v>1</v>
      </c>
      <c r="U193" s="55">
        <f t="shared" si="103"/>
        <v>1</v>
      </c>
      <c r="V193" s="55">
        <f t="shared" si="103"/>
        <v>1</v>
      </c>
      <c r="W193" s="55">
        <f t="shared" si="103"/>
        <v>1</v>
      </c>
    </row>
    <row r="194" spans="1:23" x14ac:dyDescent="0.25">
      <c r="A194" s="46" t="s">
        <v>47</v>
      </c>
      <c r="B194" s="55" t="s">
        <v>64</v>
      </c>
      <c r="C194" s="59"/>
      <c r="D194" s="55">
        <f t="shared" ref="D194:W194" si="104">D38</f>
        <v>0</v>
      </c>
      <c r="E194" s="55">
        <f t="shared" si="104"/>
        <v>0</v>
      </c>
      <c r="F194" s="55">
        <f t="shared" si="104"/>
        <v>0</v>
      </c>
      <c r="G194" s="55">
        <f t="shared" si="104"/>
        <v>0</v>
      </c>
      <c r="H194" s="55">
        <f t="shared" si="104"/>
        <v>0</v>
      </c>
      <c r="I194" s="55">
        <f t="shared" si="104"/>
        <v>0</v>
      </c>
      <c r="J194" s="55">
        <f t="shared" si="104"/>
        <v>0</v>
      </c>
      <c r="K194" s="55">
        <f t="shared" si="104"/>
        <v>0</v>
      </c>
      <c r="L194" s="55">
        <f t="shared" si="104"/>
        <v>0</v>
      </c>
      <c r="M194" s="55">
        <f t="shared" si="104"/>
        <v>0</v>
      </c>
      <c r="N194" s="55">
        <f t="shared" si="104"/>
        <v>0</v>
      </c>
      <c r="O194" s="55">
        <f t="shared" si="104"/>
        <v>0</v>
      </c>
      <c r="P194" s="55">
        <f t="shared" si="104"/>
        <v>0</v>
      </c>
      <c r="Q194" s="55">
        <f t="shared" si="104"/>
        <v>0</v>
      </c>
      <c r="R194" s="55">
        <f t="shared" si="104"/>
        <v>0</v>
      </c>
      <c r="S194" s="55">
        <f t="shared" si="104"/>
        <v>0</v>
      </c>
      <c r="T194" s="55">
        <f t="shared" si="104"/>
        <v>0</v>
      </c>
      <c r="U194" s="55">
        <f t="shared" si="104"/>
        <v>0</v>
      </c>
      <c r="V194" s="55">
        <f t="shared" si="104"/>
        <v>0</v>
      </c>
      <c r="W194" s="55">
        <f t="shared" si="104"/>
        <v>0</v>
      </c>
    </row>
    <row r="195" spans="1:23" x14ac:dyDescent="0.25">
      <c r="A195" s="46" t="s">
        <v>48</v>
      </c>
      <c r="B195" s="55" t="s">
        <v>64</v>
      </c>
      <c r="C195" s="59"/>
      <c r="D195" s="55">
        <f t="shared" ref="D195:W195" si="105">D39</f>
        <v>0</v>
      </c>
      <c r="E195" s="55">
        <f t="shared" si="105"/>
        <v>0</v>
      </c>
      <c r="F195" s="55">
        <f t="shared" si="105"/>
        <v>0</v>
      </c>
      <c r="G195" s="55">
        <f t="shared" si="105"/>
        <v>0</v>
      </c>
      <c r="H195" s="55">
        <f t="shared" si="105"/>
        <v>0</v>
      </c>
      <c r="I195" s="55">
        <f t="shared" si="105"/>
        <v>0</v>
      </c>
      <c r="J195" s="55">
        <f t="shared" si="105"/>
        <v>0</v>
      </c>
      <c r="K195" s="55">
        <f t="shared" si="105"/>
        <v>0</v>
      </c>
      <c r="L195" s="55">
        <f t="shared" si="105"/>
        <v>0</v>
      </c>
      <c r="M195" s="55">
        <f t="shared" si="105"/>
        <v>0</v>
      </c>
      <c r="N195" s="55">
        <f t="shared" si="105"/>
        <v>0</v>
      </c>
      <c r="O195" s="55">
        <f t="shared" si="105"/>
        <v>0</v>
      </c>
      <c r="P195" s="55">
        <f t="shared" si="105"/>
        <v>0</v>
      </c>
      <c r="Q195" s="55">
        <f t="shared" si="105"/>
        <v>0</v>
      </c>
      <c r="R195" s="55">
        <f t="shared" si="105"/>
        <v>0</v>
      </c>
      <c r="S195" s="55">
        <f t="shared" si="105"/>
        <v>0</v>
      </c>
      <c r="T195" s="55">
        <f t="shared" si="105"/>
        <v>0</v>
      </c>
      <c r="U195" s="55">
        <f t="shared" si="105"/>
        <v>0</v>
      </c>
      <c r="V195" s="55">
        <f t="shared" si="105"/>
        <v>0</v>
      </c>
      <c r="W195" s="55">
        <f t="shared" si="105"/>
        <v>0</v>
      </c>
    </row>
    <row r="196" spans="1:23" x14ac:dyDescent="0.25">
      <c r="A196" s="46" t="s">
        <v>49</v>
      </c>
      <c r="B196" s="47" t="s">
        <v>57</v>
      </c>
      <c r="C196" s="59" t="s">
        <v>89</v>
      </c>
      <c r="D196" s="55">
        <f t="shared" ref="D196:W196" si="106">D40</f>
        <v>0</v>
      </c>
      <c r="E196" s="55">
        <f t="shared" si="106"/>
        <v>0</v>
      </c>
      <c r="F196" s="55">
        <f t="shared" si="106"/>
        <v>0</v>
      </c>
      <c r="G196" s="55">
        <f t="shared" si="106"/>
        <v>0</v>
      </c>
      <c r="H196" s="55">
        <f t="shared" si="106"/>
        <v>0</v>
      </c>
      <c r="I196" s="55">
        <f t="shared" si="106"/>
        <v>0</v>
      </c>
      <c r="J196" s="55">
        <f t="shared" si="106"/>
        <v>0</v>
      </c>
      <c r="K196" s="55">
        <f t="shared" si="106"/>
        <v>0</v>
      </c>
      <c r="L196" s="55">
        <f t="shared" si="106"/>
        <v>0</v>
      </c>
      <c r="M196" s="55">
        <f t="shared" si="106"/>
        <v>0</v>
      </c>
      <c r="N196" s="55">
        <f t="shared" si="106"/>
        <v>0</v>
      </c>
      <c r="O196" s="55">
        <f t="shared" si="106"/>
        <v>0</v>
      </c>
      <c r="P196" s="55">
        <f t="shared" si="106"/>
        <v>0</v>
      </c>
      <c r="Q196" s="55">
        <f t="shared" si="106"/>
        <v>0</v>
      </c>
      <c r="R196" s="55">
        <f t="shared" si="106"/>
        <v>0</v>
      </c>
      <c r="S196" s="55">
        <f t="shared" si="106"/>
        <v>0</v>
      </c>
      <c r="T196" s="55">
        <f t="shared" si="106"/>
        <v>0</v>
      </c>
      <c r="U196" s="55">
        <f t="shared" si="106"/>
        <v>0</v>
      </c>
      <c r="V196" s="55">
        <f t="shared" si="106"/>
        <v>0</v>
      </c>
      <c r="W196" s="55">
        <f t="shared" si="106"/>
        <v>0</v>
      </c>
    </row>
    <row r="197" spans="1:23" x14ac:dyDescent="0.25">
      <c r="A197" s="46" t="s">
        <v>50</v>
      </c>
      <c r="B197" s="54" t="s">
        <v>61</v>
      </c>
      <c r="C197" s="59" t="s">
        <v>89</v>
      </c>
      <c r="D197" s="55">
        <f t="shared" ref="D197:W197" si="107">D41</f>
        <v>1</v>
      </c>
      <c r="E197" s="55">
        <f t="shared" si="107"/>
        <v>1</v>
      </c>
      <c r="F197" s="55">
        <f t="shared" si="107"/>
        <v>1</v>
      </c>
      <c r="G197" s="55">
        <f t="shared" si="107"/>
        <v>1</v>
      </c>
      <c r="H197" s="55">
        <f t="shared" si="107"/>
        <v>1</v>
      </c>
      <c r="I197" s="55">
        <f t="shared" si="107"/>
        <v>0</v>
      </c>
      <c r="J197" s="55">
        <f t="shared" si="107"/>
        <v>0</v>
      </c>
      <c r="K197" s="55">
        <f t="shared" si="107"/>
        <v>0</v>
      </c>
      <c r="L197" s="55">
        <f t="shared" si="107"/>
        <v>0</v>
      </c>
      <c r="M197" s="55">
        <f t="shared" si="107"/>
        <v>0</v>
      </c>
      <c r="N197" s="55">
        <f t="shared" si="107"/>
        <v>0</v>
      </c>
      <c r="O197" s="55">
        <f t="shared" si="107"/>
        <v>0</v>
      </c>
      <c r="P197" s="55">
        <f t="shared" si="107"/>
        <v>0</v>
      </c>
      <c r="Q197" s="55">
        <f t="shared" si="107"/>
        <v>0</v>
      </c>
      <c r="R197" s="55">
        <f t="shared" si="107"/>
        <v>0</v>
      </c>
      <c r="S197" s="55">
        <f t="shared" si="107"/>
        <v>0</v>
      </c>
      <c r="T197" s="55">
        <f t="shared" si="107"/>
        <v>0</v>
      </c>
      <c r="U197" s="55">
        <f t="shared" si="107"/>
        <v>0</v>
      </c>
      <c r="V197" s="55">
        <f t="shared" si="107"/>
        <v>0</v>
      </c>
      <c r="W197" s="55">
        <f t="shared" si="107"/>
        <v>0</v>
      </c>
    </row>
    <row r="198" spans="1:23" x14ac:dyDescent="0.25">
      <c r="A198" s="46" t="s">
        <v>79</v>
      </c>
      <c r="B198" s="54" t="s">
        <v>59</v>
      </c>
      <c r="C198" s="59"/>
      <c r="D198" s="55">
        <f t="shared" ref="D198:W198" si="108">D42</f>
        <v>1</v>
      </c>
      <c r="E198" s="55">
        <f t="shared" si="108"/>
        <v>1</v>
      </c>
      <c r="F198" s="55">
        <f t="shared" si="108"/>
        <v>1</v>
      </c>
      <c r="G198" s="55">
        <f t="shared" si="108"/>
        <v>1</v>
      </c>
      <c r="H198" s="55">
        <f t="shared" si="108"/>
        <v>1</v>
      </c>
      <c r="I198" s="55">
        <f t="shared" si="108"/>
        <v>1</v>
      </c>
      <c r="J198" s="55">
        <f t="shared" si="108"/>
        <v>1</v>
      </c>
      <c r="K198" s="55">
        <f t="shared" si="108"/>
        <v>1</v>
      </c>
      <c r="L198" s="55">
        <f t="shared" si="108"/>
        <v>1</v>
      </c>
      <c r="M198" s="55">
        <f t="shared" si="108"/>
        <v>1</v>
      </c>
      <c r="N198" s="55">
        <f t="shared" si="108"/>
        <v>1</v>
      </c>
      <c r="O198" s="55">
        <f t="shared" si="108"/>
        <v>1</v>
      </c>
      <c r="P198" s="55">
        <f t="shared" si="108"/>
        <v>1</v>
      </c>
      <c r="Q198" s="55">
        <f t="shared" si="108"/>
        <v>1</v>
      </c>
      <c r="R198" s="55">
        <f t="shared" si="108"/>
        <v>1</v>
      </c>
      <c r="S198" s="55">
        <f t="shared" si="108"/>
        <v>1</v>
      </c>
      <c r="T198" s="55">
        <f t="shared" si="108"/>
        <v>1</v>
      </c>
      <c r="U198" s="55">
        <f t="shared" si="108"/>
        <v>1</v>
      </c>
      <c r="V198" s="55">
        <f t="shared" si="108"/>
        <v>1</v>
      </c>
      <c r="W198" s="55">
        <f t="shared" si="108"/>
        <v>1</v>
      </c>
    </row>
    <row r="199" spans="1:23" x14ac:dyDescent="0.25">
      <c r="A199" s="46" t="s">
        <v>80</v>
      </c>
      <c r="B199" s="47" t="s">
        <v>62</v>
      </c>
      <c r="C199" s="59"/>
      <c r="D199" s="55">
        <f t="shared" ref="D199:W199" si="109">D43</f>
        <v>1</v>
      </c>
      <c r="E199" s="55">
        <f t="shared" si="109"/>
        <v>1</v>
      </c>
      <c r="F199" s="55">
        <f t="shared" si="109"/>
        <v>0</v>
      </c>
      <c r="G199" s="55">
        <f t="shared" si="109"/>
        <v>0</v>
      </c>
      <c r="H199" s="55">
        <f t="shared" si="109"/>
        <v>0</v>
      </c>
      <c r="I199" s="55">
        <f t="shared" si="109"/>
        <v>0</v>
      </c>
      <c r="J199" s="55">
        <f t="shared" si="109"/>
        <v>0</v>
      </c>
      <c r="K199" s="55">
        <f t="shared" si="109"/>
        <v>0</v>
      </c>
      <c r="L199" s="55">
        <f t="shared" si="109"/>
        <v>0</v>
      </c>
      <c r="M199" s="55">
        <f t="shared" si="109"/>
        <v>0</v>
      </c>
      <c r="N199" s="55">
        <f t="shared" si="109"/>
        <v>0</v>
      </c>
      <c r="O199" s="55">
        <f t="shared" si="109"/>
        <v>0</v>
      </c>
      <c r="P199" s="55">
        <f t="shared" si="109"/>
        <v>0</v>
      </c>
      <c r="Q199" s="55">
        <f t="shared" si="109"/>
        <v>0</v>
      </c>
      <c r="R199" s="55">
        <f t="shared" si="109"/>
        <v>0</v>
      </c>
      <c r="S199" s="55">
        <f t="shared" si="109"/>
        <v>0</v>
      </c>
      <c r="T199" s="55">
        <f t="shared" si="109"/>
        <v>0</v>
      </c>
      <c r="U199" s="55">
        <f t="shared" si="109"/>
        <v>0</v>
      </c>
      <c r="V199" s="55">
        <f t="shared" si="109"/>
        <v>0</v>
      </c>
      <c r="W199" s="55">
        <f t="shared" si="109"/>
        <v>0</v>
      </c>
    </row>
    <row r="200" spans="1:23" x14ac:dyDescent="0.25">
      <c r="A200" s="46" t="s">
        <v>81</v>
      </c>
      <c r="B200" s="47" t="s">
        <v>57</v>
      </c>
      <c r="C200" s="59" t="s">
        <v>89</v>
      </c>
      <c r="D200" s="55">
        <f t="shared" ref="D200:W200" si="110">D44</f>
        <v>1</v>
      </c>
      <c r="E200" s="55">
        <f t="shared" si="110"/>
        <v>1</v>
      </c>
      <c r="F200" s="55">
        <f t="shared" si="110"/>
        <v>1</v>
      </c>
      <c r="G200" s="55">
        <f t="shared" si="110"/>
        <v>1</v>
      </c>
      <c r="H200" s="55">
        <f t="shared" si="110"/>
        <v>1</v>
      </c>
      <c r="I200" s="55">
        <f t="shared" si="110"/>
        <v>1</v>
      </c>
      <c r="J200" s="55">
        <f t="shared" si="110"/>
        <v>1</v>
      </c>
      <c r="K200" s="55">
        <f t="shared" si="110"/>
        <v>0</v>
      </c>
      <c r="L200" s="55">
        <f t="shared" si="110"/>
        <v>0</v>
      </c>
      <c r="M200" s="55">
        <f t="shared" si="110"/>
        <v>0</v>
      </c>
      <c r="N200" s="55">
        <f t="shared" si="110"/>
        <v>0</v>
      </c>
      <c r="O200" s="55">
        <f t="shared" si="110"/>
        <v>0</v>
      </c>
      <c r="P200" s="55">
        <f t="shared" si="110"/>
        <v>0</v>
      </c>
      <c r="Q200" s="55">
        <f t="shared" si="110"/>
        <v>0</v>
      </c>
      <c r="R200" s="55">
        <f t="shared" si="110"/>
        <v>0</v>
      </c>
      <c r="S200" s="55">
        <f t="shared" si="110"/>
        <v>0</v>
      </c>
      <c r="T200" s="55">
        <f t="shared" si="110"/>
        <v>0</v>
      </c>
      <c r="U200" s="55">
        <f t="shared" si="110"/>
        <v>0</v>
      </c>
      <c r="V200" s="55">
        <f t="shared" si="110"/>
        <v>0</v>
      </c>
      <c r="W200" s="55">
        <f t="shared" si="110"/>
        <v>0</v>
      </c>
    </row>
    <row r="201" spans="1:23" x14ac:dyDescent="0.25">
      <c r="A201" s="46" t="s">
        <v>51</v>
      </c>
      <c r="B201" s="47" t="s">
        <v>56</v>
      </c>
      <c r="C201" s="59"/>
      <c r="D201" s="55">
        <f t="shared" ref="D201:W201" si="111">D45</f>
        <v>1</v>
      </c>
      <c r="E201" s="55">
        <f t="shared" si="111"/>
        <v>1</v>
      </c>
      <c r="F201" s="55">
        <f t="shared" si="111"/>
        <v>0</v>
      </c>
      <c r="G201" s="55">
        <f t="shared" si="111"/>
        <v>0</v>
      </c>
      <c r="H201" s="55">
        <f t="shared" si="111"/>
        <v>0</v>
      </c>
      <c r="I201" s="55">
        <f t="shared" si="111"/>
        <v>0</v>
      </c>
      <c r="J201" s="55">
        <f t="shared" si="111"/>
        <v>0</v>
      </c>
      <c r="K201" s="55">
        <f t="shared" si="111"/>
        <v>0</v>
      </c>
      <c r="L201" s="55">
        <f t="shared" si="111"/>
        <v>0</v>
      </c>
      <c r="M201" s="55">
        <f t="shared" si="111"/>
        <v>0</v>
      </c>
      <c r="N201" s="55">
        <f t="shared" si="111"/>
        <v>0</v>
      </c>
      <c r="O201" s="55">
        <f t="shared" si="111"/>
        <v>0</v>
      </c>
      <c r="P201" s="55">
        <f t="shared" si="111"/>
        <v>0</v>
      </c>
      <c r="Q201" s="55">
        <f t="shared" si="111"/>
        <v>0</v>
      </c>
      <c r="R201" s="55">
        <f t="shared" si="111"/>
        <v>0</v>
      </c>
      <c r="S201" s="55">
        <f t="shared" si="111"/>
        <v>0</v>
      </c>
      <c r="T201" s="55">
        <f t="shared" si="111"/>
        <v>0</v>
      </c>
      <c r="U201" s="55">
        <f t="shared" si="111"/>
        <v>0</v>
      </c>
      <c r="V201" s="55">
        <f t="shared" si="111"/>
        <v>0</v>
      </c>
      <c r="W201" s="55">
        <f t="shared" si="111"/>
        <v>0</v>
      </c>
    </row>
    <row r="202" spans="1:23" x14ac:dyDescent="0.25">
      <c r="A202" s="46" t="s">
        <v>52</v>
      </c>
      <c r="B202" s="47" t="s">
        <v>56</v>
      </c>
      <c r="C202" s="59"/>
      <c r="D202" s="55">
        <f t="shared" ref="D202:W202" si="112">D46</f>
        <v>1</v>
      </c>
      <c r="E202" s="55">
        <f t="shared" si="112"/>
        <v>1</v>
      </c>
      <c r="F202" s="55">
        <f t="shared" si="112"/>
        <v>0</v>
      </c>
      <c r="G202" s="55">
        <f t="shared" si="112"/>
        <v>0</v>
      </c>
      <c r="H202" s="55">
        <f t="shared" si="112"/>
        <v>0</v>
      </c>
      <c r="I202" s="55">
        <f t="shared" si="112"/>
        <v>0</v>
      </c>
      <c r="J202" s="55">
        <f t="shared" si="112"/>
        <v>0</v>
      </c>
      <c r="K202" s="55">
        <f t="shared" si="112"/>
        <v>0</v>
      </c>
      <c r="L202" s="55">
        <f t="shared" si="112"/>
        <v>0</v>
      </c>
      <c r="M202" s="55">
        <f t="shared" si="112"/>
        <v>0</v>
      </c>
      <c r="N202" s="55">
        <f t="shared" si="112"/>
        <v>0</v>
      </c>
      <c r="O202" s="55">
        <f t="shared" si="112"/>
        <v>0</v>
      </c>
      <c r="P202" s="55">
        <f t="shared" si="112"/>
        <v>0</v>
      </c>
      <c r="Q202" s="55">
        <f t="shared" si="112"/>
        <v>0</v>
      </c>
      <c r="R202" s="55">
        <f t="shared" si="112"/>
        <v>0</v>
      </c>
      <c r="S202" s="55">
        <f t="shared" si="112"/>
        <v>0</v>
      </c>
      <c r="T202" s="55">
        <f t="shared" si="112"/>
        <v>0</v>
      </c>
      <c r="U202" s="55">
        <f t="shared" si="112"/>
        <v>0</v>
      </c>
      <c r="V202" s="55">
        <f t="shared" si="112"/>
        <v>0</v>
      </c>
      <c r="W202" s="55">
        <f t="shared" si="112"/>
        <v>0</v>
      </c>
    </row>
    <row r="203" spans="1:23" x14ac:dyDescent="0.25">
      <c r="A203" s="46" t="s">
        <v>53</v>
      </c>
      <c r="B203" s="47" t="s">
        <v>56</v>
      </c>
      <c r="C203" s="59"/>
      <c r="D203" s="55">
        <f t="shared" ref="D203:W203" si="113">D47</f>
        <v>1</v>
      </c>
      <c r="E203" s="55">
        <f t="shared" si="113"/>
        <v>1</v>
      </c>
      <c r="F203" s="55">
        <f t="shared" si="113"/>
        <v>0</v>
      </c>
      <c r="G203" s="55">
        <f t="shared" si="113"/>
        <v>0</v>
      </c>
      <c r="H203" s="55">
        <f t="shared" si="113"/>
        <v>0</v>
      </c>
      <c r="I203" s="55">
        <f t="shared" si="113"/>
        <v>0</v>
      </c>
      <c r="J203" s="55">
        <f t="shared" si="113"/>
        <v>0</v>
      </c>
      <c r="K203" s="55">
        <f t="shared" si="113"/>
        <v>0</v>
      </c>
      <c r="L203" s="55">
        <f t="shared" si="113"/>
        <v>0</v>
      </c>
      <c r="M203" s="55">
        <f t="shared" si="113"/>
        <v>0</v>
      </c>
      <c r="N203" s="55">
        <f t="shared" si="113"/>
        <v>0</v>
      </c>
      <c r="O203" s="55">
        <f t="shared" si="113"/>
        <v>0</v>
      </c>
      <c r="P203" s="55">
        <f t="shared" si="113"/>
        <v>0</v>
      </c>
      <c r="Q203" s="55">
        <f t="shared" si="113"/>
        <v>0</v>
      </c>
      <c r="R203" s="55">
        <f t="shared" si="113"/>
        <v>0</v>
      </c>
      <c r="S203" s="55">
        <f t="shared" si="113"/>
        <v>0</v>
      </c>
      <c r="T203" s="55">
        <f t="shared" si="113"/>
        <v>0</v>
      </c>
      <c r="U203" s="55">
        <f t="shared" si="113"/>
        <v>0</v>
      </c>
      <c r="V203" s="55">
        <f t="shared" si="113"/>
        <v>0</v>
      </c>
      <c r="W203" s="55">
        <f t="shared" si="113"/>
        <v>0</v>
      </c>
    </row>
    <row r="204" spans="1:23" x14ac:dyDescent="0.25">
      <c r="A204" s="46" t="s">
        <v>54</v>
      </c>
      <c r="B204" s="47" t="s">
        <v>57</v>
      </c>
      <c r="C204" s="59"/>
      <c r="D204" s="55">
        <f t="shared" ref="D204:W204" si="114">D48</f>
        <v>1</v>
      </c>
      <c r="E204" s="55">
        <f t="shared" si="114"/>
        <v>0</v>
      </c>
      <c r="F204" s="55">
        <f t="shared" si="114"/>
        <v>0</v>
      </c>
      <c r="G204" s="55">
        <f t="shared" si="114"/>
        <v>0</v>
      </c>
      <c r="H204" s="55">
        <f t="shared" si="114"/>
        <v>0</v>
      </c>
      <c r="I204" s="55">
        <f t="shared" si="114"/>
        <v>0</v>
      </c>
      <c r="J204" s="55">
        <f t="shared" si="114"/>
        <v>0</v>
      </c>
      <c r="K204" s="55">
        <f t="shared" si="114"/>
        <v>0</v>
      </c>
      <c r="L204" s="55">
        <f t="shared" si="114"/>
        <v>0</v>
      </c>
      <c r="M204" s="55">
        <f t="shared" si="114"/>
        <v>0</v>
      </c>
      <c r="N204" s="55">
        <f t="shared" si="114"/>
        <v>0</v>
      </c>
      <c r="O204" s="55">
        <f t="shared" si="114"/>
        <v>0</v>
      </c>
      <c r="P204" s="55">
        <f t="shared" si="114"/>
        <v>0</v>
      </c>
      <c r="Q204" s="55">
        <f t="shared" si="114"/>
        <v>0</v>
      </c>
      <c r="R204" s="55">
        <f t="shared" si="114"/>
        <v>0</v>
      </c>
      <c r="S204" s="55">
        <f t="shared" si="114"/>
        <v>0</v>
      </c>
      <c r="T204" s="55">
        <f t="shared" si="114"/>
        <v>0</v>
      </c>
      <c r="U204" s="55">
        <f t="shared" si="114"/>
        <v>0</v>
      </c>
      <c r="V204" s="55">
        <f t="shared" si="114"/>
        <v>0</v>
      </c>
      <c r="W204" s="55">
        <f t="shared" si="114"/>
        <v>0</v>
      </c>
    </row>
    <row r="205" spans="1:23" x14ac:dyDescent="0.25">
      <c r="A205" s="110" t="str">
        <f t="shared" ref="A205:C212" si="115">A49</f>
        <v>New</v>
      </c>
      <c r="B205" s="110" t="str">
        <f t="shared" si="115"/>
        <v>Human Space Flight</v>
      </c>
      <c r="C205" s="110" t="str">
        <f t="shared" si="115"/>
        <v>-</v>
      </c>
      <c r="D205" s="117">
        <f>New_missions!D14+New_missions!D50</f>
        <v>0.6</v>
      </c>
      <c r="E205" s="117">
        <f>New_missions!E14+New_missions!E50</f>
        <v>1.2</v>
      </c>
      <c r="F205" s="117">
        <f>New_missions!F14+New_missions!F50</f>
        <v>1.7999999999999998</v>
      </c>
      <c r="G205" s="117">
        <f>New_missions!G14+New_missions!G50</f>
        <v>2.4</v>
      </c>
      <c r="H205" s="117">
        <f>New_missions!H14+New_missions!H50</f>
        <v>3</v>
      </c>
      <c r="I205" s="117">
        <f>New_missions!I14+New_missions!I50</f>
        <v>3.6</v>
      </c>
      <c r="J205" s="117">
        <f>New_missions!J14+New_missions!J50</f>
        <v>4.2</v>
      </c>
      <c r="K205" s="117">
        <f>New_missions!K14+New_missions!K50</f>
        <v>4.8</v>
      </c>
      <c r="L205" s="117">
        <f>New_missions!L14+New_missions!L50</f>
        <v>5.3999999999999995</v>
      </c>
      <c r="M205" s="117">
        <f>New_missions!M14+New_missions!M50</f>
        <v>5.9999999999999991</v>
      </c>
      <c r="N205" s="117">
        <f>New_missions!N14+New_missions!N50</f>
        <v>7.9999999999999991</v>
      </c>
      <c r="O205" s="117">
        <f>New_missions!O14+New_missions!O50</f>
        <v>7.9999999999999991</v>
      </c>
      <c r="P205" s="117">
        <f>New_missions!P14+New_missions!P50</f>
        <v>7.9999999999999991</v>
      </c>
      <c r="Q205" s="117">
        <f>New_missions!Q14+New_missions!Q50</f>
        <v>7.9999999999999991</v>
      </c>
      <c r="R205" s="117">
        <f>New_missions!R14+New_missions!R50</f>
        <v>7.9999999999999991</v>
      </c>
      <c r="S205" s="117">
        <f>New_missions!S14+New_missions!S50</f>
        <v>7.9999999999999991</v>
      </c>
      <c r="T205" s="117">
        <f>New_missions!T14+New_missions!T50</f>
        <v>7.9999999999999991</v>
      </c>
      <c r="U205" s="117">
        <f>New_missions!U14+New_missions!U50</f>
        <v>7.9999999999999991</v>
      </c>
      <c r="V205" s="117">
        <f>New_missions!V14+New_missions!V50</f>
        <v>7.9999999999999991</v>
      </c>
      <c r="W205" s="117">
        <f>New_missions!W14+New_missions!W50</f>
        <v>7.9999999999999991</v>
      </c>
    </row>
    <row r="206" spans="1:23" x14ac:dyDescent="0.25">
      <c r="A206" s="110" t="str">
        <f t="shared" si="115"/>
        <v>New</v>
      </c>
      <c r="B206" s="110" t="str">
        <f t="shared" si="115"/>
        <v>Near Earth Robotic - LEO Science</v>
      </c>
      <c r="C206" s="110" t="str">
        <f t="shared" si="115"/>
        <v>-</v>
      </c>
      <c r="D206" s="117">
        <f>New_missions!D15+New_missions!D51</f>
        <v>2.2000000000000002</v>
      </c>
      <c r="E206" s="117">
        <f>New_missions!E15+New_missions!E51</f>
        <v>6.4</v>
      </c>
      <c r="F206" s="117">
        <f>New_missions!F15+New_missions!F51</f>
        <v>9.6000000000000014</v>
      </c>
      <c r="G206" s="117">
        <f>New_missions!G15+New_missions!G51</f>
        <v>13.8</v>
      </c>
      <c r="H206" s="117">
        <f>New_missions!H15+New_missions!H51</f>
        <v>19</v>
      </c>
      <c r="I206" s="117">
        <f>New_missions!I15+New_missions!I51</f>
        <v>24.2</v>
      </c>
      <c r="J206" s="117">
        <f>New_missions!J15+New_missions!J51</f>
        <v>29.4</v>
      </c>
      <c r="K206" s="117">
        <f>New_missions!K15+New_missions!K51</f>
        <v>33.599999999999994</v>
      </c>
      <c r="L206" s="117">
        <f>New_missions!L15+New_missions!L51</f>
        <v>35.799999999999997</v>
      </c>
      <c r="M206" s="117">
        <f>New_missions!M15+New_missions!M51</f>
        <v>38</v>
      </c>
      <c r="N206" s="117">
        <f>New_missions!N15+New_missions!N51</f>
        <v>38</v>
      </c>
      <c r="O206" s="117">
        <f>New_missions!O15+New_missions!O51</f>
        <v>38</v>
      </c>
      <c r="P206" s="117">
        <f>New_missions!P15+New_missions!P51</f>
        <v>38</v>
      </c>
      <c r="Q206" s="117">
        <f>New_missions!Q15+New_missions!Q51</f>
        <v>38</v>
      </c>
      <c r="R206" s="117">
        <f>New_missions!R15+New_missions!R51</f>
        <v>38</v>
      </c>
      <c r="S206" s="117">
        <f>New_missions!S15+New_missions!S51</f>
        <v>38</v>
      </c>
      <c r="T206" s="117">
        <f>New_missions!T15+New_missions!T51</f>
        <v>38</v>
      </c>
      <c r="U206" s="117">
        <f>New_missions!U15+New_missions!U51</f>
        <v>38</v>
      </c>
      <c r="V206" s="117">
        <f>New_missions!V15+New_missions!V51</f>
        <v>38</v>
      </c>
      <c r="W206" s="117">
        <f>New_missions!W15+New_missions!W51</f>
        <v>38</v>
      </c>
    </row>
    <row r="207" spans="1:23" x14ac:dyDescent="0.25">
      <c r="A207" s="110" t="str">
        <f t="shared" si="115"/>
        <v>New</v>
      </c>
      <c r="B207" s="110" t="str">
        <f t="shared" si="115"/>
        <v>Near Earth Robotic - GEO and Near Earth</v>
      </c>
      <c r="C207" s="110" t="str">
        <f t="shared" si="115"/>
        <v>-</v>
      </c>
      <c r="D207" s="117">
        <f>New_missions!D16+New_missions!D52</f>
        <v>0.9</v>
      </c>
      <c r="E207" s="117">
        <f>New_missions!E16+New_missions!E52</f>
        <v>1.8</v>
      </c>
      <c r="F207" s="117">
        <f>New_missions!F16+New_missions!F52</f>
        <v>6.7</v>
      </c>
      <c r="G207" s="117">
        <f>New_missions!G16+New_missions!G52</f>
        <v>7.6</v>
      </c>
      <c r="H207" s="117">
        <f>New_missions!H16+New_missions!H52</f>
        <v>8.5</v>
      </c>
      <c r="I207" s="117">
        <f>New_missions!I16+New_missions!I52</f>
        <v>9.4</v>
      </c>
      <c r="J207" s="117">
        <f>New_missions!J16+New_missions!J52</f>
        <v>10.3</v>
      </c>
      <c r="K207" s="117">
        <f>New_missions!K16+New_missions!K52</f>
        <v>11.200000000000001</v>
      </c>
      <c r="L207" s="117">
        <f>New_missions!L16+New_missions!L52</f>
        <v>12.100000000000001</v>
      </c>
      <c r="M207" s="117">
        <f>New_missions!M16+New_missions!M52</f>
        <v>13.000000000000002</v>
      </c>
      <c r="N207" s="117">
        <f>New_missions!N16+New_missions!N52</f>
        <v>13.000000000000002</v>
      </c>
      <c r="O207" s="117">
        <f>New_missions!O16+New_missions!O52</f>
        <v>13.000000000000002</v>
      </c>
      <c r="P207" s="117">
        <f>New_missions!P16+New_missions!P52</f>
        <v>13.000000000000002</v>
      </c>
      <c r="Q207" s="117">
        <f>New_missions!Q16+New_missions!Q52</f>
        <v>13.000000000000002</v>
      </c>
      <c r="R207" s="117">
        <f>New_missions!R16+New_missions!R52</f>
        <v>13.000000000000002</v>
      </c>
      <c r="S207" s="117">
        <f>New_missions!S16+New_missions!S52</f>
        <v>13.000000000000002</v>
      </c>
      <c r="T207" s="117">
        <f>New_missions!T16+New_missions!T52</f>
        <v>13.000000000000002</v>
      </c>
      <c r="U207" s="117">
        <f>New_missions!U16+New_missions!U52</f>
        <v>13.000000000000002</v>
      </c>
      <c r="V207" s="117">
        <f>New_missions!V16+New_missions!V52</f>
        <v>13.000000000000002</v>
      </c>
      <c r="W207" s="117">
        <f>New_missions!W16+New_missions!W52</f>
        <v>13.000000000000002</v>
      </c>
    </row>
    <row r="208" spans="1:23" x14ac:dyDescent="0.25">
      <c r="A208" s="110" t="str">
        <f t="shared" si="115"/>
        <v>New</v>
      </c>
      <c r="B208" s="110" t="str">
        <f t="shared" si="115"/>
        <v>Deep Space Robotic</v>
      </c>
      <c r="C208" s="110" t="str">
        <f t="shared" si="115"/>
        <v>-</v>
      </c>
      <c r="D208" s="117">
        <f>New_missions!D17+New_missions!D53</f>
        <v>0</v>
      </c>
      <c r="E208" s="117">
        <f>New_missions!E17+New_missions!E53</f>
        <v>0</v>
      </c>
      <c r="F208" s="117">
        <f>New_missions!F17+New_missions!F53</f>
        <v>0</v>
      </c>
      <c r="G208" s="117">
        <f>New_missions!G17+New_missions!G53</f>
        <v>0</v>
      </c>
      <c r="H208" s="117">
        <f>New_missions!H17+New_missions!H53</f>
        <v>0</v>
      </c>
      <c r="I208" s="117">
        <f>New_missions!I17+New_missions!I53</f>
        <v>0</v>
      </c>
      <c r="J208" s="117">
        <f>New_missions!J17+New_missions!J53</f>
        <v>0</v>
      </c>
      <c r="K208" s="117">
        <f>New_missions!K17+New_missions!K53</f>
        <v>0</v>
      </c>
      <c r="L208" s="117">
        <f>New_missions!L17+New_missions!L53</f>
        <v>0</v>
      </c>
      <c r="M208" s="117">
        <f>New_missions!M17+New_missions!M53</f>
        <v>0</v>
      </c>
      <c r="N208" s="117">
        <f>New_missions!N17+New_missions!N53</f>
        <v>0</v>
      </c>
      <c r="O208" s="117">
        <f>New_missions!O17+New_missions!O53</f>
        <v>0</v>
      </c>
      <c r="P208" s="117">
        <f>New_missions!P17+New_missions!P53</f>
        <v>0</v>
      </c>
      <c r="Q208" s="117">
        <f>New_missions!Q17+New_missions!Q53</f>
        <v>0</v>
      </c>
      <c r="R208" s="117">
        <f>New_missions!R17+New_missions!R53</f>
        <v>0</v>
      </c>
      <c r="S208" s="117">
        <f>New_missions!S17+New_missions!S53</f>
        <v>0</v>
      </c>
      <c r="T208" s="117">
        <f>New_missions!T17+New_missions!T53</f>
        <v>0</v>
      </c>
      <c r="U208" s="117">
        <f>New_missions!U17+New_missions!U53</f>
        <v>0</v>
      </c>
      <c r="V208" s="117">
        <f>New_missions!V17+New_missions!V53</f>
        <v>0</v>
      </c>
      <c r="W208" s="117">
        <f>New_missions!W17+New_missions!W53</f>
        <v>0</v>
      </c>
    </row>
    <row r="209" spans="1:23" x14ac:dyDescent="0.25">
      <c r="A209" s="110" t="str">
        <f t="shared" si="115"/>
        <v>New</v>
      </c>
      <c r="B209" s="110" t="str">
        <f t="shared" si="115"/>
        <v>Near Earth Robotic - Low Latency &amp; Complex Needs</v>
      </c>
      <c r="C209" s="110" t="str">
        <f t="shared" si="115"/>
        <v>-</v>
      </c>
      <c r="D209" s="117">
        <f>New_missions!D18+New_missions!D54</f>
        <v>0.2</v>
      </c>
      <c r="E209" s="117">
        <f>New_missions!E18+New_missions!E54</f>
        <v>0.4</v>
      </c>
      <c r="F209" s="117">
        <f>New_missions!F18+New_missions!F54</f>
        <v>0.60000000000000009</v>
      </c>
      <c r="G209" s="117">
        <f>New_missions!G18+New_missions!G54</f>
        <v>0.8</v>
      </c>
      <c r="H209" s="117">
        <f>New_missions!H18+New_missions!H54</f>
        <v>2</v>
      </c>
      <c r="I209" s="117">
        <f>New_missions!I18+New_missions!I54</f>
        <v>2.2000000000000002</v>
      </c>
      <c r="J209" s="117">
        <f>New_missions!J18+New_missions!J54</f>
        <v>2.4</v>
      </c>
      <c r="K209" s="117">
        <f>New_missions!K18+New_missions!K54</f>
        <v>2.5999999999999996</v>
      </c>
      <c r="L209" s="117">
        <f>New_missions!L18+New_missions!L54</f>
        <v>2.8</v>
      </c>
      <c r="M209" s="117">
        <f>New_missions!M18+New_missions!M54</f>
        <v>3</v>
      </c>
      <c r="N209" s="117">
        <f>New_missions!N18+New_missions!N54</f>
        <v>3</v>
      </c>
      <c r="O209" s="117">
        <f>New_missions!O18+New_missions!O54</f>
        <v>3</v>
      </c>
      <c r="P209" s="117">
        <f>New_missions!P18+New_missions!P54</f>
        <v>3</v>
      </c>
      <c r="Q209" s="117">
        <f>New_missions!Q18+New_missions!Q54</f>
        <v>3</v>
      </c>
      <c r="R209" s="117">
        <f>New_missions!R18+New_missions!R54</f>
        <v>3</v>
      </c>
      <c r="S209" s="117">
        <f>New_missions!S18+New_missions!S54</f>
        <v>3</v>
      </c>
      <c r="T209" s="117">
        <f>New_missions!T18+New_missions!T54</f>
        <v>3</v>
      </c>
      <c r="U209" s="117">
        <f>New_missions!U18+New_missions!U54</f>
        <v>3</v>
      </c>
      <c r="V209" s="117">
        <f>New_missions!V18+New_missions!V54</f>
        <v>3</v>
      </c>
      <c r="W209" s="117">
        <f>New_missions!W18+New_missions!W54</f>
        <v>3</v>
      </c>
    </row>
    <row r="210" spans="1:23" x14ac:dyDescent="0.25">
      <c r="A210" s="110" t="str">
        <f t="shared" si="115"/>
        <v>New</v>
      </c>
      <c r="B210" s="110" t="str">
        <f t="shared" si="115"/>
        <v>Mission Operations</v>
      </c>
      <c r="C210" s="110" t="str">
        <f t="shared" si="115"/>
        <v>-</v>
      </c>
      <c r="D210" s="117">
        <f>New_missions!D19+New_missions!D55</f>
        <v>0</v>
      </c>
      <c r="E210" s="117">
        <f>New_missions!E19+New_missions!E55</f>
        <v>0</v>
      </c>
      <c r="F210" s="117">
        <f>New_missions!F19+New_missions!F55</f>
        <v>0</v>
      </c>
      <c r="G210" s="117">
        <f>New_missions!G19+New_missions!G55</f>
        <v>0</v>
      </c>
      <c r="H210" s="117">
        <f>New_missions!H19+New_missions!H55</f>
        <v>0</v>
      </c>
      <c r="I210" s="117">
        <f>New_missions!I19+New_missions!I55</f>
        <v>0</v>
      </c>
      <c r="J210" s="117">
        <f>New_missions!J19+New_missions!J55</f>
        <v>0</v>
      </c>
      <c r="K210" s="117">
        <f>New_missions!K19+New_missions!K55</f>
        <v>0</v>
      </c>
      <c r="L210" s="117">
        <f>New_missions!L19+New_missions!L55</f>
        <v>0</v>
      </c>
      <c r="M210" s="117">
        <f>New_missions!M19+New_missions!M55</f>
        <v>0</v>
      </c>
      <c r="N210" s="117">
        <f>New_missions!N19+New_missions!N55</f>
        <v>0</v>
      </c>
      <c r="O210" s="117">
        <f>New_missions!O19+New_missions!O55</f>
        <v>0</v>
      </c>
      <c r="P210" s="117">
        <f>New_missions!P19+New_missions!P55</f>
        <v>0</v>
      </c>
      <c r="Q210" s="117">
        <f>New_missions!Q19+New_missions!Q55</f>
        <v>0</v>
      </c>
      <c r="R210" s="117">
        <f>New_missions!R19+New_missions!R55</f>
        <v>0</v>
      </c>
      <c r="S210" s="117">
        <f>New_missions!S19+New_missions!S55</f>
        <v>0</v>
      </c>
      <c r="T210" s="117">
        <f>New_missions!T19+New_missions!T55</f>
        <v>0</v>
      </c>
      <c r="U210" s="117">
        <f>New_missions!U19+New_missions!U55</f>
        <v>0</v>
      </c>
      <c r="V210" s="117">
        <f>New_missions!V19+New_missions!V55</f>
        <v>0</v>
      </c>
      <c r="W210" s="117">
        <f>New_missions!W19+New_missions!W55</f>
        <v>0</v>
      </c>
    </row>
    <row r="211" spans="1:23" x14ac:dyDescent="0.25">
      <c r="A211" s="110" t="str">
        <f t="shared" si="115"/>
        <v>New</v>
      </c>
      <c r="B211" s="110" t="str">
        <f t="shared" si="115"/>
        <v>Launch Events</v>
      </c>
      <c r="C211" s="110" t="str">
        <f t="shared" si="115"/>
        <v>-</v>
      </c>
      <c r="D211" s="117">
        <f>New_missions!D20+New_missions!D56</f>
        <v>0.5</v>
      </c>
      <c r="E211" s="117">
        <f>New_missions!E20+New_missions!E56</f>
        <v>1</v>
      </c>
      <c r="F211" s="117">
        <f>New_missions!F20+New_missions!F56</f>
        <v>1.5</v>
      </c>
      <c r="G211" s="117">
        <f>New_missions!G20+New_missions!G56</f>
        <v>2</v>
      </c>
      <c r="H211" s="117">
        <f>New_missions!H20+New_missions!H56</f>
        <v>3.5</v>
      </c>
      <c r="I211" s="117">
        <f>New_missions!I20+New_missions!I56</f>
        <v>4</v>
      </c>
      <c r="J211" s="117">
        <f>New_missions!J20+New_missions!J56</f>
        <v>4.5</v>
      </c>
      <c r="K211" s="117">
        <f>New_missions!K20+New_missions!K56</f>
        <v>5</v>
      </c>
      <c r="L211" s="117">
        <f>New_missions!L20+New_missions!L56</f>
        <v>5.5</v>
      </c>
      <c r="M211" s="117">
        <f>New_missions!M20+New_missions!M56</f>
        <v>6</v>
      </c>
      <c r="N211" s="117">
        <f>New_missions!N20+New_missions!N56</f>
        <v>6</v>
      </c>
      <c r="O211" s="117">
        <f>New_missions!O20+New_missions!O56</f>
        <v>6</v>
      </c>
      <c r="P211" s="117">
        <f>New_missions!P20+New_missions!P56</f>
        <v>6</v>
      </c>
      <c r="Q211" s="117">
        <f>New_missions!Q20+New_missions!Q56</f>
        <v>6</v>
      </c>
      <c r="R211" s="117">
        <f>New_missions!R20+New_missions!R56</f>
        <v>6</v>
      </c>
      <c r="S211" s="117">
        <f>New_missions!S20+New_missions!S56</f>
        <v>6</v>
      </c>
      <c r="T211" s="117">
        <f>New_missions!T20+New_missions!T56</f>
        <v>6</v>
      </c>
      <c r="U211" s="117">
        <f>New_missions!U20+New_missions!U56</f>
        <v>6</v>
      </c>
      <c r="V211" s="117">
        <f>New_missions!V20+New_missions!V56</f>
        <v>6</v>
      </c>
      <c r="W211" s="117">
        <f>New_missions!W20+New_missions!W56</f>
        <v>6</v>
      </c>
    </row>
    <row r="212" spans="1:23" x14ac:dyDescent="0.25">
      <c r="A212" s="110" t="str">
        <f t="shared" si="115"/>
        <v>New</v>
      </c>
      <c r="B212" s="110" t="str">
        <f t="shared" si="115"/>
        <v>Terrestrial &amp; Aerial</v>
      </c>
      <c r="C212" s="110" t="str">
        <f t="shared" si="115"/>
        <v>-</v>
      </c>
      <c r="D212" s="117">
        <f>New_missions!D21+New_missions!D57</f>
        <v>0.3</v>
      </c>
      <c r="E212" s="117">
        <f>New_missions!E21+New_missions!E57</f>
        <v>1.6</v>
      </c>
      <c r="F212" s="117">
        <f>New_missions!F21+New_missions!F57</f>
        <v>1.9</v>
      </c>
      <c r="G212" s="117">
        <f>New_missions!G21+New_missions!G57</f>
        <v>2.2000000000000002</v>
      </c>
      <c r="H212" s="117">
        <f>New_missions!H21+New_missions!H57</f>
        <v>2.5</v>
      </c>
      <c r="I212" s="117">
        <f>New_missions!I21+New_missions!I57</f>
        <v>3.8</v>
      </c>
      <c r="J212" s="117">
        <f>New_missions!J21+New_missions!J57</f>
        <v>4.0999999999999996</v>
      </c>
      <c r="K212" s="117">
        <f>New_missions!K21+New_missions!K57</f>
        <v>4.4000000000000004</v>
      </c>
      <c r="L212" s="117">
        <f>New_missions!L21+New_missions!L57</f>
        <v>4.6999999999999993</v>
      </c>
      <c r="M212" s="117">
        <f>New_missions!M21+New_missions!M57</f>
        <v>5</v>
      </c>
      <c r="N212" s="117">
        <f>New_missions!N21+New_missions!N57</f>
        <v>5</v>
      </c>
      <c r="O212" s="117">
        <f>New_missions!O21+New_missions!O57</f>
        <v>5</v>
      </c>
      <c r="P212" s="117">
        <f>New_missions!P21+New_missions!P57</f>
        <v>5</v>
      </c>
      <c r="Q212" s="117">
        <f>New_missions!Q21+New_missions!Q57</f>
        <v>5</v>
      </c>
      <c r="R212" s="117">
        <f>New_missions!R21+New_missions!R57</f>
        <v>5</v>
      </c>
      <c r="S212" s="117">
        <f>New_missions!S21+New_missions!S57</f>
        <v>5</v>
      </c>
      <c r="T212" s="117">
        <f>New_missions!T21+New_missions!T57</f>
        <v>5</v>
      </c>
      <c r="U212" s="117">
        <f>New_missions!U21+New_missions!U57</f>
        <v>5</v>
      </c>
      <c r="V212" s="117">
        <f>New_missions!V21+New_missions!V57</f>
        <v>5</v>
      </c>
      <c r="W212" s="117">
        <f>New_missions!W21+New_missions!W57</f>
        <v>5</v>
      </c>
    </row>
    <row r="213" spans="1:23" x14ac:dyDescent="0.25">
      <c r="A213" s="104"/>
      <c r="B213" s="111"/>
    </row>
    <row r="214" spans="1:23" x14ac:dyDescent="0.25">
      <c r="A214" s="104"/>
      <c r="B214" s="111"/>
      <c r="D214" s="113">
        <f>SUM(D158:D212)</f>
        <v>46.7</v>
      </c>
      <c r="E214" s="113">
        <f>SUM(E158:E212)</f>
        <v>50.4</v>
      </c>
      <c r="F214" s="113">
        <f t="shared" ref="F214:W214" si="116">SUM(F158:F212)</f>
        <v>54.1</v>
      </c>
      <c r="G214" s="113">
        <f t="shared" si="116"/>
        <v>57.800000000000004</v>
      </c>
      <c r="H214" s="113">
        <f t="shared" si="116"/>
        <v>62.5</v>
      </c>
      <c r="I214" s="113">
        <f t="shared" si="116"/>
        <v>67.2</v>
      </c>
      <c r="J214" s="113">
        <f t="shared" si="116"/>
        <v>71.899999999999977</v>
      </c>
      <c r="K214" s="113">
        <f t="shared" si="116"/>
        <v>76.599999999999994</v>
      </c>
      <c r="L214" s="113">
        <f t="shared" si="116"/>
        <v>81.3</v>
      </c>
      <c r="M214" s="114">
        <f t="shared" si="116"/>
        <v>86</v>
      </c>
      <c r="N214" s="113">
        <f t="shared" si="116"/>
        <v>86</v>
      </c>
      <c r="O214" s="113">
        <f t="shared" si="116"/>
        <v>86</v>
      </c>
      <c r="P214" s="113">
        <f t="shared" si="116"/>
        <v>86</v>
      </c>
      <c r="Q214" s="113">
        <f t="shared" si="116"/>
        <v>86</v>
      </c>
      <c r="R214" s="113">
        <f t="shared" si="116"/>
        <v>86</v>
      </c>
      <c r="S214" s="113">
        <f t="shared" si="116"/>
        <v>86</v>
      </c>
      <c r="T214" s="113">
        <f t="shared" si="116"/>
        <v>86</v>
      </c>
      <c r="U214" s="113">
        <f t="shared" si="116"/>
        <v>86</v>
      </c>
      <c r="V214" s="113">
        <f t="shared" si="116"/>
        <v>86</v>
      </c>
      <c r="W214" s="113">
        <f t="shared" si="116"/>
        <v>86</v>
      </c>
    </row>
    <row r="215" spans="1:23" ht="14.4" thickBot="1" x14ac:dyDescent="0.3"/>
    <row r="216" spans="1:23" x14ac:dyDescent="0.25">
      <c r="B216" s="75" t="s">
        <v>102</v>
      </c>
      <c r="D216" s="76">
        <f>D157</f>
        <v>2021</v>
      </c>
      <c r="E216" s="76">
        <f t="shared" ref="E216:V216" si="117">E157</f>
        <v>2022</v>
      </c>
      <c r="F216" s="76">
        <f t="shared" si="117"/>
        <v>2023</v>
      </c>
      <c r="G216" s="76">
        <f t="shared" si="117"/>
        <v>2024</v>
      </c>
      <c r="H216" s="76">
        <f t="shared" si="117"/>
        <v>2025</v>
      </c>
      <c r="I216" s="76">
        <f t="shared" si="117"/>
        <v>2026</v>
      </c>
      <c r="J216" s="76">
        <f t="shared" si="117"/>
        <v>2027</v>
      </c>
      <c r="K216" s="76">
        <f t="shared" si="117"/>
        <v>2028</v>
      </c>
      <c r="L216" s="76">
        <f t="shared" si="117"/>
        <v>2029</v>
      </c>
      <c r="M216" s="93">
        <f t="shared" si="117"/>
        <v>2030</v>
      </c>
      <c r="N216" s="94">
        <f t="shared" si="117"/>
        <v>2031</v>
      </c>
      <c r="O216" s="76">
        <f t="shared" si="117"/>
        <v>2032</v>
      </c>
      <c r="P216" s="76">
        <f t="shared" si="117"/>
        <v>2033</v>
      </c>
      <c r="Q216" s="76">
        <f t="shared" si="117"/>
        <v>2034</v>
      </c>
      <c r="R216" s="76">
        <f t="shared" si="117"/>
        <v>2035</v>
      </c>
      <c r="S216" s="76">
        <f t="shared" si="117"/>
        <v>2036</v>
      </c>
      <c r="T216" s="76">
        <f t="shared" si="117"/>
        <v>2037</v>
      </c>
      <c r="U216" s="76">
        <f t="shared" si="117"/>
        <v>2038</v>
      </c>
      <c r="V216" s="76">
        <f t="shared" si="117"/>
        <v>2039</v>
      </c>
      <c r="W216" s="76">
        <f>W157</f>
        <v>2040</v>
      </c>
    </row>
    <row r="217" spans="1:23" x14ac:dyDescent="0.25">
      <c r="B217" s="50" t="s">
        <v>59</v>
      </c>
      <c r="D217" s="51">
        <f t="shared" ref="D217:M224" si="118">SUMIF($B$158:$B$212,$B217,D$158:D$212)</f>
        <v>6.6</v>
      </c>
      <c r="E217" s="51">
        <f t="shared" si="118"/>
        <v>7.2</v>
      </c>
      <c r="F217" s="51">
        <f t="shared" si="118"/>
        <v>7.8</v>
      </c>
      <c r="G217" s="51">
        <f t="shared" si="118"/>
        <v>8.4</v>
      </c>
      <c r="H217" s="51">
        <f t="shared" si="118"/>
        <v>9</v>
      </c>
      <c r="I217" s="51">
        <f t="shared" si="118"/>
        <v>9.6</v>
      </c>
      <c r="J217" s="51">
        <f t="shared" si="118"/>
        <v>10.199999999999999</v>
      </c>
      <c r="K217" s="51">
        <f t="shared" si="118"/>
        <v>10.8</v>
      </c>
      <c r="L217" s="51">
        <f t="shared" si="118"/>
        <v>11.399999999999999</v>
      </c>
      <c r="M217" s="51">
        <f t="shared" si="118"/>
        <v>12</v>
      </c>
      <c r="N217" s="51">
        <f t="shared" ref="N217:W224" si="119">SUMIF($B$158:$B$212,$B217,N$158:N$212)</f>
        <v>12</v>
      </c>
      <c r="O217" s="51">
        <f t="shared" si="119"/>
        <v>12</v>
      </c>
      <c r="P217" s="51">
        <f t="shared" si="119"/>
        <v>12</v>
      </c>
      <c r="Q217" s="51">
        <f t="shared" si="119"/>
        <v>12</v>
      </c>
      <c r="R217" s="51">
        <f t="shared" si="119"/>
        <v>12</v>
      </c>
      <c r="S217" s="51">
        <f t="shared" si="119"/>
        <v>12</v>
      </c>
      <c r="T217" s="51">
        <f t="shared" si="119"/>
        <v>12</v>
      </c>
      <c r="U217" s="51">
        <f t="shared" si="119"/>
        <v>12</v>
      </c>
      <c r="V217" s="51">
        <f t="shared" si="119"/>
        <v>12</v>
      </c>
      <c r="W217" s="51">
        <f t="shared" si="119"/>
        <v>12</v>
      </c>
    </row>
    <row r="218" spans="1:23" x14ac:dyDescent="0.25">
      <c r="B218" s="50" t="s">
        <v>57</v>
      </c>
      <c r="D218" s="51">
        <f t="shared" si="118"/>
        <v>19.2</v>
      </c>
      <c r="E218" s="51">
        <f t="shared" si="118"/>
        <v>21.4</v>
      </c>
      <c r="F218" s="51">
        <f t="shared" si="118"/>
        <v>23.6</v>
      </c>
      <c r="G218" s="51">
        <f t="shared" si="118"/>
        <v>25.8</v>
      </c>
      <c r="H218" s="51">
        <f t="shared" si="118"/>
        <v>28</v>
      </c>
      <c r="I218" s="51">
        <f t="shared" si="118"/>
        <v>30.2</v>
      </c>
      <c r="J218" s="51">
        <f t="shared" si="118"/>
        <v>32.4</v>
      </c>
      <c r="K218" s="51">
        <f t="shared" si="118"/>
        <v>34.599999999999994</v>
      </c>
      <c r="L218" s="51">
        <f t="shared" si="118"/>
        <v>36.799999999999997</v>
      </c>
      <c r="M218" s="51">
        <f t="shared" si="118"/>
        <v>39</v>
      </c>
      <c r="N218" s="51">
        <f t="shared" si="119"/>
        <v>39</v>
      </c>
      <c r="O218" s="51">
        <f t="shared" si="119"/>
        <v>39</v>
      </c>
      <c r="P218" s="51">
        <f t="shared" si="119"/>
        <v>39</v>
      </c>
      <c r="Q218" s="51">
        <f t="shared" si="119"/>
        <v>39</v>
      </c>
      <c r="R218" s="51">
        <f t="shared" si="119"/>
        <v>39</v>
      </c>
      <c r="S218" s="51">
        <f t="shared" si="119"/>
        <v>39</v>
      </c>
      <c r="T218" s="51">
        <f t="shared" si="119"/>
        <v>39</v>
      </c>
      <c r="U218" s="51">
        <f t="shared" si="119"/>
        <v>39</v>
      </c>
      <c r="V218" s="51">
        <f t="shared" si="119"/>
        <v>39</v>
      </c>
      <c r="W218" s="51">
        <f t="shared" si="119"/>
        <v>39</v>
      </c>
    </row>
    <row r="219" spans="1:23" x14ac:dyDescent="0.25">
      <c r="B219" s="50" t="s">
        <v>56</v>
      </c>
      <c r="D219" s="51">
        <f t="shared" si="118"/>
        <v>8.9</v>
      </c>
      <c r="E219" s="51">
        <f t="shared" si="118"/>
        <v>9.8000000000000007</v>
      </c>
      <c r="F219" s="51">
        <f t="shared" si="118"/>
        <v>10.7</v>
      </c>
      <c r="G219" s="51">
        <f t="shared" si="118"/>
        <v>11.6</v>
      </c>
      <c r="H219" s="51">
        <f t="shared" si="118"/>
        <v>12.5</v>
      </c>
      <c r="I219" s="51">
        <f t="shared" si="118"/>
        <v>13.4</v>
      </c>
      <c r="J219" s="51">
        <f t="shared" si="118"/>
        <v>14.3</v>
      </c>
      <c r="K219" s="51">
        <f t="shared" si="118"/>
        <v>15.200000000000001</v>
      </c>
      <c r="L219" s="51">
        <f t="shared" si="118"/>
        <v>16.100000000000001</v>
      </c>
      <c r="M219" s="51">
        <f t="shared" si="118"/>
        <v>17</v>
      </c>
      <c r="N219" s="51">
        <f t="shared" si="119"/>
        <v>17</v>
      </c>
      <c r="O219" s="51">
        <f t="shared" si="119"/>
        <v>17</v>
      </c>
      <c r="P219" s="51">
        <f t="shared" si="119"/>
        <v>17</v>
      </c>
      <c r="Q219" s="51">
        <f t="shared" si="119"/>
        <v>17</v>
      </c>
      <c r="R219" s="51">
        <f t="shared" si="119"/>
        <v>17</v>
      </c>
      <c r="S219" s="51">
        <f t="shared" si="119"/>
        <v>17</v>
      </c>
      <c r="T219" s="51">
        <f t="shared" si="119"/>
        <v>17</v>
      </c>
      <c r="U219" s="51">
        <f t="shared" si="119"/>
        <v>17</v>
      </c>
      <c r="V219" s="51">
        <f t="shared" si="119"/>
        <v>17</v>
      </c>
      <c r="W219" s="51">
        <f t="shared" si="119"/>
        <v>17</v>
      </c>
    </row>
    <row r="220" spans="1:23" x14ac:dyDescent="0.25">
      <c r="B220" s="50" t="s">
        <v>100</v>
      </c>
      <c r="D220" s="51">
        <f t="shared" si="118"/>
        <v>0</v>
      </c>
      <c r="E220" s="51">
        <f t="shared" si="118"/>
        <v>0</v>
      </c>
      <c r="F220" s="51">
        <f t="shared" si="118"/>
        <v>0</v>
      </c>
      <c r="G220" s="51">
        <f t="shared" si="118"/>
        <v>0</v>
      </c>
      <c r="H220" s="51">
        <f t="shared" si="118"/>
        <v>0</v>
      </c>
      <c r="I220" s="51">
        <f t="shared" si="118"/>
        <v>0</v>
      </c>
      <c r="J220" s="51">
        <f t="shared" si="118"/>
        <v>0</v>
      </c>
      <c r="K220" s="51">
        <f t="shared" si="118"/>
        <v>0</v>
      </c>
      <c r="L220" s="51">
        <f t="shared" si="118"/>
        <v>0</v>
      </c>
      <c r="M220" s="51">
        <f t="shared" si="118"/>
        <v>0</v>
      </c>
      <c r="N220" s="51">
        <f t="shared" si="119"/>
        <v>0</v>
      </c>
      <c r="O220" s="51">
        <f t="shared" si="119"/>
        <v>0</v>
      </c>
      <c r="P220" s="51">
        <f t="shared" si="119"/>
        <v>0</v>
      </c>
      <c r="Q220" s="51">
        <f t="shared" si="119"/>
        <v>0</v>
      </c>
      <c r="R220" s="51">
        <f t="shared" si="119"/>
        <v>0</v>
      </c>
      <c r="S220" s="51">
        <f t="shared" si="119"/>
        <v>0</v>
      </c>
      <c r="T220" s="51">
        <f t="shared" si="119"/>
        <v>0</v>
      </c>
      <c r="U220" s="51">
        <f t="shared" si="119"/>
        <v>0</v>
      </c>
      <c r="V220" s="51">
        <f t="shared" si="119"/>
        <v>0</v>
      </c>
      <c r="W220" s="51">
        <f t="shared" si="119"/>
        <v>0</v>
      </c>
    </row>
    <row r="221" spans="1:23" x14ac:dyDescent="0.25">
      <c r="B221" s="50" t="s">
        <v>60</v>
      </c>
      <c r="D221" s="51">
        <f t="shared" si="118"/>
        <v>1.2</v>
      </c>
      <c r="E221" s="51">
        <f t="shared" si="118"/>
        <v>1.4</v>
      </c>
      <c r="F221" s="51">
        <f t="shared" si="118"/>
        <v>1.6</v>
      </c>
      <c r="G221" s="51">
        <f t="shared" si="118"/>
        <v>1.8</v>
      </c>
      <c r="H221" s="51">
        <f t="shared" si="118"/>
        <v>2</v>
      </c>
      <c r="I221" s="51">
        <f t="shared" si="118"/>
        <v>2.2000000000000002</v>
      </c>
      <c r="J221" s="51">
        <f t="shared" si="118"/>
        <v>2.4</v>
      </c>
      <c r="K221" s="51">
        <f t="shared" si="118"/>
        <v>2.5999999999999996</v>
      </c>
      <c r="L221" s="51">
        <f t="shared" si="118"/>
        <v>2.8</v>
      </c>
      <c r="M221" s="51">
        <f t="shared" si="118"/>
        <v>3</v>
      </c>
      <c r="N221" s="51">
        <f t="shared" si="119"/>
        <v>3</v>
      </c>
      <c r="O221" s="51">
        <f t="shared" si="119"/>
        <v>3</v>
      </c>
      <c r="P221" s="51">
        <f t="shared" si="119"/>
        <v>3</v>
      </c>
      <c r="Q221" s="51">
        <f t="shared" si="119"/>
        <v>3</v>
      </c>
      <c r="R221" s="51">
        <f t="shared" si="119"/>
        <v>3</v>
      </c>
      <c r="S221" s="51">
        <f t="shared" si="119"/>
        <v>3</v>
      </c>
      <c r="T221" s="51">
        <f t="shared" si="119"/>
        <v>3</v>
      </c>
      <c r="U221" s="51">
        <f t="shared" si="119"/>
        <v>3</v>
      </c>
      <c r="V221" s="51">
        <f t="shared" si="119"/>
        <v>3</v>
      </c>
      <c r="W221" s="51">
        <f t="shared" si="119"/>
        <v>3</v>
      </c>
    </row>
    <row r="222" spans="1:23" x14ac:dyDescent="0.25">
      <c r="B222" s="50" t="s">
        <v>101</v>
      </c>
      <c r="D222" s="51">
        <f t="shared" si="118"/>
        <v>0</v>
      </c>
      <c r="E222" s="51">
        <f t="shared" si="118"/>
        <v>0</v>
      </c>
      <c r="F222" s="51">
        <f t="shared" si="118"/>
        <v>0</v>
      </c>
      <c r="G222" s="51">
        <f t="shared" si="118"/>
        <v>0</v>
      </c>
      <c r="H222" s="51">
        <f t="shared" si="118"/>
        <v>0</v>
      </c>
      <c r="I222" s="51">
        <f t="shared" si="118"/>
        <v>0</v>
      </c>
      <c r="J222" s="51">
        <f t="shared" si="118"/>
        <v>0</v>
      </c>
      <c r="K222" s="51">
        <f t="shared" si="118"/>
        <v>0</v>
      </c>
      <c r="L222" s="51">
        <f t="shared" si="118"/>
        <v>0</v>
      </c>
      <c r="M222" s="51">
        <f t="shared" si="118"/>
        <v>0</v>
      </c>
      <c r="N222" s="51">
        <f t="shared" si="119"/>
        <v>0</v>
      </c>
      <c r="O222" s="51">
        <f t="shared" si="119"/>
        <v>0</v>
      </c>
      <c r="P222" s="51">
        <f t="shared" si="119"/>
        <v>0</v>
      </c>
      <c r="Q222" s="51">
        <f t="shared" si="119"/>
        <v>0</v>
      </c>
      <c r="R222" s="51">
        <f t="shared" si="119"/>
        <v>0</v>
      </c>
      <c r="S222" s="51">
        <f t="shared" si="119"/>
        <v>0</v>
      </c>
      <c r="T222" s="51">
        <f t="shared" si="119"/>
        <v>0</v>
      </c>
      <c r="U222" s="51">
        <f t="shared" si="119"/>
        <v>0</v>
      </c>
      <c r="V222" s="51">
        <f t="shared" si="119"/>
        <v>0</v>
      </c>
      <c r="W222" s="51">
        <f t="shared" si="119"/>
        <v>0</v>
      </c>
    </row>
    <row r="223" spans="1:23" x14ac:dyDescent="0.25">
      <c r="B223" s="50" t="s">
        <v>58</v>
      </c>
      <c r="D223" s="51">
        <f t="shared" si="118"/>
        <v>3.5</v>
      </c>
      <c r="E223" s="51">
        <f t="shared" si="118"/>
        <v>4</v>
      </c>
      <c r="F223" s="51">
        <f t="shared" si="118"/>
        <v>4.5</v>
      </c>
      <c r="G223" s="51">
        <f t="shared" si="118"/>
        <v>5</v>
      </c>
      <c r="H223" s="51">
        <f t="shared" si="118"/>
        <v>5.5</v>
      </c>
      <c r="I223" s="51">
        <f t="shared" si="118"/>
        <v>6</v>
      </c>
      <c r="J223" s="51">
        <f t="shared" si="118"/>
        <v>6.5</v>
      </c>
      <c r="K223" s="51">
        <f t="shared" si="118"/>
        <v>7</v>
      </c>
      <c r="L223" s="51">
        <f t="shared" si="118"/>
        <v>7.5</v>
      </c>
      <c r="M223" s="51">
        <f t="shared" si="118"/>
        <v>8</v>
      </c>
      <c r="N223" s="51">
        <f t="shared" si="119"/>
        <v>8</v>
      </c>
      <c r="O223" s="51">
        <f t="shared" si="119"/>
        <v>8</v>
      </c>
      <c r="P223" s="51">
        <f t="shared" si="119"/>
        <v>8</v>
      </c>
      <c r="Q223" s="51">
        <f t="shared" si="119"/>
        <v>8</v>
      </c>
      <c r="R223" s="51">
        <f t="shared" si="119"/>
        <v>8</v>
      </c>
      <c r="S223" s="51">
        <f t="shared" si="119"/>
        <v>8</v>
      </c>
      <c r="T223" s="51">
        <f t="shared" si="119"/>
        <v>8</v>
      </c>
      <c r="U223" s="51">
        <f t="shared" si="119"/>
        <v>8</v>
      </c>
      <c r="V223" s="51">
        <f t="shared" si="119"/>
        <v>8</v>
      </c>
      <c r="W223" s="51">
        <f t="shared" si="119"/>
        <v>8</v>
      </c>
    </row>
    <row r="224" spans="1:23" ht="14.4" thickBot="1" x14ac:dyDescent="0.3">
      <c r="B224" s="56" t="s">
        <v>61</v>
      </c>
      <c r="D224" s="51">
        <f t="shared" si="118"/>
        <v>3.3</v>
      </c>
      <c r="E224" s="51">
        <f t="shared" si="118"/>
        <v>3.6</v>
      </c>
      <c r="F224" s="51">
        <f t="shared" si="118"/>
        <v>3.9</v>
      </c>
      <c r="G224" s="51">
        <f t="shared" si="118"/>
        <v>4.2</v>
      </c>
      <c r="H224" s="51">
        <f t="shared" si="118"/>
        <v>4.5</v>
      </c>
      <c r="I224" s="51">
        <f t="shared" si="118"/>
        <v>4.8</v>
      </c>
      <c r="J224" s="51">
        <f t="shared" si="118"/>
        <v>5.0999999999999996</v>
      </c>
      <c r="K224" s="51">
        <f t="shared" si="118"/>
        <v>5.4</v>
      </c>
      <c r="L224" s="51">
        <f t="shared" si="118"/>
        <v>5.6999999999999993</v>
      </c>
      <c r="M224" s="51">
        <f t="shared" si="118"/>
        <v>6</v>
      </c>
      <c r="N224" s="51">
        <f t="shared" si="119"/>
        <v>6</v>
      </c>
      <c r="O224" s="51">
        <f t="shared" si="119"/>
        <v>6</v>
      </c>
      <c r="P224" s="51">
        <f t="shared" si="119"/>
        <v>6</v>
      </c>
      <c r="Q224" s="51">
        <f t="shared" si="119"/>
        <v>6</v>
      </c>
      <c r="R224" s="51">
        <f t="shared" si="119"/>
        <v>6</v>
      </c>
      <c r="S224" s="51">
        <f t="shared" si="119"/>
        <v>6</v>
      </c>
      <c r="T224" s="51">
        <f t="shared" si="119"/>
        <v>6</v>
      </c>
      <c r="U224" s="51">
        <f t="shared" si="119"/>
        <v>6</v>
      </c>
      <c r="V224" s="51">
        <f t="shared" si="119"/>
        <v>6</v>
      </c>
      <c r="W224" s="51">
        <f t="shared" si="119"/>
        <v>6</v>
      </c>
    </row>
    <row r="226" spans="1:23" x14ac:dyDescent="0.25">
      <c r="D226" s="115">
        <f>SUM(D217:D224)</f>
        <v>42.699999999999996</v>
      </c>
      <c r="E226" s="115">
        <f t="shared" ref="E226:W226" si="120">SUM(E217:E224)</f>
        <v>47.4</v>
      </c>
      <c r="F226" s="115">
        <f t="shared" si="120"/>
        <v>52.1</v>
      </c>
      <c r="G226" s="115">
        <f t="shared" si="120"/>
        <v>56.800000000000004</v>
      </c>
      <c r="H226" s="115">
        <f t="shared" si="120"/>
        <v>61.5</v>
      </c>
      <c r="I226" s="115">
        <f t="shared" si="120"/>
        <v>66.2</v>
      </c>
      <c r="J226" s="115">
        <f t="shared" si="120"/>
        <v>70.899999999999977</v>
      </c>
      <c r="K226" s="115">
        <f t="shared" si="120"/>
        <v>75.599999999999994</v>
      </c>
      <c r="L226" s="115">
        <f t="shared" si="120"/>
        <v>80.3</v>
      </c>
      <c r="M226" s="116">
        <f t="shared" si="120"/>
        <v>85</v>
      </c>
      <c r="N226" s="115">
        <f t="shared" si="120"/>
        <v>85</v>
      </c>
      <c r="O226" s="115">
        <f t="shared" si="120"/>
        <v>85</v>
      </c>
      <c r="P226" s="115">
        <f t="shared" si="120"/>
        <v>85</v>
      </c>
      <c r="Q226" s="115">
        <f t="shared" si="120"/>
        <v>85</v>
      </c>
      <c r="R226" s="115">
        <f t="shared" si="120"/>
        <v>85</v>
      </c>
      <c r="S226" s="115">
        <f t="shared" si="120"/>
        <v>85</v>
      </c>
      <c r="T226" s="115">
        <f t="shared" si="120"/>
        <v>85</v>
      </c>
      <c r="U226" s="115">
        <f t="shared" si="120"/>
        <v>85</v>
      </c>
      <c r="V226" s="115">
        <f t="shared" si="120"/>
        <v>85</v>
      </c>
      <c r="W226" s="115">
        <f t="shared" si="120"/>
        <v>85</v>
      </c>
    </row>
    <row r="228" spans="1:23" ht="14.4" thickBot="1" x14ac:dyDescent="0.3">
      <c r="B228" s="3" t="s">
        <v>7</v>
      </c>
    </row>
    <row r="229" spans="1:23" x14ac:dyDescent="0.25">
      <c r="B229" s="75" t="s">
        <v>102</v>
      </c>
      <c r="D229" s="95">
        <v>2021</v>
      </c>
      <c r="E229" s="95">
        <v>2022</v>
      </c>
      <c r="F229" s="95">
        <v>2023</v>
      </c>
      <c r="G229" s="95">
        <v>2024</v>
      </c>
      <c r="H229" s="95">
        <v>2025</v>
      </c>
      <c r="I229" s="95">
        <v>2026</v>
      </c>
      <c r="J229" s="95">
        <v>2027</v>
      </c>
      <c r="K229" s="95">
        <v>2028</v>
      </c>
      <c r="L229" s="95">
        <v>2029</v>
      </c>
      <c r="M229" s="95">
        <v>2030</v>
      </c>
      <c r="N229" s="95">
        <v>2031</v>
      </c>
      <c r="O229" s="95">
        <v>2032</v>
      </c>
      <c r="P229" s="95">
        <v>2033</v>
      </c>
      <c r="Q229" s="95">
        <v>2034</v>
      </c>
      <c r="R229" s="95">
        <v>2035</v>
      </c>
      <c r="S229" s="95">
        <v>2036</v>
      </c>
      <c r="T229" s="95">
        <v>2037</v>
      </c>
      <c r="U229" s="95">
        <v>2038</v>
      </c>
      <c r="V229" s="95">
        <v>2039</v>
      </c>
      <c r="W229" s="95">
        <v>2040</v>
      </c>
    </row>
    <row r="230" spans="1:23" x14ac:dyDescent="0.25">
      <c r="B230" s="50" t="s">
        <v>115</v>
      </c>
      <c r="D230" s="110">
        <f>SUM(D158:D204)</f>
        <v>42</v>
      </c>
      <c r="E230" s="110">
        <f t="shared" ref="E230:W230" si="121">SUM(E158:E204)</f>
        <v>38</v>
      </c>
      <c r="F230" s="110">
        <f t="shared" si="121"/>
        <v>32</v>
      </c>
      <c r="G230" s="110">
        <f t="shared" si="121"/>
        <v>29</v>
      </c>
      <c r="H230" s="110">
        <f t="shared" si="121"/>
        <v>24</v>
      </c>
      <c r="I230" s="110">
        <f t="shared" si="121"/>
        <v>20</v>
      </c>
      <c r="J230" s="110">
        <f t="shared" si="121"/>
        <v>17</v>
      </c>
      <c r="K230" s="110">
        <f t="shared" si="121"/>
        <v>15</v>
      </c>
      <c r="L230" s="110">
        <f t="shared" si="121"/>
        <v>15</v>
      </c>
      <c r="M230" s="110">
        <f t="shared" si="121"/>
        <v>15</v>
      </c>
      <c r="N230" s="110">
        <f t="shared" si="121"/>
        <v>13</v>
      </c>
      <c r="O230" s="110">
        <f t="shared" si="121"/>
        <v>13</v>
      </c>
      <c r="P230" s="110">
        <f t="shared" si="121"/>
        <v>13</v>
      </c>
      <c r="Q230" s="110">
        <f t="shared" si="121"/>
        <v>13</v>
      </c>
      <c r="R230" s="110">
        <f t="shared" si="121"/>
        <v>13</v>
      </c>
      <c r="S230" s="110">
        <f t="shared" si="121"/>
        <v>13</v>
      </c>
      <c r="T230" s="110">
        <f t="shared" si="121"/>
        <v>13</v>
      </c>
      <c r="U230" s="110">
        <f t="shared" si="121"/>
        <v>13</v>
      </c>
      <c r="V230" s="110">
        <f t="shared" si="121"/>
        <v>13</v>
      </c>
      <c r="W230" s="110">
        <f t="shared" si="121"/>
        <v>13</v>
      </c>
    </row>
    <row r="231" spans="1:23" x14ac:dyDescent="0.25">
      <c r="B231" s="50" t="s">
        <v>116</v>
      </c>
      <c r="D231" s="117">
        <f>SUM(D205:D212)</f>
        <v>4.7</v>
      </c>
      <c r="E231" s="117">
        <f t="shared" ref="E231:W231" si="122">SUM(E205:E212)</f>
        <v>12.4</v>
      </c>
      <c r="F231" s="117">
        <f t="shared" si="122"/>
        <v>22.1</v>
      </c>
      <c r="G231" s="117">
        <f t="shared" si="122"/>
        <v>28.799999999999997</v>
      </c>
      <c r="H231" s="117">
        <f t="shared" si="122"/>
        <v>38.5</v>
      </c>
      <c r="I231" s="117">
        <f t="shared" si="122"/>
        <v>47.2</v>
      </c>
      <c r="J231" s="117">
        <f t="shared" si="122"/>
        <v>54.900000000000006</v>
      </c>
      <c r="K231" s="117">
        <f t="shared" si="122"/>
        <v>61.599999999999994</v>
      </c>
      <c r="L231" s="117">
        <f t="shared" si="122"/>
        <v>66.3</v>
      </c>
      <c r="M231" s="117">
        <f t="shared" si="122"/>
        <v>71</v>
      </c>
      <c r="N231" s="117">
        <f t="shared" si="122"/>
        <v>73</v>
      </c>
      <c r="O231" s="117">
        <f t="shared" si="122"/>
        <v>73</v>
      </c>
      <c r="P231" s="117">
        <f t="shared" si="122"/>
        <v>73</v>
      </c>
      <c r="Q231" s="117">
        <f t="shared" si="122"/>
        <v>73</v>
      </c>
      <c r="R231" s="117">
        <f t="shared" si="122"/>
        <v>73</v>
      </c>
      <c r="S231" s="117">
        <f t="shared" si="122"/>
        <v>73</v>
      </c>
      <c r="T231" s="117">
        <f t="shared" si="122"/>
        <v>73</v>
      </c>
      <c r="U231" s="117">
        <f t="shared" si="122"/>
        <v>73</v>
      </c>
      <c r="V231" s="117">
        <f t="shared" si="122"/>
        <v>73</v>
      </c>
      <c r="W231" s="117">
        <f t="shared" si="122"/>
        <v>73</v>
      </c>
    </row>
    <row r="233" spans="1:23" ht="14.4" x14ac:dyDescent="0.3">
      <c r="A233" s="118" t="s">
        <v>155</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3B22-75F5-454B-AFD2-4420D36E43E8}">
  <sheetPr codeName="Sheet22">
    <tabColor rgb="FFFFFF00"/>
  </sheetPr>
  <dimension ref="A1:Z54"/>
  <sheetViews>
    <sheetView zoomScaleNormal="100" workbookViewId="0">
      <selection activeCell="C17" sqref="C17"/>
    </sheetView>
  </sheetViews>
  <sheetFormatPr defaultRowHeight="13.8" x14ac:dyDescent="0.25"/>
  <cols>
    <col min="1" max="1" width="21.6640625" style="3" customWidth="1"/>
    <col min="2" max="2" width="52.44140625" style="3" customWidth="1"/>
    <col min="3" max="3" width="8.88671875" style="3"/>
    <col min="4" max="23" width="9.44140625" style="104" customWidth="1"/>
    <col min="24" max="24" width="11.33203125" style="104" bestFit="1" customWidth="1"/>
    <col min="25" max="25" width="30.6640625" style="126" customWidth="1"/>
    <col min="26" max="16384" width="8.88671875" style="3"/>
  </cols>
  <sheetData>
    <row r="1" spans="1:26" s="12" customFormat="1" x14ac:dyDescent="0.25">
      <c r="A1" s="44" t="s">
        <v>32</v>
      </c>
      <c r="B1" s="44" t="s">
        <v>102</v>
      </c>
      <c r="C1" s="96" t="s">
        <v>88</v>
      </c>
      <c r="D1" s="97">
        <v>2021</v>
      </c>
      <c r="E1" s="98">
        <v>2022</v>
      </c>
      <c r="F1" s="97">
        <v>2023</v>
      </c>
      <c r="G1" s="98">
        <v>2024</v>
      </c>
      <c r="H1" s="97">
        <v>2025</v>
      </c>
      <c r="I1" s="98">
        <v>2026</v>
      </c>
      <c r="J1" s="97">
        <v>2027</v>
      </c>
      <c r="K1" s="98">
        <v>2028</v>
      </c>
      <c r="L1" s="97">
        <v>2029</v>
      </c>
      <c r="M1" s="98">
        <v>2030</v>
      </c>
      <c r="N1" s="97">
        <v>2031</v>
      </c>
      <c r="O1" s="98">
        <v>2032</v>
      </c>
      <c r="P1" s="97">
        <v>2033</v>
      </c>
      <c r="Q1" s="98">
        <v>2034</v>
      </c>
      <c r="R1" s="97">
        <v>2035</v>
      </c>
      <c r="S1" s="98">
        <v>2036</v>
      </c>
      <c r="T1" s="97">
        <v>2037</v>
      </c>
      <c r="U1" s="98">
        <v>2038</v>
      </c>
      <c r="V1" s="97">
        <v>2039</v>
      </c>
      <c r="W1" s="98">
        <v>2040</v>
      </c>
      <c r="X1" s="99"/>
      <c r="Y1" s="61" t="s">
        <v>223</v>
      </c>
    </row>
    <row r="2" spans="1:26" x14ac:dyDescent="0.25">
      <c r="A2" s="46" t="s">
        <v>63</v>
      </c>
      <c r="B2" s="47" t="s">
        <v>57</v>
      </c>
      <c r="C2" s="125"/>
      <c r="D2" s="120"/>
      <c r="E2" s="120"/>
      <c r="F2" s="120"/>
      <c r="G2" s="120"/>
      <c r="H2" s="120"/>
      <c r="I2" s="120"/>
      <c r="J2" s="120"/>
      <c r="K2" s="120"/>
      <c r="L2" s="120"/>
      <c r="M2" s="120"/>
      <c r="N2" s="120"/>
      <c r="O2" s="120"/>
      <c r="P2" s="120"/>
      <c r="Q2" s="120"/>
      <c r="R2" s="120"/>
      <c r="S2" s="120"/>
      <c r="T2" s="120"/>
      <c r="U2" s="120"/>
      <c r="V2" s="120"/>
      <c r="W2" s="120"/>
      <c r="X2" s="3"/>
    </row>
    <row r="3" spans="1:26" x14ac:dyDescent="0.25">
      <c r="A3" s="46" t="s">
        <v>33</v>
      </c>
      <c r="B3" s="47" t="s">
        <v>57</v>
      </c>
      <c r="C3" s="125" t="s">
        <v>89</v>
      </c>
      <c r="D3" s="120">
        <v>2249.4702694444441</v>
      </c>
      <c r="E3" s="120">
        <v>1189.7750000000001</v>
      </c>
      <c r="F3" s="120">
        <v>649.57638888888891</v>
      </c>
      <c r="G3" s="120">
        <v>1663.1641649999997</v>
      </c>
      <c r="H3" s="120">
        <v>1663.1641649999997</v>
      </c>
      <c r="I3" s="120">
        <v>1663.1641649999997</v>
      </c>
      <c r="J3" s="120">
        <v>1663.1641649999997</v>
      </c>
      <c r="K3" s="120">
        <v>1663.1641649999997</v>
      </c>
      <c r="L3" s="120">
        <v>1663.1641649999997</v>
      </c>
      <c r="M3" s="120">
        <v>1663.1641649999997</v>
      </c>
      <c r="N3" s="120">
        <v>1663.1641649999997</v>
      </c>
      <c r="O3" s="120">
        <v>1663.1641649999997</v>
      </c>
      <c r="P3" s="120">
        <v>1663.1641649999997</v>
      </c>
      <c r="Q3" s="120">
        <v>1663.1641649999997</v>
      </c>
      <c r="R3" s="120">
        <v>1663.1641649999997</v>
      </c>
      <c r="S3" s="120">
        <v>1663.1641649999997</v>
      </c>
      <c r="T3" s="120">
        <v>1663.1641649999997</v>
      </c>
      <c r="U3" s="120">
        <v>1663.1641649999997</v>
      </c>
      <c r="V3" s="120">
        <v>1663.1641649999997</v>
      </c>
      <c r="W3" s="120">
        <v>1663.1641649999997</v>
      </c>
      <c r="X3" s="103"/>
      <c r="Y3" s="173">
        <f>IFERROR(SUM(D3:W3)/COUNT(D3:W3),"-")</f>
        <v>1618.1306231666658</v>
      </c>
      <c r="Z3" s="127"/>
    </row>
    <row r="4" spans="1:26" x14ac:dyDescent="0.25">
      <c r="A4" s="46" t="s">
        <v>65</v>
      </c>
      <c r="B4" s="47" t="s">
        <v>57</v>
      </c>
      <c r="C4" s="125" t="s">
        <v>89</v>
      </c>
      <c r="D4" s="120">
        <v>1151.5091666666667</v>
      </c>
      <c r="E4" s="120">
        <v>1164.4527777777778</v>
      </c>
      <c r="F4" s="120">
        <v>862.00805555555553</v>
      </c>
      <c r="G4" s="120">
        <v>1093.0107777777775</v>
      </c>
      <c r="H4" s="120">
        <v>1093.0107777777775</v>
      </c>
      <c r="I4" s="120">
        <v>1093.0107777777775</v>
      </c>
      <c r="J4" s="120">
        <v>1093.0107777777775</v>
      </c>
      <c r="K4" s="120">
        <v>1093.0107777777775</v>
      </c>
      <c r="L4" s="120">
        <v>1093.0107777777775</v>
      </c>
      <c r="M4" s="120">
        <v>1093.0107777777775</v>
      </c>
      <c r="N4" s="120">
        <v>1093.0107777777775</v>
      </c>
      <c r="O4" s="120">
        <v>1093.0107777777775</v>
      </c>
      <c r="P4" s="120">
        <v>1093.0107777777775</v>
      </c>
      <c r="Q4" s="120">
        <v>1093.0107777777775</v>
      </c>
      <c r="R4" s="120">
        <v>1093.0107777777775</v>
      </c>
      <c r="S4" s="120">
        <v>1093.0107777777775</v>
      </c>
      <c r="T4" s="120">
        <v>1093.0107777777775</v>
      </c>
      <c r="U4" s="120">
        <v>1093.0107777777775</v>
      </c>
      <c r="V4" s="120">
        <v>1093.0107777777775</v>
      </c>
      <c r="W4" s="120">
        <v>1093.0107777777775</v>
      </c>
      <c r="X4" s="103"/>
      <c r="Y4" s="173">
        <f t="shared" ref="Y4:Y48" si="0">IFERROR(SUM(D4:W4)/COUNT(D4:W4),"-")</f>
        <v>1087.9576611111108</v>
      </c>
    </row>
    <row r="5" spans="1:26" x14ac:dyDescent="0.25">
      <c r="A5" s="46" t="s">
        <v>66</v>
      </c>
      <c r="B5" s="53" t="s">
        <v>64</v>
      </c>
      <c r="C5" s="125"/>
      <c r="D5" s="120"/>
      <c r="E5" s="120"/>
      <c r="F5" s="120"/>
      <c r="G5" s="120"/>
      <c r="H5" s="120"/>
      <c r="I5" s="120"/>
      <c r="J5" s="120"/>
      <c r="K5" s="120"/>
      <c r="L5" s="120"/>
      <c r="M5" s="120"/>
      <c r="N5" s="120"/>
      <c r="O5" s="120"/>
      <c r="P5" s="120"/>
      <c r="Q5" s="120"/>
      <c r="R5" s="120"/>
      <c r="S5" s="120"/>
      <c r="T5" s="120"/>
      <c r="U5" s="120"/>
      <c r="V5" s="120"/>
      <c r="W5" s="120"/>
      <c r="X5" s="3"/>
      <c r="Y5" s="173" t="str">
        <f t="shared" si="0"/>
        <v>-</v>
      </c>
    </row>
    <row r="6" spans="1:26" x14ac:dyDescent="0.25">
      <c r="A6" s="46" t="s">
        <v>67</v>
      </c>
      <c r="B6" s="54" t="s">
        <v>58</v>
      </c>
      <c r="C6" s="125" t="s">
        <v>89</v>
      </c>
      <c r="D6" s="120">
        <v>30.559216666666664</v>
      </c>
      <c r="E6" s="120">
        <v>69.774163888888879</v>
      </c>
      <c r="F6" s="120">
        <v>18.289311111111111</v>
      </c>
      <c r="G6" s="120">
        <v>35.440637222222215</v>
      </c>
      <c r="H6" s="120">
        <v>35.440637222222215</v>
      </c>
      <c r="I6" s="120">
        <v>35.440637222222215</v>
      </c>
      <c r="J6" s="120">
        <v>35.440637222222215</v>
      </c>
      <c r="K6" s="120">
        <v>35.440637222222215</v>
      </c>
      <c r="L6" s="120">
        <v>35.440637222222215</v>
      </c>
      <c r="M6" s="120">
        <v>35.440637222222215</v>
      </c>
      <c r="N6" s="120">
        <v>35.440637222222215</v>
      </c>
      <c r="O6" s="120">
        <v>35.440637222222215</v>
      </c>
      <c r="P6" s="120">
        <v>35.440637222222215</v>
      </c>
      <c r="Q6" s="120">
        <v>35.440637222222215</v>
      </c>
      <c r="R6" s="120">
        <v>35.440637222222215</v>
      </c>
      <c r="S6" s="120">
        <v>35.440637222222215</v>
      </c>
      <c r="T6" s="120">
        <v>35.440637222222215</v>
      </c>
      <c r="U6" s="120">
        <v>35.440637222222215</v>
      </c>
      <c r="V6" s="120">
        <v>35.440637222222215</v>
      </c>
      <c r="W6" s="120">
        <v>35.440637222222215</v>
      </c>
      <c r="X6" s="3"/>
      <c r="Y6" s="173">
        <f t="shared" si="0"/>
        <v>36.055676222222218</v>
      </c>
    </row>
    <row r="7" spans="1:26" x14ac:dyDescent="0.25">
      <c r="A7" s="46" t="s">
        <v>68</v>
      </c>
      <c r="B7" s="47" t="s">
        <v>57</v>
      </c>
      <c r="C7" s="125" t="s">
        <v>89</v>
      </c>
      <c r="D7" s="120">
        <v>667.42555555555555</v>
      </c>
      <c r="E7" s="120">
        <v>707.53916666666669</v>
      </c>
      <c r="F7" s="120">
        <v>608.43833333333339</v>
      </c>
      <c r="G7" s="120">
        <v>671.11811111111115</v>
      </c>
      <c r="H7" s="120">
        <v>671.11811111111115</v>
      </c>
      <c r="I7" s="120">
        <v>671.11811111111115</v>
      </c>
      <c r="J7" s="120">
        <v>671.11811111111115</v>
      </c>
      <c r="K7" s="120">
        <v>671.11811111111115</v>
      </c>
      <c r="L7" s="120">
        <v>671.11811111111115</v>
      </c>
      <c r="M7" s="120">
        <v>671.11811111111115</v>
      </c>
      <c r="N7" s="120">
        <v>671.11811111111115</v>
      </c>
      <c r="O7" s="120">
        <v>671.11811111111115</v>
      </c>
      <c r="P7" s="120">
        <v>671.11811111111115</v>
      </c>
      <c r="Q7" s="120">
        <v>671.11811111111115</v>
      </c>
      <c r="R7" s="120">
        <v>671.11811111111115</v>
      </c>
      <c r="S7" s="120">
        <v>671.11811111111115</v>
      </c>
      <c r="T7" s="120">
        <v>671.11811111111115</v>
      </c>
      <c r="U7" s="120">
        <v>671.11811111111115</v>
      </c>
      <c r="V7" s="120">
        <v>671.11811111111115</v>
      </c>
      <c r="W7" s="120">
        <v>671.11811111111115</v>
      </c>
      <c r="X7" s="3"/>
      <c r="Y7" s="173">
        <f t="shared" si="0"/>
        <v>669.62054722222206</v>
      </c>
    </row>
    <row r="8" spans="1:26" x14ac:dyDescent="0.25">
      <c r="A8" s="46" t="s">
        <v>34</v>
      </c>
      <c r="B8" s="55" t="s">
        <v>64</v>
      </c>
      <c r="C8" s="125" t="s">
        <v>89</v>
      </c>
      <c r="D8" s="120">
        <v>508.14004722222222</v>
      </c>
      <c r="E8" s="120">
        <v>377.5913888888889</v>
      </c>
      <c r="F8" s="120">
        <v>307.24861111111113</v>
      </c>
      <c r="G8" s="120">
        <v>392.20349666666669</v>
      </c>
      <c r="H8" s="120">
        <v>392.20349666666669</v>
      </c>
      <c r="I8" s="120">
        <v>392.20349666666669</v>
      </c>
      <c r="J8" s="120">
        <v>392.20349666666669</v>
      </c>
      <c r="K8" s="120">
        <v>392.20349666666669</v>
      </c>
      <c r="L8" s="120">
        <v>392.20349666666669</v>
      </c>
      <c r="M8" s="120">
        <v>392.20349666666669</v>
      </c>
      <c r="N8" s="120">
        <v>392.20349666666669</v>
      </c>
      <c r="O8" s="120">
        <v>392.20349666666669</v>
      </c>
      <c r="P8" s="120">
        <v>392.20349666666669</v>
      </c>
      <c r="Q8" s="120">
        <v>392.20349666666669</v>
      </c>
      <c r="R8" s="120">
        <v>392.20349666666669</v>
      </c>
      <c r="S8" s="120">
        <v>392.20349666666669</v>
      </c>
      <c r="T8" s="120">
        <v>392.20349666666669</v>
      </c>
      <c r="U8" s="120">
        <v>392.20349666666669</v>
      </c>
      <c r="V8" s="120">
        <v>392.20349666666669</v>
      </c>
      <c r="W8" s="120">
        <v>392.20349666666669</v>
      </c>
      <c r="X8" s="3"/>
      <c r="Y8" s="173">
        <f t="shared" si="0"/>
        <v>393.0219745277779</v>
      </c>
    </row>
    <row r="9" spans="1:26" x14ac:dyDescent="0.25">
      <c r="A9" s="46" t="s">
        <v>69</v>
      </c>
      <c r="B9" s="47" t="s">
        <v>57</v>
      </c>
      <c r="C9" s="125"/>
      <c r="D9" s="120"/>
      <c r="E9" s="120"/>
      <c r="F9" s="120"/>
      <c r="G9" s="120"/>
      <c r="H9" s="120"/>
      <c r="I9" s="120"/>
      <c r="J9" s="120"/>
      <c r="K9" s="120"/>
      <c r="L9" s="120"/>
      <c r="M9" s="120"/>
      <c r="N9" s="120"/>
      <c r="O9" s="120"/>
      <c r="P9" s="120"/>
      <c r="Q9" s="120"/>
      <c r="R9" s="120"/>
      <c r="S9" s="120"/>
      <c r="T9" s="120"/>
      <c r="U9" s="120"/>
      <c r="V9" s="120"/>
      <c r="W9" s="120"/>
      <c r="X9" s="3"/>
      <c r="Y9" s="173" t="str">
        <f t="shared" si="0"/>
        <v>-</v>
      </c>
    </row>
    <row r="10" spans="1:26" x14ac:dyDescent="0.25">
      <c r="A10" s="46" t="s">
        <v>70</v>
      </c>
      <c r="B10" s="54" t="s">
        <v>59</v>
      </c>
      <c r="C10" s="125" t="s">
        <v>89</v>
      </c>
      <c r="D10" s="120">
        <v>1178.5658305555555</v>
      </c>
      <c r="E10" s="120">
        <v>779.39891388888896</v>
      </c>
      <c r="F10" s="120">
        <v>4.2386111111111111</v>
      </c>
      <c r="G10" s="120">
        <v>871.54136999999992</v>
      </c>
      <c r="H10" s="120">
        <v>871.54136999999992</v>
      </c>
      <c r="I10" s="120">
        <v>871.54136999999992</v>
      </c>
      <c r="J10" s="120">
        <v>871.54136999999992</v>
      </c>
      <c r="K10" s="120">
        <v>871.54136999999992</v>
      </c>
      <c r="L10" s="120">
        <v>871.54136999999992</v>
      </c>
      <c r="M10" s="120">
        <v>871.54136999999992</v>
      </c>
      <c r="N10" s="120">
        <v>871.54136999999992</v>
      </c>
      <c r="O10" s="120">
        <v>871.54136999999992</v>
      </c>
      <c r="P10" s="120">
        <v>871.54136999999992</v>
      </c>
      <c r="Q10" s="120">
        <v>871.54136999999992</v>
      </c>
      <c r="R10" s="120">
        <v>871.54136999999992</v>
      </c>
      <c r="S10" s="120">
        <v>871.54136999999992</v>
      </c>
      <c r="T10" s="120">
        <v>871.54136999999992</v>
      </c>
      <c r="U10" s="120">
        <v>871.54136999999992</v>
      </c>
      <c r="V10" s="120">
        <v>871.54136999999992</v>
      </c>
      <c r="W10" s="120">
        <v>871.54136999999992</v>
      </c>
      <c r="X10" s="3"/>
      <c r="Y10" s="173">
        <f t="shared" si="0"/>
        <v>838.92033227777733</v>
      </c>
    </row>
    <row r="11" spans="1:26" x14ac:dyDescent="0.25">
      <c r="A11" s="46" t="s">
        <v>71</v>
      </c>
      <c r="B11" s="54" t="s">
        <v>58</v>
      </c>
      <c r="C11" s="125"/>
      <c r="D11" s="120"/>
      <c r="E11" s="120"/>
      <c r="F11" s="120"/>
      <c r="G11" s="120"/>
      <c r="H11" s="120"/>
      <c r="I11" s="120"/>
      <c r="J11" s="120"/>
      <c r="K11" s="120"/>
      <c r="L11" s="120"/>
      <c r="M11" s="120"/>
      <c r="N11" s="120"/>
      <c r="O11" s="120"/>
      <c r="P11" s="120"/>
      <c r="Q11" s="120"/>
      <c r="R11" s="120"/>
      <c r="S11" s="120"/>
      <c r="T11" s="120"/>
      <c r="U11" s="120"/>
      <c r="V11" s="120"/>
      <c r="W11" s="120"/>
      <c r="X11" s="3"/>
      <c r="Y11" s="173" t="str">
        <f t="shared" si="0"/>
        <v>-</v>
      </c>
    </row>
    <row r="12" spans="1:26" x14ac:dyDescent="0.25">
      <c r="A12" s="46" t="s">
        <v>72</v>
      </c>
      <c r="B12" s="53" t="s">
        <v>59</v>
      </c>
      <c r="C12" s="125"/>
      <c r="D12" s="120"/>
      <c r="E12" s="120"/>
      <c r="F12" s="120"/>
      <c r="G12" s="120"/>
      <c r="H12" s="120"/>
      <c r="I12" s="120"/>
      <c r="J12" s="120"/>
      <c r="K12" s="120"/>
      <c r="L12" s="120"/>
      <c r="M12" s="120"/>
      <c r="N12" s="120"/>
      <c r="O12" s="120"/>
      <c r="P12" s="120"/>
      <c r="Q12" s="120"/>
      <c r="R12" s="120"/>
      <c r="S12" s="120"/>
      <c r="T12" s="120"/>
      <c r="U12" s="120"/>
      <c r="V12" s="120"/>
      <c r="W12" s="120"/>
      <c r="X12" s="3"/>
      <c r="Y12" s="173" t="str">
        <f t="shared" si="0"/>
        <v>-</v>
      </c>
    </row>
    <row r="13" spans="1:26" x14ac:dyDescent="0.25">
      <c r="A13" s="46" t="s">
        <v>82</v>
      </c>
      <c r="B13" s="55" t="s">
        <v>64</v>
      </c>
      <c r="C13" s="125"/>
      <c r="D13" s="120"/>
      <c r="E13" s="120"/>
      <c r="F13" s="120"/>
      <c r="G13" s="120"/>
      <c r="H13" s="120"/>
      <c r="I13" s="120"/>
      <c r="J13" s="120"/>
      <c r="K13" s="120"/>
      <c r="L13" s="120"/>
      <c r="M13" s="120"/>
      <c r="N13" s="120"/>
      <c r="O13" s="120"/>
      <c r="P13" s="120"/>
      <c r="Q13" s="120"/>
      <c r="R13" s="120"/>
      <c r="S13" s="120"/>
      <c r="T13" s="120"/>
      <c r="U13" s="120"/>
      <c r="V13" s="120"/>
      <c r="W13" s="120"/>
      <c r="X13" s="3"/>
      <c r="Y13" s="173" t="str">
        <f t="shared" si="0"/>
        <v>-</v>
      </c>
    </row>
    <row r="14" spans="1:26" x14ac:dyDescent="0.25">
      <c r="A14" s="46" t="s">
        <v>35</v>
      </c>
      <c r="B14" s="47" t="s">
        <v>57</v>
      </c>
      <c r="C14" s="125" t="s">
        <v>89</v>
      </c>
      <c r="D14" s="120">
        <v>851.36055555555549</v>
      </c>
      <c r="E14" s="120">
        <v>921.41561944444436</v>
      </c>
      <c r="F14" s="120">
        <v>793.34499999999991</v>
      </c>
      <c r="G14" s="120">
        <v>796.60534611111109</v>
      </c>
      <c r="H14" s="120">
        <v>796.60534611111109</v>
      </c>
      <c r="I14" s="120">
        <v>796.60534611111109</v>
      </c>
      <c r="J14" s="120">
        <v>796.60534611111109</v>
      </c>
      <c r="K14" s="120">
        <v>796.60534611111109</v>
      </c>
      <c r="L14" s="120">
        <v>796.60534611111109</v>
      </c>
      <c r="M14" s="120">
        <v>796.60534611111109</v>
      </c>
      <c r="N14" s="120">
        <v>796.60534611111109</v>
      </c>
      <c r="O14" s="120">
        <v>796.60534611111109</v>
      </c>
      <c r="P14" s="120">
        <v>796.60534611111109</v>
      </c>
      <c r="Q14" s="120">
        <v>796.60534611111109</v>
      </c>
      <c r="R14" s="120">
        <v>796.60534611111109</v>
      </c>
      <c r="S14" s="120">
        <v>796.60534611111109</v>
      </c>
      <c r="T14" s="120">
        <v>796.60534611111109</v>
      </c>
      <c r="U14" s="120">
        <v>796.60534611111109</v>
      </c>
      <c r="V14" s="120">
        <v>796.60534611111109</v>
      </c>
      <c r="W14" s="120">
        <v>796.60534611111109</v>
      </c>
      <c r="X14" s="3"/>
      <c r="Y14" s="173">
        <f t="shared" si="0"/>
        <v>805.42060294444468</v>
      </c>
    </row>
    <row r="15" spans="1:26" x14ac:dyDescent="0.25">
      <c r="A15" s="59" t="s">
        <v>83</v>
      </c>
      <c r="B15" s="47" t="s">
        <v>56</v>
      </c>
      <c r="C15" s="125"/>
      <c r="D15" s="120"/>
      <c r="E15" s="120"/>
      <c r="F15" s="120"/>
      <c r="G15" s="120"/>
      <c r="H15" s="120"/>
      <c r="I15" s="120"/>
      <c r="J15" s="120"/>
      <c r="K15" s="120"/>
      <c r="L15" s="120"/>
      <c r="M15" s="120"/>
      <c r="N15" s="120"/>
      <c r="O15" s="120"/>
      <c r="P15" s="120"/>
      <c r="Q15" s="120"/>
      <c r="R15" s="120"/>
      <c r="S15" s="120"/>
      <c r="T15" s="120"/>
      <c r="U15" s="120"/>
      <c r="V15" s="120"/>
      <c r="W15" s="120"/>
      <c r="X15" s="3"/>
      <c r="Y15" s="173" t="str">
        <f t="shared" si="0"/>
        <v>-</v>
      </c>
    </row>
    <row r="16" spans="1:26" x14ac:dyDescent="0.25">
      <c r="A16" s="59" t="s">
        <v>84</v>
      </c>
      <c r="B16" s="47" t="s">
        <v>56</v>
      </c>
      <c r="C16" s="125"/>
      <c r="D16" s="120"/>
      <c r="E16" s="120"/>
      <c r="F16" s="120"/>
      <c r="G16" s="120"/>
      <c r="H16" s="120"/>
      <c r="I16" s="120"/>
      <c r="J16" s="120"/>
      <c r="K16" s="120"/>
      <c r="L16" s="120"/>
      <c r="M16" s="120"/>
      <c r="N16" s="120"/>
      <c r="O16" s="120"/>
      <c r="P16" s="120"/>
      <c r="Q16" s="120"/>
      <c r="R16" s="120"/>
      <c r="S16" s="120"/>
      <c r="T16" s="120"/>
      <c r="U16" s="120"/>
      <c r="V16" s="120"/>
      <c r="W16" s="120"/>
      <c r="X16" s="3"/>
      <c r="Y16" s="173" t="str">
        <f t="shared" si="0"/>
        <v>-</v>
      </c>
    </row>
    <row r="17" spans="1:25" x14ac:dyDescent="0.25">
      <c r="A17" s="59" t="s">
        <v>85</v>
      </c>
      <c r="B17" s="47" t="s">
        <v>56</v>
      </c>
      <c r="C17" s="125"/>
      <c r="D17" s="120"/>
      <c r="E17" s="120"/>
      <c r="F17" s="120"/>
      <c r="G17" s="120"/>
      <c r="H17" s="120"/>
      <c r="I17" s="120"/>
      <c r="J17" s="120"/>
      <c r="K17" s="120"/>
      <c r="L17" s="120"/>
      <c r="M17" s="120"/>
      <c r="N17" s="120"/>
      <c r="O17" s="120"/>
      <c r="P17" s="120"/>
      <c r="Q17" s="120"/>
      <c r="R17" s="120"/>
      <c r="S17" s="120"/>
      <c r="T17" s="120"/>
      <c r="U17" s="120"/>
      <c r="V17" s="120"/>
      <c r="W17" s="120"/>
      <c r="X17" s="3"/>
      <c r="Y17" s="173" t="str">
        <f t="shared" si="0"/>
        <v>-</v>
      </c>
    </row>
    <row r="18" spans="1:25" x14ac:dyDescent="0.25">
      <c r="A18" s="59" t="s">
        <v>86</v>
      </c>
      <c r="B18" s="47" t="s">
        <v>56</v>
      </c>
      <c r="C18" s="125"/>
      <c r="D18" s="120"/>
      <c r="E18" s="120"/>
      <c r="F18" s="120"/>
      <c r="G18" s="120"/>
      <c r="H18" s="120"/>
      <c r="I18" s="120"/>
      <c r="J18" s="120"/>
      <c r="K18" s="120"/>
      <c r="L18" s="120"/>
      <c r="M18" s="120"/>
      <c r="N18" s="120"/>
      <c r="O18" s="120"/>
      <c r="P18" s="120"/>
      <c r="Q18" s="120"/>
      <c r="R18" s="120"/>
      <c r="S18" s="120"/>
      <c r="T18" s="120"/>
      <c r="U18" s="120"/>
      <c r="V18" s="120"/>
      <c r="W18" s="120"/>
      <c r="X18" s="3"/>
      <c r="Y18" s="173" t="str">
        <f t="shared" si="0"/>
        <v>-</v>
      </c>
    </row>
    <row r="19" spans="1:25" x14ac:dyDescent="0.25">
      <c r="A19" s="46" t="s">
        <v>36</v>
      </c>
      <c r="B19" s="47" t="s">
        <v>57</v>
      </c>
      <c r="C19" s="125" t="s">
        <v>89</v>
      </c>
      <c r="D19" s="121">
        <v>3121.1464916666664</v>
      </c>
      <c r="E19" s="121">
        <v>3157.8943527777778</v>
      </c>
      <c r="F19" s="121">
        <v>2937.5030555555554</v>
      </c>
      <c r="G19" s="121">
        <v>3137.9728877777775</v>
      </c>
      <c r="H19" s="121">
        <v>3137.9728877777775</v>
      </c>
      <c r="I19" s="121">
        <v>3137.9728877777775</v>
      </c>
      <c r="J19" s="121">
        <v>3137.9728877777775</v>
      </c>
      <c r="K19" s="121">
        <v>3137.9728877777775</v>
      </c>
      <c r="L19" s="121">
        <v>3137.9728877777775</v>
      </c>
      <c r="M19" s="121">
        <v>3137.9728877777775</v>
      </c>
      <c r="N19" s="121">
        <v>3137.9728877777775</v>
      </c>
      <c r="O19" s="121">
        <v>3137.9728877777775</v>
      </c>
      <c r="P19" s="121">
        <v>3137.9728877777775</v>
      </c>
      <c r="Q19" s="121">
        <v>3137.9728877777775</v>
      </c>
      <c r="R19" s="121">
        <v>3137.9728877777775</v>
      </c>
      <c r="S19" s="121">
        <v>3137.9728877777775</v>
      </c>
      <c r="T19" s="121">
        <v>3137.9728877777775</v>
      </c>
      <c r="U19" s="121">
        <v>3137.9728877777775</v>
      </c>
      <c r="V19" s="121">
        <v>3137.9728877777775</v>
      </c>
      <c r="W19" s="121">
        <v>3137.9728877777775</v>
      </c>
      <c r="X19" s="3"/>
      <c r="Y19" s="173">
        <f t="shared" si="0"/>
        <v>3128.1041496111093</v>
      </c>
    </row>
    <row r="20" spans="1:25" x14ac:dyDescent="0.25">
      <c r="A20" s="46" t="s">
        <v>37</v>
      </c>
      <c r="B20" s="47" t="s">
        <v>57</v>
      </c>
      <c r="C20" s="125" t="s">
        <v>89</v>
      </c>
      <c r="D20" s="121">
        <v>3653.0924999999997</v>
      </c>
      <c r="E20" s="121">
        <v>3468.0533333333337</v>
      </c>
      <c r="F20" s="121">
        <v>3224.0014777777778</v>
      </c>
      <c r="G20" s="121">
        <v>3454.7784394444448</v>
      </c>
      <c r="H20" s="121">
        <v>3454.7784394444448</v>
      </c>
      <c r="I20" s="121">
        <v>3454.7784394444448</v>
      </c>
      <c r="J20" s="121">
        <v>3454.7784394444448</v>
      </c>
      <c r="K20" s="121">
        <v>3454.7784394444448</v>
      </c>
      <c r="L20" s="121">
        <v>3454.7784394444448</v>
      </c>
      <c r="M20" s="121">
        <v>3454.7784394444448</v>
      </c>
      <c r="N20" s="121">
        <v>3454.7784394444448</v>
      </c>
      <c r="O20" s="121">
        <v>3454.7784394444448</v>
      </c>
      <c r="P20" s="121">
        <v>3454.7784394444448</v>
      </c>
      <c r="Q20" s="121">
        <v>3454.7784394444448</v>
      </c>
      <c r="R20" s="121">
        <v>3454.7784394444448</v>
      </c>
      <c r="S20" s="121">
        <v>3454.7784394444448</v>
      </c>
      <c r="T20" s="121">
        <v>3454.7784394444448</v>
      </c>
      <c r="U20" s="121">
        <v>3454.7784394444448</v>
      </c>
      <c r="V20" s="121">
        <v>3454.7784394444448</v>
      </c>
      <c r="W20" s="121">
        <v>3454.7784394444448</v>
      </c>
      <c r="X20" s="3"/>
      <c r="Y20" s="173">
        <f t="shared" si="0"/>
        <v>3453.8190390833342</v>
      </c>
    </row>
    <row r="21" spans="1:25" x14ac:dyDescent="0.25">
      <c r="A21" s="46" t="s">
        <v>40</v>
      </c>
      <c r="B21" s="60" t="s">
        <v>58</v>
      </c>
      <c r="C21" s="125"/>
      <c r="D21" s="120"/>
      <c r="E21" s="120"/>
      <c r="F21" s="120"/>
      <c r="G21" s="120"/>
      <c r="H21" s="120"/>
      <c r="I21" s="120"/>
      <c r="J21" s="120"/>
      <c r="K21" s="120"/>
      <c r="L21" s="120"/>
      <c r="M21" s="120"/>
      <c r="N21" s="120"/>
      <c r="O21" s="120"/>
      <c r="P21" s="120"/>
      <c r="Q21" s="120"/>
      <c r="R21" s="120"/>
      <c r="S21" s="120"/>
      <c r="T21" s="120"/>
      <c r="U21" s="120"/>
      <c r="V21" s="120"/>
      <c r="W21" s="120"/>
      <c r="X21" s="3"/>
      <c r="Y21" s="173" t="str">
        <f t="shared" si="0"/>
        <v>-</v>
      </c>
    </row>
    <row r="22" spans="1:25" x14ac:dyDescent="0.25">
      <c r="A22" s="46" t="s">
        <v>73</v>
      </c>
      <c r="B22" s="47" t="s">
        <v>57</v>
      </c>
      <c r="C22" s="125"/>
      <c r="D22" s="120"/>
      <c r="E22" s="120"/>
      <c r="F22" s="120"/>
      <c r="G22" s="120"/>
      <c r="H22" s="120"/>
      <c r="I22" s="120"/>
      <c r="J22" s="120"/>
      <c r="K22" s="120"/>
      <c r="L22" s="120"/>
      <c r="M22" s="120"/>
      <c r="N22" s="120"/>
      <c r="O22" s="120"/>
      <c r="P22" s="120"/>
      <c r="Q22" s="120"/>
      <c r="R22" s="120"/>
      <c r="S22" s="120"/>
      <c r="T22" s="120"/>
      <c r="U22" s="120"/>
      <c r="V22" s="120"/>
      <c r="W22" s="120"/>
      <c r="X22" s="3"/>
      <c r="Y22" s="173" t="str">
        <f t="shared" si="0"/>
        <v>-</v>
      </c>
    </row>
    <row r="23" spans="1:25" x14ac:dyDescent="0.25">
      <c r="A23" s="46" t="s">
        <v>38</v>
      </c>
      <c r="B23" s="47" t="s">
        <v>57</v>
      </c>
      <c r="C23" s="125" t="s">
        <v>89</v>
      </c>
      <c r="D23" s="120">
        <v>21.986611111111113</v>
      </c>
      <c r="E23" s="120">
        <v>1.1333333333333333</v>
      </c>
      <c r="F23" s="120">
        <v>3.7333333333333334</v>
      </c>
      <c r="G23" s="120">
        <v>23.303841111111115</v>
      </c>
      <c r="H23" s="120">
        <v>23.303841111111115</v>
      </c>
      <c r="I23" s="120">
        <v>23.303841111111115</v>
      </c>
      <c r="J23" s="120">
        <v>23.303841111111115</v>
      </c>
      <c r="K23" s="120">
        <v>23.303841111111115</v>
      </c>
      <c r="L23" s="120">
        <v>23.303841111111115</v>
      </c>
      <c r="M23" s="120">
        <v>23.303841111111115</v>
      </c>
      <c r="N23" s="120">
        <v>23.303841111111115</v>
      </c>
      <c r="O23" s="120">
        <v>23.303841111111115</v>
      </c>
      <c r="P23" s="120">
        <v>23.303841111111115</v>
      </c>
      <c r="Q23" s="120">
        <v>23.303841111111115</v>
      </c>
      <c r="R23" s="120">
        <v>23.303841111111115</v>
      </c>
      <c r="S23" s="120">
        <v>23.303841111111115</v>
      </c>
      <c r="T23" s="120">
        <v>23.303841111111115</v>
      </c>
      <c r="U23" s="120">
        <v>23.303841111111115</v>
      </c>
      <c r="V23" s="120">
        <v>23.303841111111115</v>
      </c>
      <c r="W23" s="120">
        <v>23.303841111111115</v>
      </c>
      <c r="X23" s="3"/>
      <c r="Y23" s="173">
        <f t="shared" si="0"/>
        <v>21.150928833333342</v>
      </c>
    </row>
    <row r="24" spans="1:25" s="81" customFormat="1" x14ac:dyDescent="0.25">
      <c r="A24" s="122" t="s">
        <v>39</v>
      </c>
      <c r="B24" s="123" t="s">
        <v>59</v>
      </c>
      <c r="C24" s="125" t="s">
        <v>89</v>
      </c>
      <c r="D24" s="124">
        <v>7757.52</v>
      </c>
      <c r="E24" s="124">
        <v>7884.0724999999993</v>
      </c>
      <c r="F24" s="124">
        <v>7411.0455555555554</v>
      </c>
      <c r="G24" s="124">
        <v>7749.4853583333334</v>
      </c>
      <c r="H24" s="124">
        <v>7749.4853583333334</v>
      </c>
      <c r="I24" s="124">
        <v>7749.4853583333334</v>
      </c>
      <c r="J24" s="124">
        <v>7749.4853583333334</v>
      </c>
      <c r="K24" s="124">
        <v>7749.4853583333334</v>
      </c>
      <c r="L24" s="124">
        <v>7749.4853583333334</v>
      </c>
      <c r="M24" s="124">
        <v>7749.4853583333334</v>
      </c>
      <c r="N24" s="124">
        <v>7749.4853583333334</v>
      </c>
      <c r="O24" s="124">
        <v>7749.4853583333334</v>
      </c>
      <c r="P24" s="124">
        <v>7749.4853583333334</v>
      </c>
      <c r="Q24" s="124">
        <v>7749.4853583333334</v>
      </c>
      <c r="R24" s="124">
        <v>7749.4853583333334</v>
      </c>
      <c r="S24" s="124">
        <v>7749.4853583333334</v>
      </c>
      <c r="T24" s="124">
        <v>7749.4853583333334</v>
      </c>
      <c r="U24" s="124">
        <v>7749.4853583333334</v>
      </c>
      <c r="V24" s="124">
        <v>7749.4853583333334</v>
      </c>
      <c r="W24" s="124">
        <v>7749.4853583333334</v>
      </c>
      <c r="X24" s="3"/>
      <c r="Y24" s="173">
        <f t="shared" si="0"/>
        <v>7739.6944573611108</v>
      </c>
    </row>
    <row r="25" spans="1:25" x14ac:dyDescent="0.25">
      <c r="A25" s="46" t="s">
        <v>41</v>
      </c>
      <c r="B25" s="47" t="s">
        <v>60</v>
      </c>
      <c r="C25" s="125"/>
      <c r="D25" s="120"/>
      <c r="E25" s="120"/>
      <c r="F25" s="120"/>
      <c r="G25" s="120"/>
      <c r="H25" s="120"/>
      <c r="I25" s="120"/>
      <c r="J25" s="120"/>
      <c r="K25" s="120"/>
      <c r="L25" s="120"/>
      <c r="M25" s="120"/>
      <c r="N25" s="120"/>
      <c r="O25" s="120"/>
      <c r="P25" s="120"/>
      <c r="Q25" s="120"/>
      <c r="R25" s="120"/>
      <c r="S25" s="120"/>
      <c r="T25" s="120"/>
      <c r="U25" s="120"/>
      <c r="V25" s="120"/>
      <c r="W25" s="120"/>
      <c r="X25" s="3"/>
      <c r="Y25" s="173" t="str">
        <f t="shared" si="0"/>
        <v>-</v>
      </c>
    </row>
    <row r="26" spans="1:25" x14ac:dyDescent="0.25">
      <c r="A26" s="46" t="s">
        <v>74</v>
      </c>
      <c r="B26" s="47" t="s">
        <v>57</v>
      </c>
      <c r="C26" s="125"/>
      <c r="D26" s="120"/>
      <c r="E26" s="120"/>
      <c r="F26" s="120"/>
      <c r="G26" s="120"/>
      <c r="H26" s="120"/>
      <c r="I26" s="120"/>
      <c r="J26" s="120"/>
      <c r="K26" s="120"/>
      <c r="L26" s="120"/>
      <c r="M26" s="120"/>
      <c r="N26" s="120"/>
      <c r="O26" s="120"/>
      <c r="P26" s="120"/>
      <c r="Q26" s="120"/>
      <c r="R26" s="120"/>
      <c r="S26" s="120"/>
      <c r="T26" s="120"/>
      <c r="U26" s="120"/>
      <c r="V26" s="120"/>
      <c r="W26" s="120"/>
      <c r="X26" s="3"/>
      <c r="Y26" s="173" t="str">
        <f t="shared" si="0"/>
        <v>-</v>
      </c>
    </row>
    <row r="27" spans="1:25" x14ac:dyDescent="0.25">
      <c r="A27" s="46" t="s">
        <v>75</v>
      </c>
      <c r="B27" s="47" t="s">
        <v>57</v>
      </c>
      <c r="C27" s="125"/>
      <c r="D27" s="120"/>
      <c r="E27" s="120"/>
      <c r="F27" s="120"/>
      <c r="G27" s="120"/>
      <c r="H27" s="120"/>
      <c r="I27" s="120"/>
      <c r="J27" s="120"/>
      <c r="K27" s="120"/>
      <c r="L27" s="120"/>
      <c r="M27" s="120"/>
      <c r="N27" s="120"/>
      <c r="O27" s="120"/>
      <c r="P27" s="120"/>
      <c r="Q27" s="120"/>
      <c r="R27" s="120"/>
      <c r="S27" s="120"/>
      <c r="T27" s="120"/>
      <c r="U27" s="120"/>
      <c r="V27" s="120"/>
      <c r="W27" s="120"/>
      <c r="X27" s="3"/>
      <c r="Y27" s="173" t="str">
        <f t="shared" si="0"/>
        <v>-</v>
      </c>
    </row>
    <row r="28" spans="1:25" x14ac:dyDescent="0.25">
      <c r="A28" s="46" t="s">
        <v>76</v>
      </c>
      <c r="B28" s="47" t="s">
        <v>57</v>
      </c>
      <c r="C28" s="125"/>
      <c r="D28" s="120"/>
      <c r="E28" s="120"/>
      <c r="F28" s="120"/>
      <c r="G28" s="120"/>
      <c r="H28" s="120"/>
      <c r="I28" s="120"/>
      <c r="J28" s="120"/>
      <c r="K28" s="120"/>
      <c r="L28" s="120"/>
      <c r="M28" s="120"/>
      <c r="N28" s="120"/>
      <c r="O28" s="120"/>
      <c r="P28" s="120"/>
      <c r="Q28" s="120"/>
      <c r="R28" s="120"/>
      <c r="S28" s="120"/>
      <c r="T28" s="120"/>
      <c r="U28" s="120"/>
      <c r="V28" s="120"/>
      <c r="W28" s="120"/>
      <c r="X28" s="3"/>
      <c r="Y28" s="173" t="str">
        <f t="shared" si="0"/>
        <v>-</v>
      </c>
    </row>
    <row r="29" spans="1:25" x14ac:dyDescent="0.25">
      <c r="A29" s="46" t="s">
        <v>42</v>
      </c>
      <c r="B29" s="54" t="s">
        <v>61</v>
      </c>
      <c r="C29" s="125"/>
      <c r="D29" s="120"/>
      <c r="E29" s="120"/>
      <c r="F29" s="120"/>
      <c r="G29" s="120"/>
      <c r="H29" s="120"/>
      <c r="I29" s="120"/>
      <c r="J29" s="120"/>
      <c r="K29" s="120"/>
      <c r="L29" s="120"/>
      <c r="M29" s="120"/>
      <c r="N29" s="120"/>
      <c r="O29" s="120"/>
      <c r="P29" s="120"/>
      <c r="Q29" s="120"/>
      <c r="R29" s="120"/>
      <c r="S29" s="120"/>
      <c r="T29" s="120"/>
      <c r="U29" s="120"/>
      <c r="V29" s="120"/>
      <c r="W29" s="120"/>
      <c r="X29" s="3"/>
      <c r="Y29" s="173" t="str">
        <f t="shared" si="0"/>
        <v>-</v>
      </c>
    </row>
    <row r="30" spans="1:25" x14ac:dyDescent="0.25">
      <c r="A30" s="46" t="s">
        <v>77</v>
      </c>
      <c r="B30" s="54" t="s">
        <v>58</v>
      </c>
      <c r="C30" s="125"/>
      <c r="D30" s="120"/>
      <c r="E30" s="120"/>
      <c r="F30" s="120"/>
      <c r="G30" s="120"/>
      <c r="H30" s="120"/>
      <c r="I30" s="120"/>
      <c r="J30" s="120"/>
      <c r="K30" s="120"/>
      <c r="L30" s="120"/>
      <c r="M30" s="120"/>
      <c r="N30" s="120"/>
      <c r="O30" s="120"/>
      <c r="P30" s="120"/>
      <c r="Q30" s="120"/>
      <c r="R30" s="120"/>
      <c r="S30" s="120"/>
      <c r="T30" s="120"/>
      <c r="U30" s="120"/>
      <c r="V30" s="120"/>
      <c r="W30" s="120"/>
      <c r="X30" s="3"/>
      <c r="Y30" s="173" t="str">
        <f t="shared" si="0"/>
        <v>-</v>
      </c>
    </row>
    <row r="31" spans="1:25" x14ac:dyDescent="0.25">
      <c r="A31" s="46" t="s">
        <v>87</v>
      </c>
      <c r="B31" s="47" t="s">
        <v>56</v>
      </c>
      <c r="C31" s="125" t="s">
        <v>89</v>
      </c>
      <c r="D31" s="120">
        <v>221.29177222222222</v>
      </c>
      <c r="E31" s="120">
        <v>244.03194444444446</v>
      </c>
      <c r="F31" s="120">
        <v>248.09916666666669</v>
      </c>
      <c r="G31" s="120">
        <v>251.81902111111111</v>
      </c>
      <c r="H31" s="120">
        <v>251.81902111111111</v>
      </c>
      <c r="I31" s="120">
        <v>251.81902111111111</v>
      </c>
      <c r="J31" s="120">
        <v>251.81902111111111</v>
      </c>
      <c r="K31" s="120">
        <v>251.81902111111111</v>
      </c>
      <c r="L31" s="120">
        <v>251.81902111111111</v>
      </c>
      <c r="M31" s="120">
        <v>251.81902111111111</v>
      </c>
      <c r="N31" s="120">
        <v>251.81902111111111</v>
      </c>
      <c r="O31" s="120">
        <v>251.81902111111111</v>
      </c>
      <c r="P31" s="120">
        <v>251.81902111111111</v>
      </c>
      <c r="Q31" s="120">
        <v>251.81902111111111</v>
      </c>
      <c r="R31" s="120">
        <v>251.81902111111111</v>
      </c>
      <c r="S31" s="120">
        <v>251.81902111111111</v>
      </c>
      <c r="T31" s="120">
        <v>251.81902111111111</v>
      </c>
      <c r="U31" s="120">
        <v>251.81902111111111</v>
      </c>
      <c r="V31" s="120">
        <v>251.81902111111111</v>
      </c>
      <c r="W31" s="120">
        <v>251.81902111111111</v>
      </c>
      <c r="X31" s="3"/>
      <c r="Y31" s="173">
        <f t="shared" si="0"/>
        <v>249.71731211111108</v>
      </c>
    </row>
    <row r="32" spans="1:25" x14ac:dyDescent="0.25">
      <c r="A32" s="46" t="s">
        <v>43</v>
      </c>
      <c r="B32" s="54" t="s">
        <v>61</v>
      </c>
      <c r="C32" s="125" t="s">
        <v>89</v>
      </c>
      <c r="D32" s="120">
        <v>64.996111111111119</v>
      </c>
      <c r="E32" s="120">
        <v>0</v>
      </c>
      <c r="F32" s="120">
        <v>0</v>
      </c>
      <c r="G32" s="120">
        <v>111.85489222222222</v>
      </c>
      <c r="H32" s="120">
        <v>111.85489222222222</v>
      </c>
      <c r="I32" s="120">
        <v>111.85489222222222</v>
      </c>
      <c r="J32" s="120">
        <v>111.85489222222222</v>
      </c>
      <c r="K32" s="120">
        <v>111.85489222222222</v>
      </c>
      <c r="L32" s="120">
        <v>111.85489222222222</v>
      </c>
      <c r="M32" s="120">
        <v>111.85489222222222</v>
      </c>
      <c r="N32" s="120">
        <v>111.85489222222222</v>
      </c>
      <c r="O32" s="120">
        <v>111.85489222222222</v>
      </c>
      <c r="P32" s="120">
        <v>111.85489222222222</v>
      </c>
      <c r="Q32" s="120">
        <v>111.85489222222222</v>
      </c>
      <c r="R32" s="120">
        <v>111.85489222222222</v>
      </c>
      <c r="S32" s="120">
        <v>111.85489222222222</v>
      </c>
      <c r="T32" s="120">
        <v>111.85489222222222</v>
      </c>
      <c r="U32" s="120">
        <v>111.85489222222222</v>
      </c>
      <c r="V32" s="120">
        <v>111.85489222222222</v>
      </c>
      <c r="W32" s="120">
        <v>111.85489222222222</v>
      </c>
      <c r="X32" s="3"/>
      <c r="Y32" s="173">
        <f t="shared" si="0"/>
        <v>98.326463944444413</v>
      </c>
    </row>
    <row r="33" spans="1:25" x14ac:dyDescent="0.25">
      <c r="A33" s="46" t="s">
        <v>55</v>
      </c>
      <c r="B33" s="47" t="s">
        <v>57</v>
      </c>
      <c r="C33" s="125" t="s">
        <v>89</v>
      </c>
      <c r="D33" s="120">
        <v>575.81194444444441</v>
      </c>
      <c r="E33" s="120">
        <v>580.59861111111104</v>
      </c>
      <c r="F33" s="120">
        <v>499.24888888888893</v>
      </c>
      <c r="G33" s="120">
        <v>565.82727777777768</v>
      </c>
      <c r="H33" s="120">
        <v>565.82727777777768</v>
      </c>
      <c r="I33" s="120">
        <v>565.82727777777768</v>
      </c>
      <c r="J33" s="120">
        <v>565.82727777777768</v>
      </c>
      <c r="K33" s="120">
        <v>565.82727777777768</v>
      </c>
      <c r="L33" s="120">
        <v>565.82727777777768</v>
      </c>
      <c r="M33" s="120">
        <v>565.82727777777768</v>
      </c>
      <c r="N33" s="120">
        <v>565.82727777777768</v>
      </c>
      <c r="O33" s="120">
        <v>565.82727777777768</v>
      </c>
      <c r="P33" s="120">
        <v>565.82727777777768</v>
      </c>
      <c r="Q33" s="120">
        <v>565.82727777777768</v>
      </c>
      <c r="R33" s="120">
        <v>565.82727777777768</v>
      </c>
      <c r="S33" s="120">
        <v>565.82727777777768</v>
      </c>
      <c r="T33" s="120">
        <v>565.82727777777768</v>
      </c>
      <c r="U33" s="120">
        <v>565.82727777777768</v>
      </c>
      <c r="V33" s="120">
        <v>565.82727777777768</v>
      </c>
      <c r="W33" s="120">
        <v>565.82727777777768</v>
      </c>
      <c r="X33" s="3"/>
      <c r="Y33" s="173">
        <f t="shared" si="0"/>
        <v>563.73615833333338</v>
      </c>
    </row>
    <row r="34" spans="1:25" x14ac:dyDescent="0.25">
      <c r="A34" s="46" t="s">
        <v>44</v>
      </c>
      <c r="B34" s="46"/>
      <c r="C34" s="125"/>
      <c r="D34" s="120"/>
      <c r="E34" s="120"/>
      <c r="F34" s="120"/>
      <c r="G34" s="120"/>
      <c r="H34" s="120"/>
      <c r="I34" s="120"/>
      <c r="J34" s="120"/>
      <c r="K34" s="120"/>
      <c r="L34" s="120"/>
      <c r="M34" s="120"/>
      <c r="N34" s="120"/>
      <c r="O34" s="120"/>
      <c r="P34" s="120"/>
      <c r="Q34" s="120"/>
      <c r="R34" s="120"/>
      <c r="S34" s="120"/>
      <c r="T34" s="120"/>
      <c r="U34" s="120"/>
      <c r="V34" s="120"/>
      <c r="W34" s="120"/>
      <c r="X34" s="3"/>
      <c r="Y34" s="173" t="str">
        <f t="shared" si="0"/>
        <v>-</v>
      </c>
    </row>
    <row r="35" spans="1:25" x14ac:dyDescent="0.25">
      <c r="A35" s="46" t="s">
        <v>78</v>
      </c>
      <c r="B35" s="47" t="s">
        <v>57</v>
      </c>
      <c r="C35" s="125" t="s">
        <v>89</v>
      </c>
      <c r="D35" s="120">
        <v>64.579722222222216</v>
      </c>
      <c r="E35" s="120">
        <v>56.487941666666664</v>
      </c>
      <c r="F35" s="120">
        <v>49.259444444444441</v>
      </c>
      <c r="G35" s="120">
        <v>60.035777777777774</v>
      </c>
      <c r="H35" s="120">
        <v>60.035777777777774</v>
      </c>
      <c r="I35" s="120">
        <v>60.035777777777774</v>
      </c>
      <c r="J35" s="120">
        <v>60.035777777777774</v>
      </c>
      <c r="K35" s="120">
        <v>60.035777777777774</v>
      </c>
      <c r="L35" s="120">
        <v>60.035777777777774</v>
      </c>
      <c r="M35" s="120">
        <v>60.035777777777774</v>
      </c>
      <c r="N35" s="120">
        <v>60.035777777777774</v>
      </c>
      <c r="O35" s="120">
        <v>60.035777777777774</v>
      </c>
      <c r="P35" s="120">
        <v>60.035777777777774</v>
      </c>
      <c r="Q35" s="120">
        <v>60.035777777777774</v>
      </c>
      <c r="R35" s="120">
        <v>60.035777777777774</v>
      </c>
      <c r="S35" s="120">
        <v>60.035777777777774</v>
      </c>
      <c r="T35" s="120">
        <v>60.035777777777774</v>
      </c>
      <c r="U35" s="120">
        <v>60.035777777777774</v>
      </c>
      <c r="V35" s="120">
        <v>60.035777777777774</v>
      </c>
      <c r="W35" s="120">
        <v>60.035777777777774</v>
      </c>
      <c r="X35" s="3"/>
      <c r="Y35" s="173">
        <f t="shared" si="0"/>
        <v>59.546766527777777</v>
      </c>
    </row>
    <row r="36" spans="1:25" x14ac:dyDescent="0.25">
      <c r="A36" s="46" t="s">
        <v>45</v>
      </c>
      <c r="B36" s="47" t="s">
        <v>57</v>
      </c>
      <c r="C36" s="125"/>
      <c r="D36" s="120"/>
      <c r="E36" s="120"/>
      <c r="F36" s="120"/>
      <c r="G36" s="120"/>
      <c r="H36" s="120"/>
      <c r="I36" s="120"/>
      <c r="J36" s="120"/>
      <c r="K36" s="120"/>
      <c r="L36" s="120"/>
      <c r="M36" s="120"/>
      <c r="N36" s="120"/>
      <c r="O36" s="120"/>
      <c r="P36" s="120"/>
      <c r="Q36" s="120"/>
      <c r="R36" s="120"/>
      <c r="S36" s="120"/>
      <c r="T36" s="120"/>
      <c r="U36" s="120"/>
      <c r="V36" s="120"/>
      <c r="W36" s="120"/>
      <c r="X36" s="3"/>
      <c r="Y36" s="173" t="str">
        <f t="shared" si="0"/>
        <v>-</v>
      </c>
    </row>
    <row r="37" spans="1:25" x14ac:dyDescent="0.25">
      <c r="A37" s="46" t="s">
        <v>46</v>
      </c>
      <c r="B37" s="123" t="s">
        <v>59</v>
      </c>
      <c r="C37" s="125"/>
      <c r="D37" s="120"/>
      <c r="E37" s="120"/>
      <c r="F37" s="120"/>
      <c r="G37" s="120"/>
      <c r="H37" s="120"/>
      <c r="I37" s="120"/>
      <c r="J37" s="120"/>
      <c r="K37" s="120"/>
      <c r="L37" s="120"/>
      <c r="M37" s="120"/>
      <c r="N37" s="120"/>
      <c r="O37" s="120"/>
      <c r="P37" s="120"/>
      <c r="Q37" s="120"/>
      <c r="R37" s="120"/>
      <c r="S37" s="120"/>
      <c r="T37" s="120"/>
      <c r="U37" s="120"/>
      <c r="V37" s="120"/>
      <c r="W37" s="120"/>
      <c r="X37" s="3"/>
      <c r="Y37" s="173" t="str">
        <f t="shared" si="0"/>
        <v>-</v>
      </c>
    </row>
    <row r="38" spans="1:25" x14ac:dyDescent="0.25">
      <c r="A38" s="46" t="s">
        <v>47</v>
      </c>
      <c r="B38" s="55" t="s">
        <v>64</v>
      </c>
      <c r="C38" s="125"/>
      <c r="D38" s="120"/>
      <c r="E38" s="120"/>
      <c r="F38" s="120"/>
      <c r="G38" s="120"/>
      <c r="H38" s="120"/>
      <c r="I38" s="120"/>
      <c r="J38" s="120"/>
      <c r="K38" s="120"/>
      <c r="L38" s="120"/>
      <c r="M38" s="120"/>
      <c r="N38" s="120"/>
      <c r="O38" s="120"/>
      <c r="P38" s="120"/>
      <c r="Q38" s="120"/>
      <c r="R38" s="120"/>
      <c r="S38" s="120"/>
      <c r="T38" s="120"/>
      <c r="U38" s="120"/>
      <c r="V38" s="120"/>
      <c r="W38" s="120"/>
      <c r="X38" s="3"/>
      <c r="Y38" s="173" t="str">
        <f t="shared" si="0"/>
        <v>-</v>
      </c>
    </row>
    <row r="39" spans="1:25" x14ac:dyDescent="0.25">
      <c r="A39" s="46" t="s">
        <v>48</v>
      </c>
      <c r="B39" s="55" t="s">
        <v>64</v>
      </c>
      <c r="C39" s="125"/>
      <c r="D39" s="120"/>
      <c r="E39" s="120"/>
      <c r="F39" s="120"/>
      <c r="G39" s="120"/>
      <c r="H39" s="120"/>
      <c r="I39" s="120"/>
      <c r="J39" s="120"/>
      <c r="K39" s="120"/>
      <c r="L39" s="120"/>
      <c r="M39" s="120"/>
      <c r="N39" s="120"/>
      <c r="O39" s="120"/>
      <c r="P39" s="120"/>
      <c r="Q39" s="120"/>
      <c r="R39" s="120"/>
      <c r="S39" s="120"/>
      <c r="T39" s="120"/>
      <c r="U39" s="120"/>
      <c r="V39" s="120"/>
      <c r="W39" s="120"/>
      <c r="X39" s="3"/>
      <c r="Y39" s="173" t="str">
        <f t="shared" si="0"/>
        <v>-</v>
      </c>
    </row>
    <row r="40" spans="1:25" x14ac:dyDescent="0.25">
      <c r="A40" s="46" t="s">
        <v>49</v>
      </c>
      <c r="B40" s="47" t="s">
        <v>57</v>
      </c>
      <c r="C40" s="125" t="s">
        <v>89</v>
      </c>
      <c r="D40" s="120">
        <v>0</v>
      </c>
      <c r="E40" s="120">
        <v>0</v>
      </c>
      <c r="F40" s="120">
        <v>0</v>
      </c>
      <c r="G40" s="120">
        <v>1368.9678622222223</v>
      </c>
      <c r="H40" s="120">
        <v>1368.9678622222223</v>
      </c>
      <c r="I40" s="120">
        <v>1368.9678622222223</v>
      </c>
      <c r="J40" s="120">
        <v>1368.9678622222223</v>
      </c>
      <c r="K40" s="120">
        <v>1368.9678622222223</v>
      </c>
      <c r="L40" s="120">
        <v>1368.9678622222223</v>
      </c>
      <c r="M40" s="120">
        <v>1368.9678622222223</v>
      </c>
      <c r="N40" s="120">
        <v>1368.9678622222223</v>
      </c>
      <c r="O40" s="120">
        <v>1368.9678622222223</v>
      </c>
      <c r="P40" s="120">
        <v>1368.9678622222223</v>
      </c>
      <c r="Q40" s="120">
        <v>1368.9678622222223</v>
      </c>
      <c r="R40" s="120">
        <v>1368.9678622222223</v>
      </c>
      <c r="S40" s="120">
        <v>1368.9678622222223</v>
      </c>
      <c r="T40" s="120">
        <v>1368.9678622222223</v>
      </c>
      <c r="U40" s="120">
        <v>1368.9678622222223</v>
      </c>
      <c r="V40" s="120">
        <v>1368.9678622222223</v>
      </c>
      <c r="W40" s="120">
        <v>1368.9678622222223</v>
      </c>
      <c r="X40" s="3"/>
      <c r="Y40" s="173">
        <f t="shared" si="0"/>
        <v>1163.6226828888891</v>
      </c>
    </row>
    <row r="41" spans="1:25" x14ac:dyDescent="0.25">
      <c r="A41" s="46" t="s">
        <v>50</v>
      </c>
      <c r="B41" s="54" t="s">
        <v>61</v>
      </c>
      <c r="C41" s="125" t="s">
        <v>89</v>
      </c>
      <c r="D41" s="120">
        <v>1321.6547222222223</v>
      </c>
      <c r="E41" s="120">
        <v>1450.1822222222222</v>
      </c>
      <c r="F41" s="120">
        <v>1386.2452777777776</v>
      </c>
      <c r="G41" s="120">
        <v>1393.7255555555555</v>
      </c>
      <c r="H41" s="120">
        <v>1393.7255555555555</v>
      </c>
      <c r="I41" s="120">
        <v>1393.7255555555555</v>
      </c>
      <c r="J41" s="120">
        <v>1393.7255555555555</v>
      </c>
      <c r="K41" s="120">
        <v>1393.7255555555555</v>
      </c>
      <c r="L41" s="120">
        <v>1393.7255555555555</v>
      </c>
      <c r="M41" s="120">
        <v>1393.7255555555555</v>
      </c>
      <c r="N41" s="120">
        <v>1393.7255555555555</v>
      </c>
      <c r="O41" s="120">
        <v>1393.7255555555555</v>
      </c>
      <c r="P41" s="120">
        <v>1393.7255555555555</v>
      </c>
      <c r="Q41" s="120">
        <v>1393.7255555555555</v>
      </c>
      <c r="R41" s="120">
        <v>1393.7255555555555</v>
      </c>
      <c r="S41" s="120">
        <v>1393.7255555555555</v>
      </c>
      <c r="T41" s="120">
        <v>1393.7255555555555</v>
      </c>
      <c r="U41" s="120">
        <v>1393.7255555555555</v>
      </c>
      <c r="V41" s="120">
        <v>1393.7255555555555</v>
      </c>
      <c r="W41" s="120">
        <v>1393.7255555555555</v>
      </c>
      <c r="X41" s="3"/>
      <c r="Y41" s="173">
        <f t="shared" si="0"/>
        <v>1392.5708333333337</v>
      </c>
    </row>
    <row r="42" spans="1:25" x14ac:dyDescent="0.25">
      <c r="A42" s="46" t="s">
        <v>79</v>
      </c>
      <c r="B42" s="54" t="s">
        <v>59</v>
      </c>
      <c r="C42" s="125"/>
      <c r="D42" s="120"/>
      <c r="E42" s="120"/>
      <c r="F42" s="120"/>
      <c r="G42" s="120"/>
      <c r="H42" s="120"/>
      <c r="I42" s="120"/>
      <c r="J42" s="120"/>
      <c r="K42" s="120"/>
      <c r="L42" s="120"/>
      <c r="M42" s="120"/>
      <c r="N42" s="120"/>
      <c r="O42" s="120"/>
      <c r="P42" s="120"/>
      <c r="Q42" s="120"/>
      <c r="R42" s="120"/>
      <c r="S42" s="120"/>
      <c r="T42" s="120"/>
      <c r="U42" s="120"/>
      <c r="V42" s="120"/>
      <c r="W42" s="120"/>
      <c r="X42" s="3"/>
      <c r="Y42" s="173" t="str">
        <f t="shared" si="0"/>
        <v>-</v>
      </c>
    </row>
    <row r="43" spans="1:25" x14ac:dyDescent="0.25">
      <c r="A43" s="46" t="s">
        <v>80</v>
      </c>
      <c r="B43" s="47" t="s">
        <v>62</v>
      </c>
      <c r="C43" s="125"/>
      <c r="D43" s="120"/>
      <c r="E43" s="120"/>
      <c r="F43" s="120"/>
      <c r="G43" s="120"/>
      <c r="H43" s="120"/>
      <c r="I43" s="120"/>
      <c r="J43" s="120"/>
      <c r="K43" s="120"/>
      <c r="L43" s="120"/>
      <c r="M43" s="120"/>
      <c r="N43" s="120"/>
      <c r="O43" s="120"/>
      <c r="P43" s="120"/>
      <c r="Q43" s="120"/>
      <c r="R43" s="120"/>
      <c r="S43" s="120"/>
      <c r="T43" s="120"/>
      <c r="U43" s="120"/>
      <c r="V43" s="120"/>
      <c r="W43" s="120"/>
      <c r="X43" s="3"/>
      <c r="Y43" s="173" t="str">
        <f t="shared" si="0"/>
        <v>-</v>
      </c>
    </row>
    <row r="44" spans="1:25" x14ac:dyDescent="0.25">
      <c r="A44" s="46" t="s">
        <v>81</v>
      </c>
      <c r="B44" s="47" t="s">
        <v>57</v>
      </c>
      <c r="C44" s="125" t="s">
        <v>89</v>
      </c>
      <c r="D44" s="120">
        <v>3017.8666666666668</v>
      </c>
      <c r="E44" s="120">
        <v>3078.4611111111108</v>
      </c>
      <c r="F44" s="120">
        <v>2765.7895222222219</v>
      </c>
      <c r="G44" s="120">
        <v>3000.2460561111111</v>
      </c>
      <c r="H44" s="120">
        <v>3000.2460561111111</v>
      </c>
      <c r="I44" s="120">
        <v>3000.2460561111111</v>
      </c>
      <c r="J44" s="120">
        <v>3000.2460561111111</v>
      </c>
      <c r="K44" s="120">
        <v>3000.2460561111111</v>
      </c>
      <c r="L44" s="120">
        <v>3000.2460561111111</v>
      </c>
      <c r="M44" s="120">
        <v>3000.2460561111111</v>
      </c>
      <c r="N44" s="120">
        <v>3000.2460561111111</v>
      </c>
      <c r="O44" s="120">
        <v>3000.2460561111111</v>
      </c>
      <c r="P44" s="120">
        <v>3000.2460561111111</v>
      </c>
      <c r="Q44" s="120">
        <v>3000.2460561111111</v>
      </c>
      <c r="R44" s="120">
        <v>3000.2460561111111</v>
      </c>
      <c r="S44" s="120">
        <v>3000.2460561111111</v>
      </c>
      <c r="T44" s="120">
        <v>3000.2460561111111</v>
      </c>
      <c r="U44" s="120">
        <v>3000.2460561111111</v>
      </c>
      <c r="V44" s="120">
        <v>3000.2460561111111</v>
      </c>
      <c r="W44" s="120">
        <v>3000.2460561111111</v>
      </c>
      <c r="X44" s="3"/>
      <c r="Y44" s="173">
        <f t="shared" si="0"/>
        <v>2993.3150126944429</v>
      </c>
    </row>
    <row r="45" spans="1:25" x14ac:dyDescent="0.25">
      <c r="A45" s="46" t="s">
        <v>51</v>
      </c>
      <c r="B45" s="47" t="s">
        <v>56</v>
      </c>
      <c r="C45" s="125"/>
      <c r="D45" s="120"/>
      <c r="E45" s="120"/>
      <c r="F45" s="120"/>
      <c r="G45" s="120"/>
      <c r="H45" s="120"/>
      <c r="I45" s="120"/>
      <c r="J45" s="120"/>
      <c r="K45" s="120"/>
      <c r="L45" s="120"/>
      <c r="M45" s="120"/>
      <c r="N45" s="120"/>
      <c r="O45" s="120"/>
      <c r="P45" s="120"/>
      <c r="Q45" s="120"/>
      <c r="R45" s="120"/>
      <c r="S45" s="120"/>
      <c r="T45" s="120"/>
      <c r="U45" s="120"/>
      <c r="V45" s="120"/>
      <c r="W45" s="120"/>
      <c r="X45" s="3"/>
      <c r="Y45" s="173" t="str">
        <f t="shared" si="0"/>
        <v>-</v>
      </c>
    </row>
    <row r="46" spans="1:25" x14ac:dyDescent="0.25">
      <c r="A46" s="46" t="s">
        <v>52</v>
      </c>
      <c r="B46" s="47" t="s">
        <v>56</v>
      </c>
      <c r="C46" s="125"/>
      <c r="D46" s="120"/>
      <c r="E46" s="120"/>
      <c r="F46" s="120"/>
      <c r="G46" s="120"/>
      <c r="H46" s="120"/>
      <c r="I46" s="120"/>
      <c r="J46" s="120"/>
      <c r="K46" s="120"/>
      <c r="L46" s="120"/>
      <c r="M46" s="120"/>
      <c r="N46" s="120"/>
      <c r="O46" s="120"/>
      <c r="P46" s="120"/>
      <c r="Q46" s="120"/>
      <c r="R46" s="120"/>
      <c r="S46" s="120"/>
      <c r="T46" s="120"/>
      <c r="U46" s="120"/>
      <c r="V46" s="120"/>
      <c r="W46" s="120"/>
      <c r="X46" s="3"/>
      <c r="Y46" s="173" t="str">
        <f t="shared" si="0"/>
        <v>-</v>
      </c>
    </row>
    <row r="47" spans="1:25" x14ac:dyDescent="0.25">
      <c r="A47" s="46" t="s">
        <v>53</v>
      </c>
      <c r="B47" s="47" t="s">
        <v>56</v>
      </c>
      <c r="C47" s="125"/>
      <c r="D47" s="120"/>
      <c r="E47" s="120"/>
      <c r="F47" s="120"/>
      <c r="G47" s="120"/>
      <c r="H47" s="120"/>
      <c r="I47" s="120"/>
      <c r="J47" s="120"/>
      <c r="K47" s="120"/>
      <c r="L47" s="120"/>
      <c r="M47" s="120"/>
      <c r="N47" s="120"/>
      <c r="O47" s="120"/>
      <c r="P47" s="120"/>
      <c r="Q47" s="120"/>
      <c r="R47" s="120"/>
      <c r="S47" s="120"/>
      <c r="T47" s="120"/>
      <c r="U47" s="120"/>
      <c r="V47" s="120"/>
      <c r="W47" s="120"/>
      <c r="X47" s="3"/>
      <c r="Y47" s="173" t="str">
        <f t="shared" si="0"/>
        <v>-</v>
      </c>
    </row>
    <row r="48" spans="1:25" x14ac:dyDescent="0.25">
      <c r="A48" s="46" t="s">
        <v>54</v>
      </c>
      <c r="B48" s="47" t="s">
        <v>57</v>
      </c>
      <c r="C48" s="125"/>
      <c r="D48" s="120"/>
      <c r="E48" s="120"/>
      <c r="F48" s="120"/>
      <c r="G48" s="120"/>
      <c r="H48" s="120"/>
      <c r="I48" s="120"/>
      <c r="J48" s="120"/>
      <c r="K48" s="120"/>
      <c r="L48" s="120"/>
      <c r="M48" s="120"/>
      <c r="N48" s="120"/>
      <c r="O48" s="120"/>
      <c r="P48" s="120"/>
      <c r="Q48" s="120"/>
      <c r="R48" s="120"/>
      <c r="S48" s="120"/>
      <c r="T48" s="120"/>
      <c r="U48" s="120"/>
      <c r="V48" s="120"/>
      <c r="W48" s="120"/>
      <c r="X48" s="3"/>
      <c r="Y48" s="173" t="str">
        <f t="shared" si="0"/>
        <v>-</v>
      </c>
    </row>
    <row r="49" spans="1:25" x14ac:dyDescent="0.25">
      <c r="C49" s="36"/>
      <c r="D49" s="40"/>
      <c r="E49" s="40"/>
      <c r="F49" s="40"/>
      <c r="G49" s="40"/>
      <c r="H49" s="40"/>
      <c r="I49" s="40"/>
      <c r="J49" s="40"/>
      <c r="K49" s="40"/>
      <c r="L49" s="40"/>
      <c r="M49" s="40"/>
      <c r="N49" s="40"/>
      <c r="O49" s="40"/>
      <c r="P49" s="40"/>
      <c r="Q49" s="40"/>
      <c r="R49" s="40"/>
      <c r="S49" s="40"/>
      <c r="T49" s="40"/>
      <c r="U49" s="40"/>
      <c r="V49" s="40"/>
      <c r="W49" s="40"/>
      <c r="Y49" s="174"/>
    </row>
    <row r="50" spans="1:25" x14ac:dyDescent="0.25">
      <c r="C50" s="36"/>
      <c r="D50" s="40">
        <f>SUM(D2:D48)</f>
        <v>26456.977183333336</v>
      </c>
      <c r="E50" s="40">
        <f t="shared" ref="E50:W50" si="1">SUM(E2:E48)</f>
        <v>25130.862380555554</v>
      </c>
      <c r="F50" s="40">
        <f t="shared" si="1"/>
        <v>21768.07003333333</v>
      </c>
      <c r="G50" s="40">
        <f t="shared" si="1"/>
        <v>26641.100873333336</v>
      </c>
      <c r="H50" s="40">
        <f t="shared" si="1"/>
        <v>26641.100873333336</v>
      </c>
      <c r="I50" s="40">
        <f t="shared" si="1"/>
        <v>26641.100873333336</v>
      </c>
      <c r="J50" s="40">
        <f t="shared" si="1"/>
        <v>26641.100873333336</v>
      </c>
      <c r="K50" s="40">
        <f t="shared" si="1"/>
        <v>26641.100873333336</v>
      </c>
      <c r="L50" s="40">
        <f t="shared" si="1"/>
        <v>26641.100873333336</v>
      </c>
      <c r="M50" s="40">
        <f t="shared" si="1"/>
        <v>26641.100873333336</v>
      </c>
      <c r="N50" s="40">
        <f t="shared" si="1"/>
        <v>26641.100873333336</v>
      </c>
      <c r="O50" s="40">
        <f t="shared" si="1"/>
        <v>26641.100873333336</v>
      </c>
      <c r="P50" s="40">
        <f t="shared" si="1"/>
        <v>26641.100873333336</v>
      </c>
      <c r="Q50" s="40">
        <f t="shared" si="1"/>
        <v>26641.100873333336</v>
      </c>
      <c r="R50" s="40">
        <f t="shared" si="1"/>
        <v>26641.100873333336</v>
      </c>
      <c r="S50" s="40">
        <f t="shared" si="1"/>
        <v>26641.100873333336</v>
      </c>
      <c r="T50" s="40">
        <f t="shared" si="1"/>
        <v>26641.100873333336</v>
      </c>
      <c r="U50" s="40">
        <f t="shared" si="1"/>
        <v>26641.100873333336</v>
      </c>
      <c r="V50" s="40">
        <f t="shared" si="1"/>
        <v>26641.100873333336</v>
      </c>
      <c r="W50" s="40">
        <f t="shared" si="1"/>
        <v>26641.100873333336</v>
      </c>
      <c r="X50" s="40"/>
      <c r="Y50" s="174"/>
    </row>
    <row r="51" spans="1:25" x14ac:dyDescent="0.25">
      <c r="C51" s="36"/>
      <c r="D51" s="40"/>
      <c r="E51" s="40"/>
      <c r="F51" s="40"/>
      <c r="G51" s="40"/>
      <c r="H51" s="40"/>
      <c r="I51" s="40"/>
      <c r="J51" s="40"/>
      <c r="K51" s="40"/>
      <c r="L51" s="40"/>
      <c r="M51" s="40"/>
      <c r="N51" s="40"/>
      <c r="O51" s="40"/>
      <c r="P51" s="40"/>
      <c r="Q51" s="40"/>
      <c r="R51" s="40"/>
      <c r="S51" s="40"/>
      <c r="T51" s="40"/>
      <c r="U51" s="40"/>
      <c r="V51" s="40"/>
      <c r="W51" s="40"/>
    </row>
    <row r="52" spans="1:25" x14ac:dyDescent="0.25">
      <c r="A52" s="3" t="s">
        <v>156</v>
      </c>
      <c r="C52" s="36"/>
      <c r="D52" s="40"/>
      <c r="E52" s="40"/>
      <c r="F52" s="40"/>
      <c r="G52" s="40"/>
      <c r="H52" s="40"/>
      <c r="I52" s="40"/>
      <c r="J52" s="40"/>
      <c r="K52" s="40"/>
      <c r="L52" s="40"/>
      <c r="M52" s="40"/>
      <c r="N52" s="40"/>
      <c r="O52" s="40"/>
      <c r="P52" s="40"/>
      <c r="Q52" s="40"/>
      <c r="R52" s="40"/>
      <c r="S52" s="40"/>
      <c r="T52" s="40"/>
      <c r="U52" s="40"/>
      <c r="V52" s="40"/>
      <c r="W52" s="40"/>
    </row>
    <row r="53" spans="1:25" x14ac:dyDescent="0.25">
      <c r="A53" s="3" t="s">
        <v>162</v>
      </c>
      <c r="C53" s="36"/>
      <c r="D53" s="40"/>
      <c r="E53" s="40"/>
      <c r="F53" s="40"/>
      <c r="G53" s="40"/>
      <c r="H53" s="40"/>
      <c r="I53" s="40"/>
      <c r="J53" s="40"/>
      <c r="K53" s="40"/>
      <c r="L53" s="40"/>
      <c r="M53" s="40"/>
      <c r="N53" s="40"/>
      <c r="O53" s="40"/>
      <c r="P53" s="40"/>
      <c r="Q53" s="40"/>
      <c r="R53" s="40"/>
      <c r="S53" s="40"/>
      <c r="T53" s="40"/>
      <c r="U53" s="40"/>
      <c r="V53" s="40"/>
      <c r="W53" s="40"/>
    </row>
    <row r="54" spans="1:25" ht="15.6" x14ac:dyDescent="0.3">
      <c r="D54" s="172" t="s">
        <v>222</v>
      </c>
    </row>
  </sheetData>
  <autoFilter ref="A1:W48" xr:uid="{3A8DBBC3-2F6E-4F74-9731-6A90B0FA0F89}">
    <sortState xmlns:xlrd2="http://schemas.microsoft.com/office/spreadsheetml/2017/richdata2" ref="A2:W48">
      <sortCondition ref="A1:A48"/>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Index</vt:lpstr>
      <vt:lpstr>Read_Me</vt:lpstr>
      <vt:lpstr>Settings</vt:lpstr>
      <vt:lpstr>Current</vt:lpstr>
      <vt:lpstr>DTE_Lifespans_existing</vt:lpstr>
      <vt:lpstr>Use_case_lifespans</vt:lpstr>
      <vt:lpstr>New_missions</vt:lpstr>
      <vt:lpstr>lifespans_all</vt:lpstr>
      <vt:lpstr>Current_DTE</vt:lpstr>
      <vt:lpstr>DTE_mission_minutes</vt:lpstr>
      <vt:lpstr>DTE_demand_forecast</vt:lpstr>
      <vt:lpstr>Current_SR</vt:lpstr>
      <vt:lpstr>SR_mission_minutes</vt:lpstr>
      <vt:lpstr>SR_demand_forecast</vt:lpstr>
      <vt:lpstr>Minutes_by_use_case</vt:lpstr>
      <vt:lpstr>Costs</vt:lpstr>
      <vt:lpstr>DTE_cost_per_minute_forecast</vt:lpstr>
      <vt:lpstr>SR_cost_per_minute_forecast</vt:lpstr>
      <vt:lpstr>Lifespans</vt:lpstr>
      <vt:lpstr>Demand_forecast_by_use_case</vt:lpstr>
      <vt:lpstr>Demand_forecast_by_replacement</vt:lpstr>
      <vt:lpstr>DTE_cost_by_use_case</vt:lpstr>
      <vt:lpstr>SR_cost_by_use_case</vt:lpstr>
      <vt:lpstr>Aggregate_costs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Edward John Oughton</cp:lastModifiedBy>
  <dcterms:created xsi:type="dcterms:W3CDTF">2022-05-02T00:57:27Z</dcterms:created>
  <dcterms:modified xsi:type="dcterms:W3CDTF">2024-01-17T00:28:02Z</dcterms:modified>
</cp:coreProperties>
</file>