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oughton\Desktop\Github\ascend\"/>
    </mc:Choice>
  </mc:AlternateContent>
  <xr:revisionPtr revIDLastSave="0" documentId="13_ncr:1_{45F4A592-7DA6-4BCE-BF93-1D8DF1074F1D}" xr6:coauthVersionLast="47" xr6:coauthVersionMax="47" xr10:uidLastSave="{00000000-0000-0000-0000-000000000000}"/>
  <bookViews>
    <workbookView xWindow="-30828" yWindow="-108" windowWidth="30936" windowHeight="16896" tabRatio="780" activeTab="3" xr2:uid="{00000000-000D-0000-FFFF-FFFF00000000}"/>
  </bookViews>
  <sheets>
    <sheet name="Index" sheetId="1" r:id="rId1"/>
    <sheet name="Read_Me" sheetId="2" r:id="rId2"/>
    <sheet name="Current_Cost" sheetId="155" r:id="rId3"/>
    <sheet name="Future_Cost" sheetId="154" r:id="rId4"/>
    <sheet name="Current" sheetId="135" r:id="rId5"/>
    <sheet name="Costs - DTE" sheetId="158" r:id="rId6"/>
    <sheet name="Costs - SR - LEO" sheetId="162" r:id="rId7"/>
    <sheet name="Costs - SR - GEO" sheetId="129" r:id="rId8"/>
    <sheet name="Lookups" sheetId="164" r:id="rId9"/>
    <sheet name="Scenarios_Future" sheetId="163" r:id="rId10"/>
    <sheet name="List_Options" sheetId="160" r:id="rId11"/>
  </sheets>
  <definedNames>
    <definedName name="_xlnm._FilterDatabase" localSheetId="4" hidden="1">Current!$G$59:$G$95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52" i="154" l="1"/>
  <c r="K152" i="154"/>
  <c r="L152" i="154"/>
  <c r="J153" i="154"/>
  <c r="K153" i="154"/>
  <c r="L153" i="154"/>
  <c r="J154" i="154"/>
  <c r="K154" i="154"/>
  <c r="L154" i="154"/>
  <c r="J155" i="154"/>
  <c r="K155" i="154"/>
  <c r="L155" i="154"/>
  <c r="J156" i="154"/>
  <c r="K156" i="154"/>
  <c r="L156" i="154"/>
  <c r="J157" i="154"/>
  <c r="K157" i="154"/>
  <c r="L157" i="154"/>
  <c r="K151" i="154"/>
  <c r="L151" i="154"/>
  <c r="J151" i="154"/>
  <c r="J140" i="154"/>
  <c r="K140" i="154"/>
  <c r="L140" i="154"/>
  <c r="J141" i="154"/>
  <c r="K141" i="154"/>
  <c r="L141" i="154"/>
  <c r="J142" i="154"/>
  <c r="K142" i="154"/>
  <c r="L142" i="154"/>
  <c r="J143" i="154"/>
  <c r="K143" i="154"/>
  <c r="L143" i="154"/>
  <c r="J144" i="154"/>
  <c r="K144" i="154"/>
  <c r="L144" i="154"/>
  <c r="J145" i="154"/>
  <c r="K145" i="154"/>
  <c r="L145" i="154"/>
  <c r="K139" i="154"/>
  <c r="L139" i="154"/>
  <c r="J139" i="154"/>
  <c r="I152" i="154"/>
  <c r="I153" i="154"/>
  <c r="I154" i="154"/>
  <c r="I155" i="154"/>
  <c r="I156" i="154"/>
  <c r="I157" i="154"/>
  <c r="I151" i="154"/>
  <c r="H152" i="154"/>
  <c r="H153" i="154"/>
  <c r="H154" i="154"/>
  <c r="H155" i="154"/>
  <c r="H156" i="154"/>
  <c r="H157" i="154"/>
  <c r="H151" i="154"/>
  <c r="G152" i="154"/>
  <c r="G153" i="154"/>
  <c r="G154" i="154"/>
  <c r="G155" i="154"/>
  <c r="G156" i="154"/>
  <c r="G157" i="154"/>
  <c r="I140" i="154"/>
  <c r="I141" i="154"/>
  <c r="I142" i="154"/>
  <c r="I143" i="154"/>
  <c r="I144" i="154"/>
  <c r="I145" i="154"/>
  <c r="I139" i="154"/>
  <c r="H140" i="154"/>
  <c r="H141" i="154"/>
  <c r="H142" i="154"/>
  <c r="H143" i="154"/>
  <c r="H144" i="154"/>
  <c r="H145" i="154"/>
  <c r="H139" i="154"/>
  <c r="G140" i="154"/>
  <c r="G141" i="154"/>
  <c r="G142" i="154"/>
  <c r="G143" i="154"/>
  <c r="G144" i="154"/>
  <c r="G145" i="154"/>
  <c r="G139" i="154"/>
  <c r="G151" i="154"/>
  <c r="H50" i="154"/>
  <c r="Y15" i="135"/>
  <c r="Y17" i="135"/>
  <c r="L5" i="135"/>
  <c r="F152" i="154"/>
  <c r="F153" i="154"/>
  <c r="F154" i="154"/>
  <c r="F155" i="154"/>
  <c r="F156" i="154"/>
  <c r="F157" i="154"/>
  <c r="F151" i="154"/>
  <c r="E152" i="154"/>
  <c r="E153" i="154"/>
  <c r="E154" i="154"/>
  <c r="E155" i="154"/>
  <c r="E156" i="154"/>
  <c r="E157" i="154"/>
  <c r="E151" i="154"/>
  <c r="D152" i="154"/>
  <c r="D153" i="154"/>
  <c r="D154" i="154"/>
  <c r="D155" i="154"/>
  <c r="D156" i="154"/>
  <c r="D157" i="154"/>
  <c r="D151" i="154"/>
  <c r="D139" i="154"/>
  <c r="F140" i="154"/>
  <c r="F141" i="154"/>
  <c r="F142" i="154"/>
  <c r="F143" i="154"/>
  <c r="F144" i="154"/>
  <c r="F145" i="154"/>
  <c r="F139" i="154"/>
  <c r="E139" i="154"/>
  <c r="E140" i="154"/>
  <c r="E141" i="154"/>
  <c r="E142" i="154"/>
  <c r="E143" i="154"/>
  <c r="E144" i="154"/>
  <c r="E145" i="154"/>
  <c r="D140" i="154"/>
  <c r="D141" i="154"/>
  <c r="D142" i="154"/>
  <c r="D143" i="154"/>
  <c r="D144" i="154"/>
  <c r="D145" i="154"/>
  <c r="F130" i="154"/>
  <c r="F129" i="154"/>
  <c r="E130" i="154"/>
  <c r="E129" i="154"/>
  <c r="D130" i="154"/>
  <c r="D129" i="154"/>
  <c r="F118" i="154"/>
  <c r="F119" i="154"/>
  <c r="F120" i="154"/>
  <c r="F121" i="154"/>
  <c r="F122" i="154"/>
  <c r="F123" i="154"/>
  <c r="F117" i="154"/>
  <c r="E118" i="154"/>
  <c r="E119" i="154"/>
  <c r="E120" i="154"/>
  <c r="E121" i="154"/>
  <c r="E122" i="154"/>
  <c r="E123" i="154"/>
  <c r="E117" i="154"/>
  <c r="D118" i="154"/>
  <c r="D119" i="154"/>
  <c r="D120" i="154"/>
  <c r="D121" i="154"/>
  <c r="D122" i="154"/>
  <c r="D123" i="154"/>
  <c r="D117" i="154"/>
  <c r="F106" i="154"/>
  <c r="F107" i="154"/>
  <c r="F108" i="154"/>
  <c r="F109" i="154"/>
  <c r="F110" i="154"/>
  <c r="F111" i="154"/>
  <c r="F105" i="154"/>
  <c r="E106" i="154"/>
  <c r="E107" i="154"/>
  <c r="E108" i="154"/>
  <c r="E109" i="154"/>
  <c r="E110" i="154"/>
  <c r="E111" i="154"/>
  <c r="E105" i="154"/>
  <c r="D106" i="154"/>
  <c r="D107" i="154"/>
  <c r="D108" i="154"/>
  <c r="D109" i="154"/>
  <c r="D110" i="154"/>
  <c r="D111" i="154"/>
  <c r="D105" i="154"/>
  <c r="F124" i="154" l="1"/>
  <c r="J7" i="163" l="1"/>
  <c r="H7" i="163"/>
  <c r="J6" i="163"/>
  <c r="H6" i="163"/>
  <c r="J5" i="163"/>
  <c r="H5" i="163"/>
  <c r="D106" i="155"/>
  <c r="Y6" i="135"/>
  <c r="Y7" i="135"/>
  <c r="Y8" i="135"/>
  <c r="Y9" i="135"/>
  <c r="Y10" i="135"/>
  <c r="Y13" i="135"/>
  <c r="Y5" i="135"/>
  <c r="T88" i="135"/>
  <c r="G73" i="135"/>
  <c r="A3" i="164"/>
  <c r="B28" i="164"/>
  <c r="A28" i="164"/>
  <c r="B27" i="164"/>
  <c r="A27" i="164"/>
  <c r="B26" i="164"/>
  <c r="A26" i="164"/>
  <c r="B25" i="164"/>
  <c r="A25" i="164"/>
  <c r="B24" i="164"/>
  <c r="A24" i="164"/>
  <c r="B23" i="164"/>
  <c r="A23" i="164"/>
  <c r="B22" i="164"/>
  <c r="A22" i="164"/>
  <c r="B21" i="164"/>
  <c r="A21" i="164"/>
  <c r="B20" i="164"/>
  <c r="A20" i="164"/>
  <c r="B19" i="164"/>
  <c r="A19" i="164"/>
  <c r="B18" i="164"/>
  <c r="A18" i="164"/>
  <c r="B17" i="164"/>
  <c r="A17" i="164"/>
  <c r="B16" i="164"/>
  <c r="A16" i="164"/>
  <c r="B15" i="164"/>
  <c r="A15" i="164"/>
  <c r="B14" i="164"/>
  <c r="A14" i="164"/>
  <c r="B13" i="164"/>
  <c r="A13" i="164"/>
  <c r="B12" i="164"/>
  <c r="A12" i="164"/>
  <c r="B11" i="164"/>
  <c r="A11" i="164"/>
  <c r="B10" i="164"/>
  <c r="A10" i="164"/>
  <c r="B9" i="164"/>
  <c r="A9" i="164"/>
  <c r="B8" i="164"/>
  <c r="A8" i="164"/>
  <c r="B7" i="164"/>
  <c r="A7" i="164"/>
  <c r="B6" i="164"/>
  <c r="A6" i="164"/>
  <c r="G5" i="164"/>
  <c r="D5" i="164"/>
  <c r="B5" i="164"/>
  <c r="A5" i="164"/>
  <c r="B4" i="164"/>
  <c r="A4" i="164"/>
  <c r="H2" i="164"/>
  <c r="G2" i="164"/>
  <c r="E2" i="164"/>
  <c r="D2" i="164"/>
  <c r="B2" i="164"/>
  <c r="A2" i="164"/>
  <c r="AJ4" i="158"/>
  <c r="AC36" i="158"/>
  <c r="AC37" i="158" s="1"/>
  <c r="AC35" i="158"/>
  <c r="AC34" i="158"/>
  <c r="AH36" i="158"/>
  <c r="AH37" i="158"/>
  <c r="AH38" i="158"/>
  <c r="AH39" i="158"/>
  <c r="AH40" i="158"/>
  <c r="AH41" i="158"/>
  <c r="AH42" i="158"/>
  <c r="AH43" i="158"/>
  <c r="AH44" i="158"/>
  <c r="AH45" i="158"/>
  <c r="AH46" i="158"/>
  <c r="AH47" i="158"/>
  <c r="AH48" i="158"/>
  <c r="AH49" i="158"/>
  <c r="AH50" i="158"/>
  <c r="AH51" i="158"/>
  <c r="AH52" i="158"/>
  <c r="AH53" i="158"/>
  <c r="AH54" i="158"/>
  <c r="AH55" i="158"/>
  <c r="AH56" i="158"/>
  <c r="AH57" i="158"/>
  <c r="AH58" i="158"/>
  <c r="AC64" i="158"/>
  <c r="AC4" i="158"/>
  <c r="AC5" i="158"/>
  <c r="AC6" i="158"/>
  <c r="AC67" i="158" l="1"/>
  <c r="AC38" i="158"/>
  <c r="AC65" i="158"/>
  <c r="AC8" i="158"/>
  <c r="AC66" i="158"/>
  <c r="AC7" i="158"/>
  <c r="AC68" i="158" l="1"/>
  <c r="AC39" i="158"/>
  <c r="AA370" i="162"/>
  <c r="AA368" i="162"/>
  <c r="AA187" i="162"/>
  <c r="AA369" i="162" s="1"/>
  <c r="AA188" i="162"/>
  <c r="AA186" i="162"/>
  <c r="AI82" i="129"/>
  <c r="AI83" i="129"/>
  <c r="AI139" i="129" s="1"/>
  <c r="AI84" i="129"/>
  <c r="AI140" i="129" s="1"/>
  <c r="AI85" i="129"/>
  <c r="AK141" i="129" s="1"/>
  <c r="AI86" i="129"/>
  <c r="AK142" i="129" s="1"/>
  <c r="AI87" i="129"/>
  <c r="AI88" i="129"/>
  <c r="AI144" i="129" s="1"/>
  <c r="AI89" i="129"/>
  <c r="AI145" i="129" s="1"/>
  <c r="AI90" i="129"/>
  <c r="AI146" i="129" s="1"/>
  <c r="AI91" i="129"/>
  <c r="AI147" i="129" s="1"/>
  <c r="AI92" i="129"/>
  <c r="AI93" i="129"/>
  <c r="AI149" i="129" s="1"/>
  <c r="AI94" i="129"/>
  <c r="AI150" i="129" s="1"/>
  <c r="AI95" i="129"/>
  <c r="AI96" i="129"/>
  <c r="AI97" i="129"/>
  <c r="AI98" i="129"/>
  <c r="AI154" i="129" s="1"/>
  <c r="AI99" i="129"/>
  <c r="AI155" i="129" s="1"/>
  <c r="AI100" i="129"/>
  <c r="AI156" i="129" s="1"/>
  <c r="AI101" i="129"/>
  <c r="AI157" i="129" s="1"/>
  <c r="AI102" i="129"/>
  <c r="AI103" i="129"/>
  <c r="AI104" i="129"/>
  <c r="AI105" i="129"/>
  <c r="AI161" i="129" s="1"/>
  <c r="AI106" i="129"/>
  <c r="AK162" i="129" s="1"/>
  <c r="AI107" i="129"/>
  <c r="AI163" i="129" s="1"/>
  <c r="AI108" i="129"/>
  <c r="AI164" i="129" s="1"/>
  <c r="AI109" i="129"/>
  <c r="AI110" i="129"/>
  <c r="AI166" i="129" s="1"/>
  <c r="AI111" i="129"/>
  <c r="AI112" i="129"/>
  <c r="AI113" i="129"/>
  <c r="AI169" i="129" s="1"/>
  <c r="AI114" i="129"/>
  <c r="AK170" i="129" s="1"/>
  <c r="AJ132" i="129"/>
  <c r="AJ133" i="129"/>
  <c r="AJ134" i="129"/>
  <c r="AJ135" i="129"/>
  <c r="AJ136" i="129"/>
  <c r="AJ137" i="129"/>
  <c r="AJ138" i="129"/>
  <c r="AJ139" i="129"/>
  <c r="AJ140" i="129"/>
  <c r="AJ141" i="129"/>
  <c r="AJ142" i="129"/>
  <c r="AJ143" i="129"/>
  <c r="AJ144" i="129"/>
  <c r="AJ145" i="129"/>
  <c r="AJ146" i="129"/>
  <c r="AJ147" i="129"/>
  <c r="AJ148" i="129"/>
  <c r="AJ149" i="129"/>
  <c r="AJ150" i="129"/>
  <c r="AJ151" i="129"/>
  <c r="AJ152" i="129"/>
  <c r="AJ153" i="129"/>
  <c r="AJ154" i="129"/>
  <c r="AJ155" i="129"/>
  <c r="AJ156" i="129"/>
  <c r="AJ157" i="129"/>
  <c r="AJ158" i="129"/>
  <c r="AJ159" i="129"/>
  <c r="AJ160" i="129"/>
  <c r="AJ161" i="129"/>
  <c r="AJ162" i="129"/>
  <c r="AJ163" i="129"/>
  <c r="AJ164" i="129"/>
  <c r="AJ165" i="129"/>
  <c r="AJ166" i="129"/>
  <c r="AJ167" i="129"/>
  <c r="AJ168" i="129"/>
  <c r="AJ169" i="129"/>
  <c r="AJ170" i="129"/>
  <c r="AF139" i="129"/>
  <c r="AH139" i="129"/>
  <c r="AF140" i="129"/>
  <c r="AH140" i="129"/>
  <c r="AF141" i="129"/>
  <c r="AH141" i="129"/>
  <c r="AF142" i="129"/>
  <c r="AG142" i="129"/>
  <c r="AH142" i="129"/>
  <c r="AI142" i="129"/>
  <c r="AF143" i="129"/>
  <c r="AG143" i="129"/>
  <c r="AH143" i="129"/>
  <c r="AF144" i="129"/>
  <c r="AH144" i="129"/>
  <c r="AF145" i="129"/>
  <c r="AH145" i="129"/>
  <c r="AF146" i="129"/>
  <c r="AH146" i="129"/>
  <c r="AF147" i="129"/>
  <c r="AH147" i="129"/>
  <c r="AF148" i="129"/>
  <c r="AH148" i="129"/>
  <c r="AF149" i="129"/>
  <c r="AH149" i="129"/>
  <c r="AF150" i="129"/>
  <c r="AH150" i="129"/>
  <c r="AF151" i="129"/>
  <c r="AG151" i="129"/>
  <c r="AH151" i="129"/>
  <c r="AF152" i="129"/>
  <c r="AH152" i="129"/>
  <c r="AF153" i="129"/>
  <c r="AH153" i="129"/>
  <c r="AF154" i="129"/>
  <c r="AH154" i="129"/>
  <c r="AF155" i="129"/>
  <c r="AH155" i="129"/>
  <c r="AF156" i="129"/>
  <c r="AH156" i="129"/>
  <c r="AF157" i="129"/>
  <c r="AH157" i="129"/>
  <c r="AF158" i="129"/>
  <c r="AH158" i="129"/>
  <c r="AI158" i="129"/>
  <c r="AF159" i="129"/>
  <c r="AH159" i="129"/>
  <c r="AI159" i="129"/>
  <c r="AF160" i="129"/>
  <c r="AH160" i="129"/>
  <c r="AI160" i="129"/>
  <c r="AK160" i="129"/>
  <c r="AF161" i="129"/>
  <c r="AG161" i="129"/>
  <c r="AH161" i="129"/>
  <c r="AF162" i="129"/>
  <c r="AG162" i="129"/>
  <c r="AH162" i="129"/>
  <c r="AF163" i="129"/>
  <c r="AH163" i="129"/>
  <c r="AF164" i="129"/>
  <c r="AH164" i="129"/>
  <c r="AF165" i="129"/>
  <c r="AH165" i="129"/>
  <c r="AI165" i="129"/>
  <c r="AF166" i="129"/>
  <c r="AH166" i="129"/>
  <c r="AF167" i="129"/>
  <c r="AH167" i="129"/>
  <c r="AF168" i="129"/>
  <c r="AH168" i="129"/>
  <c r="AF169" i="129"/>
  <c r="AH169" i="129"/>
  <c r="AF170" i="129"/>
  <c r="AH170" i="129"/>
  <c r="AC139" i="129"/>
  <c r="AC140" i="129"/>
  <c r="AC141" i="129"/>
  <c r="AC142" i="129"/>
  <c r="AC143" i="129"/>
  <c r="AC144" i="129"/>
  <c r="AC145" i="129"/>
  <c r="AC146" i="129"/>
  <c r="AC147" i="129"/>
  <c r="AC148" i="129"/>
  <c r="AC149" i="129"/>
  <c r="AC150" i="129"/>
  <c r="AC151" i="129"/>
  <c r="AC152" i="129"/>
  <c r="AC153" i="129"/>
  <c r="AC154" i="129"/>
  <c r="AC155" i="129"/>
  <c r="AC156" i="129"/>
  <c r="AC157" i="129"/>
  <c r="AC158" i="129"/>
  <c r="AC159" i="129"/>
  <c r="AC160" i="129"/>
  <c r="AC161" i="129"/>
  <c r="AC162" i="129"/>
  <c r="AC163" i="129"/>
  <c r="AC164" i="129"/>
  <c r="AC165" i="129"/>
  <c r="AC166" i="129"/>
  <c r="AC167" i="129"/>
  <c r="AC168" i="129"/>
  <c r="AC169" i="129"/>
  <c r="AC170" i="129"/>
  <c r="AG83" i="129"/>
  <c r="AG139" i="129" s="1"/>
  <c r="AK83" i="129"/>
  <c r="AG84" i="129"/>
  <c r="AG140" i="129" s="1"/>
  <c r="AK84" i="129"/>
  <c r="AG85" i="129"/>
  <c r="AG141" i="129" s="1"/>
  <c r="AK85" i="129"/>
  <c r="AG86" i="129"/>
  <c r="AK86" i="129"/>
  <c r="AG87" i="129"/>
  <c r="AK87" i="129"/>
  <c r="AG88" i="129"/>
  <c r="AG144" i="129" s="1"/>
  <c r="AK88" i="129"/>
  <c r="AG89" i="129"/>
  <c r="AG145" i="129" s="1"/>
  <c r="AK89" i="129"/>
  <c r="AG90" i="129"/>
  <c r="AG146" i="129" s="1"/>
  <c r="AK90" i="129"/>
  <c r="AG91" i="129"/>
  <c r="AG147" i="129" s="1"/>
  <c r="AK91" i="129"/>
  <c r="AG92" i="129"/>
  <c r="AG148" i="129" s="1"/>
  <c r="AK92" i="129"/>
  <c r="AG93" i="129"/>
  <c r="AG149" i="129" s="1"/>
  <c r="AK93" i="129"/>
  <c r="AG94" i="129"/>
  <c r="AG150" i="129" s="1"/>
  <c r="AK94" i="129"/>
  <c r="AG95" i="129"/>
  <c r="AK95" i="129"/>
  <c r="AG96" i="129"/>
  <c r="AG152" i="129" s="1"/>
  <c r="AK96" i="129"/>
  <c r="AG97" i="129"/>
  <c r="AG153" i="129" s="1"/>
  <c r="AK97" i="129"/>
  <c r="AG98" i="129"/>
  <c r="AG154" i="129" s="1"/>
  <c r="AK98" i="129"/>
  <c r="AG99" i="129"/>
  <c r="AG155" i="129" s="1"/>
  <c r="AK99" i="129"/>
  <c r="AG100" i="129"/>
  <c r="AG156" i="129" s="1"/>
  <c r="AK100" i="129"/>
  <c r="AG101" i="129"/>
  <c r="AG157" i="129" s="1"/>
  <c r="AK101" i="129"/>
  <c r="AG102" i="129"/>
  <c r="AG158" i="129" s="1"/>
  <c r="AK102" i="129"/>
  <c r="AK158" i="129" s="1"/>
  <c r="AG103" i="129"/>
  <c r="AG159" i="129" s="1"/>
  <c r="AK103" i="129"/>
  <c r="AK159" i="129" s="1"/>
  <c r="AG104" i="129"/>
  <c r="AG160" i="129" s="1"/>
  <c r="AK104" i="129"/>
  <c r="AG105" i="129"/>
  <c r="AK105" i="129"/>
  <c r="AG106" i="129"/>
  <c r="AK106" i="129"/>
  <c r="AG107" i="129"/>
  <c r="AG163" i="129" s="1"/>
  <c r="AK107" i="129"/>
  <c r="AG108" i="129"/>
  <c r="AG164" i="129" s="1"/>
  <c r="AK108" i="129"/>
  <c r="AG109" i="129"/>
  <c r="AG165" i="129" s="1"/>
  <c r="AK109" i="129"/>
  <c r="AG110" i="129"/>
  <c r="AG166" i="129" s="1"/>
  <c r="AK110" i="129"/>
  <c r="AG111" i="129"/>
  <c r="AG167" i="129" s="1"/>
  <c r="AK111" i="129"/>
  <c r="AG112" i="129"/>
  <c r="AG168" i="129" s="1"/>
  <c r="AK112" i="129"/>
  <c r="AG113" i="129"/>
  <c r="AG169" i="129" s="1"/>
  <c r="AK113" i="129"/>
  <c r="AG114" i="129"/>
  <c r="AG170" i="129" s="1"/>
  <c r="AK114" i="129"/>
  <c r="AC5" i="129"/>
  <c r="AC6" i="129"/>
  <c r="AC7" i="129"/>
  <c r="AC8" i="129"/>
  <c r="AC9" i="129"/>
  <c r="AC10" i="129"/>
  <c r="AC11" i="129"/>
  <c r="AC12" i="129"/>
  <c r="AC13" i="129"/>
  <c r="AC14" i="129"/>
  <c r="AC15" i="129"/>
  <c r="AC16" i="129"/>
  <c r="AC17" i="129"/>
  <c r="AC18" i="129"/>
  <c r="AC19" i="129"/>
  <c r="AC20" i="129"/>
  <c r="AC21" i="129"/>
  <c r="AC22" i="129"/>
  <c r="AC23" i="129"/>
  <c r="AC24" i="129"/>
  <c r="AC25" i="129"/>
  <c r="AC26" i="129"/>
  <c r="AC27" i="129"/>
  <c r="AC28" i="129"/>
  <c r="AC29" i="129"/>
  <c r="AC30" i="129"/>
  <c r="AC31" i="129"/>
  <c r="AC32" i="129"/>
  <c r="AC33" i="129"/>
  <c r="AC34" i="129"/>
  <c r="AC35" i="129"/>
  <c r="AC36" i="129"/>
  <c r="AC37" i="129"/>
  <c r="AC38" i="129"/>
  <c r="AC39" i="129"/>
  <c r="AC40" i="129"/>
  <c r="AC41" i="129"/>
  <c r="AC42" i="129"/>
  <c r="AC43" i="129"/>
  <c r="AC44" i="129"/>
  <c r="AC45" i="129"/>
  <c r="AC46" i="129"/>
  <c r="AC47" i="129"/>
  <c r="AC48" i="129"/>
  <c r="AC49" i="129"/>
  <c r="AC50" i="129"/>
  <c r="AC51" i="129"/>
  <c r="AC52" i="129"/>
  <c r="AC53" i="129"/>
  <c r="AC54" i="129"/>
  <c r="AC55" i="129"/>
  <c r="AC4" i="129"/>
  <c r="AA4" i="162"/>
  <c r="D3" i="164" s="1"/>
  <c r="AA5" i="162"/>
  <c r="D4" i="164" s="1"/>
  <c r="AB121" i="129"/>
  <c r="AB65" i="129"/>
  <c r="AG363" i="162"/>
  <c r="AB58" i="162"/>
  <c r="AB59" i="162"/>
  <c r="AB60" i="162"/>
  <c r="AB61" i="162"/>
  <c r="AB62" i="162"/>
  <c r="AB63" i="162"/>
  <c r="AB64" i="162"/>
  <c r="AB65" i="162"/>
  <c r="AB66" i="162"/>
  <c r="AB67" i="162"/>
  <c r="AB68" i="162"/>
  <c r="AB69" i="162"/>
  <c r="AB70" i="162"/>
  <c r="AB71" i="162"/>
  <c r="AB72" i="162"/>
  <c r="AB73" i="162"/>
  <c r="AB74" i="162"/>
  <c r="AB75" i="162"/>
  <c r="AB76" i="162"/>
  <c r="AB77" i="162"/>
  <c r="AB78" i="162"/>
  <c r="AB79" i="162"/>
  <c r="AB80" i="162"/>
  <c r="AB81" i="162"/>
  <c r="AB82" i="162"/>
  <c r="AB83" i="162"/>
  <c r="AB84" i="162"/>
  <c r="AB85" i="162"/>
  <c r="AB86" i="162"/>
  <c r="AB87" i="162"/>
  <c r="AB88" i="162"/>
  <c r="AB89" i="162"/>
  <c r="AB90" i="162"/>
  <c r="AB91" i="162"/>
  <c r="AB92" i="162"/>
  <c r="AB93" i="162"/>
  <c r="AB94" i="162"/>
  <c r="AB95" i="162"/>
  <c r="AB96" i="162"/>
  <c r="AB97" i="162"/>
  <c r="AB98" i="162"/>
  <c r="AB99" i="162"/>
  <c r="AB100" i="162"/>
  <c r="AB101" i="162"/>
  <c r="AB102" i="162"/>
  <c r="AB103" i="162"/>
  <c r="AB104" i="162"/>
  <c r="AB105" i="162"/>
  <c r="AB106" i="162"/>
  <c r="AB107" i="162"/>
  <c r="AB108" i="162"/>
  <c r="AB109" i="162"/>
  <c r="AB110" i="162"/>
  <c r="AB111" i="162"/>
  <c r="AB112" i="162"/>
  <c r="AB113" i="162"/>
  <c r="AB114" i="162"/>
  <c r="AB115" i="162"/>
  <c r="AB116" i="162"/>
  <c r="AB117" i="162"/>
  <c r="AB118" i="162"/>
  <c r="AB119" i="162"/>
  <c r="AB120" i="162"/>
  <c r="AB121" i="162"/>
  <c r="AB122" i="162"/>
  <c r="AB123" i="162"/>
  <c r="AB124" i="162"/>
  <c r="AB125" i="162"/>
  <c r="AB126" i="162"/>
  <c r="AB127" i="162"/>
  <c r="AB128" i="162"/>
  <c r="AB129" i="162"/>
  <c r="AB130" i="162"/>
  <c r="AB131" i="162"/>
  <c r="AB132" i="162"/>
  <c r="AB133" i="162"/>
  <c r="AB134" i="162"/>
  <c r="AB135" i="162"/>
  <c r="AB136" i="162"/>
  <c r="AB137" i="162"/>
  <c r="AB138" i="162"/>
  <c r="AB139" i="162"/>
  <c r="AB140" i="162"/>
  <c r="AB141" i="162"/>
  <c r="AB142" i="162"/>
  <c r="AB143" i="162"/>
  <c r="AB144" i="162"/>
  <c r="AB145" i="162"/>
  <c r="AB146" i="162"/>
  <c r="AB147" i="162"/>
  <c r="AB148" i="162"/>
  <c r="AB149" i="162"/>
  <c r="AB150" i="162"/>
  <c r="AB151" i="162"/>
  <c r="AB152" i="162"/>
  <c r="AB153" i="162"/>
  <c r="AB154" i="162"/>
  <c r="AB155" i="162"/>
  <c r="AB156" i="162"/>
  <c r="AB157" i="162"/>
  <c r="AB158" i="162"/>
  <c r="AB159" i="162"/>
  <c r="AB160" i="162"/>
  <c r="AB161" i="162"/>
  <c r="AB162" i="162"/>
  <c r="AB163" i="162"/>
  <c r="AB164" i="162"/>
  <c r="AB165" i="162"/>
  <c r="AB166" i="162"/>
  <c r="AB167" i="162"/>
  <c r="AB168" i="162"/>
  <c r="AB169" i="162"/>
  <c r="AB170" i="162"/>
  <c r="AB171" i="162"/>
  <c r="AB172" i="162"/>
  <c r="AB173" i="162"/>
  <c r="AB174" i="162"/>
  <c r="AB175" i="162"/>
  <c r="AB176" i="162"/>
  <c r="AB177" i="162"/>
  <c r="AB178" i="162"/>
  <c r="AB179" i="162"/>
  <c r="AB180" i="162"/>
  <c r="AB24" i="162"/>
  <c r="AB25" i="162"/>
  <c r="AB26" i="162"/>
  <c r="AB27" i="162"/>
  <c r="AB28" i="162"/>
  <c r="AB29" i="162"/>
  <c r="AB30" i="162"/>
  <c r="AB31" i="162"/>
  <c r="AB32" i="162"/>
  <c r="AB33" i="162"/>
  <c r="AB34" i="162"/>
  <c r="AB35" i="162"/>
  <c r="AB36" i="162"/>
  <c r="AB37" i="162"/>
  <c r="AB38" i="162"/>
  <c r="AB39" i="162"/>
  <c r="AB40" i="162"/>
  <c r="AB41" i="162"/>
  <c r="AB42" i="162"/>
  <c r="AB43" i="162"/>
  <c r="AB44" i="162"/>
  <c r="AB45" i="162"/>
  <c r="AB46" i="162"/>
  <c r="AB47" i="162"/>
  <c r="AB48" i="162"/>
  <c r="AB49" i="162"/>
  <c r="AB50" i="162"/>
  <c r="AB51" i="162"/>
  <c r="AB52" i="162"/>
  <c r="AB53" i="162"/>
  <c r="AB54" i="162"/>
  <c r="AB55" i="162"/>
  <c r="AB56" i="162"/>
  <c r="AB57" i="162"/>
  <c r="AG388" i="162"/>
  <c r="AG389" i="162"/>
  <c r="AG390" i="162"/>
  <c r="AG391" i="162"/>
  <c r="AG392" i="162"/>
  <c r="AG393" i="162"/>
  <c r="AG394" i="162"/>
  <c r="AG395" i="162"/>
  <c r="AG396" i="162"/>
  <c r="AG397" i="162"/>
  <c r="AG398" i="162"/>
  <c r="AG399" i="162"/>
  <c r="AG400" i="162"/>
  <c r="AG401" i="162"/>
  <c r="AG402" i="162"/>
  <c r="AG403" i="162"/>
  <c r="AG404" i="162"/>
  <c r="AG405" i="162"/>
  <c r="AG406" i="162"/>
  <c r="AG407" i="162"/>
  <c r="AG408" i="162"/>
  <c r="AG409" i="162"/>
  <c r="AG410" i="162"/>
  <c r="AG411" i="162"/>
  <c r="AG412" i="162"/>
  <c r="AG413" i="162"/>
  <c r="AG414" i="162"/>
  <c r="AG415" i="162"/>
  <c r="AG416" i="162"/>
  <c r="AG417" i="162"/>
  <c r="AG418" i="162"/>
  <c r="AG419" i="162"/>
  <c r="AG420" i="162"/>
  <c r="AG421" i="162"/>
  <c r="AG422" i="162"/>
  <c r="AG423" i="162"/>
  <c r="AG424" i="162"/>
  <c r="AG425" i="162"/>
  <c r="AG426" i="162"/>
  <c r="AG427" i="162"/>
  <c r="AG428" i="162"/>
  <c r="AG429" i="162"/>
  <c r="AG430" i="162"/>
  <c r="AG431" i="162"/>
  <c r="AG432" i="162"/>
  <c r="AG433" i="162"/>
  <c r="AG434" i="162"/>
  <c r="AG435" i="162"/>
  <c r="AG436" i="162"/>
  <c r="AG437" i="162"/>
  <c r="AG438" i="162"/>
  <c r="AG439" i="162"/>
  <c r="AG440" i="162"/>
  <c r="AG441" i="162"/>
  <c r="AG442" i="162"/>
  <c r="AG443" i="162"/>
  <c r="AG444" i="162"/>
  <c r="AG445" i="162"/>
  <c r="AG446" i="162"/>
  <c r="AG447" i="162"/>
  <c r="AG448" i="162"/>
  <c r="AG449" i="162"/>
  <c r="AG450" i="162"/>
  <c r="AG451" i="162"/>
  <c r="AG452" i="162"/>
  <c r="AG453" i="162"/>
  <c r="AG454" i="162"/>
  <c r="AG455" i="162"/>
  <c r="AG456" i="162"/>
  <c r="AG457" i="162"/>
  <c r="AG458" i="162"/>
  <c r="AG459" i="162"/>
  <c r="AG460" i="162"/>
  <c r="AG461" i="162"/>
  <c r="AG462" i="162"/>
  <c r="AG463" i="162"/>
  <c r="AG464" i="162"/>
  <c r="AG465" i="162"/>
  <c r="AG466" i="162"/>
  <c r="AG467" i="162"/>
  <c r="AG468" i="162"/>
  <c r="AG469" i="162"/>
  <c r="AG470" i="162"/>
  <c r="AG471" i="162"/>
  <c r="AG472" i="162"/>
  <c r="AG473" i="162"/>
  <c r="AG474" i="162"/>
  <c r="AG475" i="162"/>
  <c r="AG476" i="162"/>
  <c r="AG477" i="162"/>
  <c r="AG478" i="162"/>
  <c r="AG479" i="162"/>
  <c r="AG480" i="162"/>
  <c r="AG481" i="162"/>
  <c r="AG482" i="162"/>
  <c r="AG483" i="162"/>
  <c r="AG484" i="162"/>
  <c r="AG485" i="162"/>
  <c r="AG486" i="162"/>
  <c r="AG487" i="162"/>
  <c r="AG488" i="162"/>
  <c r="AG489" i="162"/>
  <c r="AG490" i="162"/>
  <c r="AG491" i="162"/>
  <c r="AG492" i="162"/>
  <c r="AG493" i="162"/>
  <c r="AG494" i="162"/>
  <c r="AG495" i="162"/>
  <c r="AG496" i="162"/>
  <c r="AG497" i="162"/>
  <c r="AG498" i="162"/>
  <c r="AG499" i="162"/>
  <c r="AG500" i="162"/>
  <c r="AG501" i="162"/>
  <c r="AG502" i="162"/>
  <c r="AG503" i="162"/>
  <c r="AG504" i="162"/>
  <c r="AG505" i="162"/>
  <c r="AG506" i="162"/>
  <c r="AG507" i="162"/>
  <c r="AG508" i="162"/>
  <c r="AG509" i="162"/>
  <c r="AG510" i="162"/>
  <c r="AG511" i="162"/>
  <c r="AG512" i="162"/>
  <c r="AG513" i="162"/>
  <c r="AG514" i="162"/>
  <c r="AG515" i="162"/>
  <c r="AG516" i="162"/>
  <c r="AG517" i="162"/>
  <c r="AG518" i="162"/>
  <c r="AG519" i="162"/>
  <c r="AG520" i="162"/>
  <c r="AG521" i="162"/>
  <c r="AG522" i="162"/>
  <c r="AG523" i="162"/>
  <c r="AG524" i="162"/>
  <c r="AG525" i="162"/>
  <c r="AG526" i="162"/>
  <c r="AG527" i="162"/>
  <c r="AG528" i="162"/>
  <c r="AG529" i="162"/>
  <c r="AG530" i="162"/>
  <c r="AG531" i="162"/>
  <c r="AG532" i="162"/>
  <c r="AG533" i="162"/>
  <c r="AG534" i="162"/>
  <c r="AG535" i="162"/>
  <c r="AG536" i="162"/>
  <c r="AG537" i="162"/>
  <c r="AG538" i="162"/>
  <c r="AG539" i="162"/>
  <c r="AG540" i="162"/>
  <c r="AG541" i="162"/>
  <c r="AG542" i="162"/>
  <c r="AG543" i="162"/>
  <c r="AG544" i="162"/>
  <c r="AB388" i="162"/>
  <c r="AI388" i="162"/>
  <c r="AB389" i="162"/>
  <c r="AI389" i="162"/>
  <c r="AB390" i="162"/>
  <c r="AI390" i="162"/>
  <c r="AB391" i="162"/>
  <c r="AI391" i="162"/>
  <c r="AB392" i="162"/>
  <c r="AI392" i="162"/>
  <c r="AB393" i="162"/>
  <c r="AI393" i="162"/>
  <c r="AB394" i="162"/>
  <c r="AI394" i="162"/>
  <c r="AB395" i="162"/>
  <c r="AI395" i="162"/>
  <c r="AB396" i="162"/>
  <c r="AI396" i="162"/>
  <c r="AB397" i="162"/>
  <c r="AI397" i="162"/>
  <c r="AB398" i="162"/>
  <c r="AI398" i="162"/>
  <c r="AB399" i="162"/>
  <c r="AI399" i="162"/>
  <c r="AB400" i="162"/>
  <c r="AI400" i="162"/>
  <c r="AB401" i="162"/>
  <c r="AI401" i="162"/>
  <c r="AB402" i="162"/>
  <c r="AI402" i="162"/>
  <c r="AB403" i="162"/>
  <c r="AI403" i="162"/>
  <c r="AB404" i="162"/>
  <c r="AI404" i="162"/>
  <c r="AB405" i="162"/>
  <c r="AI405" i="162"/>
  <c r="AB406" i="162"/>
  <c r="AI406" i="162"/>
  <c r="AB407" i="162"/>
  <c r="AI407" i="162"/>
  <c r="AB408" i="162"/>
  <c r="AI408" i="162"/>
  <c r="AB409" i="162"/>
  <c r="AI409" i="162"/>
  <c r="AB410" i="162"/>
  <c r="AI410" i="162"/>
  <c r="AB411" i="162"/>
  <c r="AI411" i="162"/>
  <c r="AB412" i="162"/>
  <c r="AI412" i="162"/>
  <c r="AB413" i="162"/>
  <c r="AI413" i="162"/>
  <c r="AB414" i="162"/>
  <c r="AI414" i="162"/>
  <c r="AB415" i="162"/>
  <c r="AI415" i="162"/>
  <c r="AB416" i="162"/>
  <c r="AI416" i="162"/>
  <c r="AB417" i="162"/>
  <c r="AI417" i="162"/>
  <c r="AB418" i="162"/>
  <c r="AI418" i="162"/>
  <c r="AB419" i="162"/>
  <c r="AI419" i="162"/>
  <c r="AB420" i="162"/>
  <c r="AI420" i="162"/>
  <c r="AB421" i="162"/>
  <c r="AI421" i="162"/>
  <c r="AB422" i="162"/>
  <c r="AI422" i="162"/>
  <c r="AB423" i="162"/>
  <c r="AI423" i="162"/>
  <c r="AB424" i="162"/>
  <c r="AI424" i="162"/>
  <c r="AB425" i="162"/>
  <c r="AI425" i="162"/>
  <c r="AB426" i="162"/>
  <c r="AI426" i="162"/>
  <c r="AB427" i="162"/>
  <c r="AI427" i="162"/>
  <c r="AB428" i="162"/>
  <c r="AI428" i="162"/>
  <c r="AB429" i="162"/>
  <c r="AI429" i="162"/>
  <c r="AB430" i="162"/>
  <c r="AI430" i="162"/>
  <c r="AB431" i="162"/>
  <c r="AI431" i="162"/>
  <c r="AB432" i="162"/>
  <c r="AI432" i="162"/>
  <c r="AB433" i="162"/>
  <c r="AI433" i="162"/>
  <c r="AB434" i="162"/>
  <c r="AI434" i="162"/>
  <c r="AB435" i="162"/>
  <c r="AI435" i="162"/>
  <c r="AB436" i="162"/>
  <c r="AI436" i="162"/>
  <c r="AB437" i="162"/>
  <c r="AI437" i="162"/>
  <c r="AB438" i="162"/>
  <c r="AI438" i="162"/>
  <c r="AB439" i="162"/>
  <c r="AI439" i="162"/>
  <c r="AB440" i="162"/>
  <c r="AI440" i="162"/>
  <c r="AB441" i="162"/>
  <c r="AI441" i="162"/>
  <c r="AB442" i="162"/>
  <c r="AI442" i="162"/>
  <c r="AB443" i="162"/>
  <c r="AI443" i="162"/>
  <c r="AB444" i="162"/>
  <c r="AI444" i="162"/>
  <c r="AB445" i="162"/>
  <c r="AI445" i="162"/>
  <c r="AB446" i="162"/>
  <c r="AI446" i="162"/>
  <c r="AB447" i="162"/>
  <c r="AI447" i="162"/>
  <c r="AB448" i="162"/>
  <c r="AI448" i="162"/>
  <c r="AB449" i="162"/>
  <c r="AI449" i="162"/>
  <c r="AB450" i="162"/>
  <c r="AI450" i="162"/>
  <c r="AB451" i="162"/>
  <c r="AI451" i="162"/>
  <c r="AB452" i="162"/>
  <c r="AI452" i="162"/>
  <c r="AB453" i="162"/>
  <c r="AI453" i="162"/>
  <c r="AB454" i="162"/>
  <c r="AI454" i="162"/>
  <c r="AB455" i="162"/>
  <c r="AI455" i="162"/>
  <c r="AB456" i="162"/>
  <c r="AI456" i="162"/>
  <c r="AB457" i="162"/>
  <c r="AI457" i="162"/>
  <c r="AB458" i="162"/>
  <c r="AI458" i="162"/>
  <c r="AB459" i="162"/>
  <c r="AI459" i="162"/>
  <c r="AB460" i="162"/>
  <c r="AI460" i="162"/>
  <c r="AB461" i="162"/>
  <c r="AI461" i="162"/>
  <c r="AB462" i="162"/>
  <c r="AI462" i="162"/>
  <c r="AB463" i="162"/>
  <c r="AI463" i="162"/>
  <c r="AB464" i="162"/>
  <c r="AI464" i="162"/>
  <c r="AB465" i="162"/>
  <c r="AI465" i="162"/>
  <c r="AB466" i="162"/>
  <c r="AI466" i="162"/>
  <c r="AB467" i="162"/>
  <c r="AI467" i="162"/>
  <c r="AB468" i="162"/>
  <c r="AI468" i="162"/>
  <c r="AB469" i="162"/>
  <c r="AI469" i="162"/>
  <c r="AB470" i="162"/>
  <c r="AI470" i="162"/>
  <c r="AB471" i="162"/>
  <c r="AI471" i="162"/>
  <c r="AB472" i="162"/>
  <c r="AI472" i="162"/>
  <c r="AB473" i="162"/>
  <c r="AI473" i="162"/>
  <c r="AB474" i="162"/>
  <c r="AI474" i="162"/>
  <c r="AB475" i="162"/>
  <c r="AI475" i="162"/>
  <c r="AB476" i="162"/>
  <c r="AI476" i="162"/>
  <c r="AB477" i="162"/>
  <c r="AI477" i="162"/>
  <c r="AB478" i="162"/>
  <c r="AI478" i="162"/>
  <c r="AB479" i="162"/>
  <c r="AI479" i="162"/>
  <c r="AB480" i="162"/>
  <c r="AI480" i="162"/>
  <c r="AB481" i="162"/>
  <c r="AI481" i="162"/>
  <c r="AB482" i="162"/>
  <c r="AI482" i="162"/>
  <c r="AB483" i="162"/>
  <c r="AI483" i="162"/>
  <c r="AB484" i="162"/>
  <c r="AI484" i="162"/>
  <c r="AB485" i="162"/>
  <c r="AI485" i="162"/>
  <c r="AB486" i="162"/>
  <c r="AI486" i="162"/>
  <c r="AB487" i="162"/>
  <c r="AI487" i="162"/>
  <c r="AB488" i="162"/>
  <c r="AI488" i="162"/>
  <c r="AB489" i="162"/>
  <c r="AI489" i="162"/>
  <c r="AB490" i="162"/>
  <c r="AI490" i="162"/>
  <c r="AB491" i="162"/>
  <c r="AI491" i="162"/>
  <c r="AB492" i="162"/>
  <c r="AI492" i="162"/>
  <c r="AB493" i="162"/>
  <c r="AI493" i="162"/>
  <c r="AB494" i="162"/>
  <c r="AI494" i="162"/>
  <c r="AB495" i="162"/>
  <c r="AI495" i="162"/>
  <c r="AB496" i="162"/>
  <c r="AI496" i="162"/>
  <c r="AB497" i="162"/>
  <c r="AI497" i="162"/>
  <c r="AB498" i="162"/>
  <c r="AI498" i="162"/>
  <c r="AB499" i="162"/>
  <c r="AI499" i="162"/>
  <c r="AB500" i="162"/>
  <c r="AI500" i="162"/>
  <c r="AB501" i="162"/>
  <c r="AI501" i="162"/>
  <c r="AB502" i="162"/>
  <c r="AI502" i="162"/>
  <c r="AB503" i="162"/>
  <c r="AI503" i="162"/>
  <c r="AB504" i="162"/>
  <c r="AI504" i="162"/>
  <c r="AB505" i="162"/>
  <c r="AI505" i="162"/>
  <c r="AB506" i="162"/>
  <c r="AI506" i="162"/>
  <c r="AB507" i="162"/>
  <c r="AI507" i="162"/>
  <c r="AB508" i="162"/>
  <c r="AI508" i="162"/>
  <c r="AB509" i="162"/>
  <c r="AI509" i="162"/>
  <c r="AB510" i="162"/>
  <c r="AI510" i="162"/>
  <c r="AB511" i="162"/>
  <c r="AI511" i="162"/>
  <c r="AB512" i="162"/>
  <c r="AI512" i="162"/>
  <c r="AB513" i="162"/>
  <c r="AI513" i="162"/>
  <c r="AB514" i="162"/>
  <c r="AI514" i="162"/>
  <c r="AB515" i="162"/>
  <c r="AI515" i="162"/>
  <c r="AB516" i="162"/>
  <c r="AI516" i="162"/>
  <c r="AB517" i="162"/>
  <c r="AI517" i="162"/>
  <c r="AB518" i="162"/>
  <c r="AI518" i="162"/>
  <c r="AB519" i="162"/>
  <c r="AI519" i="162"/>
  <c r="AB520" i="162"/>
  <c r="AI520" i="162"/>
  <c r="AB521" i="162"/>
  <c r="AI521" i="162"/>
  <c r="AB522" i="162"/>
  <c r="AI522" i="162"/>
  <c r="AB523" i="162"/>
  <c r="AI523" i="162"/>
  <c r="AB524" i="162"/>
  <c r="AI524" i="162"/>
  <c r="AB525" i="162"/>
  <c r="AI525" i="162"/>
  <c r="AB526" i="162"/>
  <c r="AI526" i="162"/>
  <c r="AB527" i="162"/>
  <c r="AI527" i="162"/>
  <c r="AB528" i="162"/>
  <c r="AI528" i="162"/>
  <c r="AB529" i="162"/>
  <c r="AI529" i="162"/>
  <c r="AB530" i="162"/>
  <c r="AI530" i="162"/>
  <c r="AB531" i="162"/>
  <c r="AI531" i="162"/>
  <c r="AB532" i="162"/>
  <c r="AI532" i="162"/>
  <c r="AB533" i="162"/>
  <c r="AI533" i="162"/>
  <c r="AB534" i="162"/>
  <c r="AI534" i="162"/>
  <c r="AB535" i="162"/>
  <c r="AI535" i="162"/>
  <c r="AB536" i="162"/>
  <c r="AI536" i="162"/>
  <c r="AB537" i="162"/>
  <c r="AI537" i="162"/>
  <c r="AB538" i="162"/>
  <c r="AI538" i="162"/>
  <c r="AB539" i="162"/>
  <c r="AI539" i="162"/>
  <c r="AB540" i="162"/>
  <c r="AI540" i="162"/>
  <c r="AB541" i="162"/>
  <c r="AI541" i="162"/>
  <c r="AB542" i="162"/>
  <c r="AI542" i="162"/>
  <c r="AB543" i="162"/>
  <c r="AI543" i="162"/>
  <c r="AB544" i="162"/>
  <c r="AI544" i="162"/>
  <c r="AE355" i="162"/>
  <c r="AF355" i="162" s="1"/>
  <c r="AF537" i="162" s="1"/>
  <c r="AH355" i="162"/>
  <c r="AH537" i="162" s="1"/>
  <c r="AJ355" i="162"/>
  <c r="AE356" i="162"/>
  <c r="AF356" i="162" s="1"/>
  <c r="AF538" i="162" s="1"/>
  <c r="AH356" i="162"/>
  <c r="AH538" i="162" s="1"/>
  <c r="AJ356" i="162"/>
  <c r="AE357" i="162"/>
  <c r="AH357" i="162"/>
  <c r="AH539" i="162" s="1"/>
  <c r="AJ357" i="162"/>
  <c r="AE358" i="162"/>
  <c r="AH358" i="162"/>
  <c r="AH540" i="162" s="1"/>
  <c r="AJ358" i="162"/>
  <c r="AE359" i="162"/>
  <c r="AE541" i="162" s="1"/>
  <c r="AH359" i="162"/>
  <c r="AH541" i="162" s="1"/>
  <c r="AJ359" i="162"/>
  <c r="AE360" i="162"/>
  <c r="AE542" i="162" s="1"/>
  <c r="AH360" i="162"/>
  <c r="AH542" i="162" s="1"/>
  <c r="AJ360" i="162"/>
  <c r="AE361" i="162"/>
  <c r="AF361" i="162" s="1"/>
  <c r="AF543" i="162" s="1"/>
  <c r="AH361" i="162"/>
  <c r="AH543" i="162" s="1"/>
  <c r="AJ361" i="162"/>
  <c r="AE362" i="162"/>
  <c r="AE544" i="162" s="1"/>
  <c r="AH362" i="162"/>
  <c r="AH544" i="162" s="1"/>
  <c r="AJ362" i="162"/>
  <c r="AE308" i="162"/>
  <c r="AF308" i="162" s="1"/>
  <c r="AF490" i="162" s="1"/>
  <c r="AH308" i="162"/>
  <c r="AH490" i="162" s="1"/>
  <c r="AJ308" i="162"/>
  <c r="AE309" i="162"/>
  <c r="AE491" i="162" s="1"/>
  <c r="AH309" i="162"/>
  <c r="AH491" i="162" s="1"/>
  <c r="AJ309" i="162"/>
  <c r="AE310" i="162"/>
  <c r="AF310" i="162" s="1"/>
  <c r="AF492" i="162" s="1"/>
  <c r="AH310" i="162"/>
  <c r="AH492" i="162" s="1"/>
  <c r="AJ310" i="162"/>
  <c r="AE311" i="162"/>
  <c r="AH311" i="162"/>
  <c r="AH493" i="162" s="1"/>
  <c r="AJ311" i="162"/>
  <c r="AE312" i="162"/>
  <c r="AH312" i="162"/>
  <c r="AH494" i="162" s="1"/>
  <c r="AJ312" i="162"/>
  <c r="AE313" i="162"/>
  <c r="AE495" i="162" s="1"/>
  <c r="AH313" i="162"/>
  <c r="AH495" i="162" s="1"/>
  <c r="AJ313" i="162"/>
  <c r="AE314" i="162"/>
  <c r="AE496" i="162" s="1"/>
  <c r="AH314" i="162"/>
  <c r="AH496" i="162" s="1"/>
  <c r="AJ314" i="162"/>
  <c r="AE315" i="162"/>
  <c r="AH315" i="162"/>
  <c r="AH497" i="162" s="1"/>
  <c r="AJ315" i="162"/>
  <c r="AE316" i="162"/>
  <c r="AF316" i="162" s="1"/>
  <c r="AF498" i="162" s="1"/>
  <c r="AH316" i="162"/>
  <c r="AH498" i="162" s="1"/>
  <c r="AJ316" i="162"/>
  <c r="AE317" i="162"/>
  <c r="AE499" i="162" s="1"/>
  <c r="AH317" i="162"/>
  <c r="AH499" i="162" s="1"/>
  <c r="AJ317" i="162"/>
  <c r="AE318" i="162"/>
  <c r="AH318" i="162"/>
  <c r="AH500" i="162" s="1"/>
  <c r="AJ318" i="162"/>
  <c r="AE319" i="162"/>
  <c r="AE501" i="162" s="1"/>
  <c r="AF319" i="162"/>
  <c r="AF501" i="162" s="1"/>
  <c r="AH319" i="162"/>
  <c r="AH501" i="162" s="1"/>
  <c r="AJ319" i="162"/>
  <c r="AE320" i="162"/>
  <c r="AH320" i="162"/>
  <c r="AH502" i="162" s="1"/>
  <c r="AJ320" i="162"/>
  <c r="AE321" i="162"/>
  <c r="AH321" i="162"/>
  <c r="AH503" i="162" s="1"/>
  <c r="AJ321" i="162"/>
  <c r="AE322" i="162"/>
  <c r="AF322" i="162" s="1"/>
  <c r="AF504" i="162" s="1"/>
  <c r="AH322" i="162"/>
  <c r="AH504" i="162" s="1"/>
  <c r="AJ322" i="162"/>
  <c r="AE323" i="162"/>
  <c r="AE505" i="162" s="1"/>
  <c r="AH323" i="162"/>
  <c r="AH505" i="162" s="1"/>
  <c r="AJ323" i="162"/>
  <c r="AE324" i="162"/>
  <c r="AF324" i="162" s="1"/>
  <c r="AF506" i="162" s="1"/>
  <c r="AH324" i="162"/>
  <c r="AH506" i="162" s="1"/>
  <c r="AJ324" i="162"/>
  <c r="AE325" i="162"/>
  <c r="AH325" i="162"/>
  <c r="AH507" i="162" s="1"/>
  <c r="AJ325" i="162"/>
  <c r="AE326" i="162"/>
  <c r="AE508" i="162" s="1"/>
  <c r="AH326" i="162"/>
  <c r="AH508" i="162" s="1"/>
  <c r="AJ326" i="162"/>
  <c r="AE327" i="162"/>
  <c r="AH327" i="162"/>
  <c r="AH509" i="162" s="1"/>
  <c r="AJ327" i="162"/>
  <c r="AE328" i="162"/>
  <c r="AF328" i="162" s="1"/>
  <c r="AF510" i="162" s="1"/>
  <c r="AH328" i="162"/>
  <c r="AH510" i="162" s="1"/>
  <c r="AJ328" i="162"/>
  <c r="AE329" i="162"/>
  <c r="AF329" i="162" s="1"/>
  <c r="AF511" i="162" s="1"/>
  <c r="AH329" i="162"/>
  <c r="AH511" i="162" s="1"/>
  <c r="AJ329" i="162"/>
  <c r="AE330" i="162"/>
  <c r="AE512" i="162" s="1"/>
  <c r="AH330" i="162"/>
  <c r="AH512" i="162" s="1"/>
  <c r="AJ330" i="162"/>
  <c r="AE331" i="162"/>
  <c r="AH331" i="162"/>
  <c r="AH513" i="162" s="1"/>
  <c r="AJ331" i="162"/>
  <c r="AE332" i="162"/>
  <c r="AE514" i="162" s="1"/>
  <c r="AH332" i="162"/>
  <c r="AH514" i="162" s="1"/>
  <c r="AJ332" i="162"/>
  <c r="AE333" i="162"/>
  <c r="AH333" i="162"/>
  <c r="AH515" i="162" s="1"/>
  <c r="AJ333" i="162"/>
  <c r="AE334" i="162"/>
  <c r="AF334" i="162" s="1"/>
  <c r="AF516" i="162" s="1"/>
  <c r="AH334" i="162"/>
  <c r="AH516" i="162" s="1"/>
  <c r="AJ334" i="162"/>
  <c r="AE335" i="162"/>
  <c r="AE517" i="162" s="1"/>
  <c r="AH335" i="162"/>
  <c r="AH517" i="162" s="1"/>
  <c r="AJ335" i="162"/>
  <c r="AE336" i="162"/>
  <c r="AF336" i="162" s="1"/>
  <c r="AF518" i="162" s="1"/>
  <c r="AH336" i="162"/>
  <c r="AH518" i="162" s="1"/>
  <c r="AJ336" i="162"/>
  <c r="AE337" i="162"/>
  <c r="AE519" i="162" s="1"/>
  <c r="AF337" i="162"/>
  <c r="AF519" i="162" s="1"/>
  <c r="AH337" i="162"/>
  <c r="AH519" i="162" s="1"/>
  <c r="AJ337" i="162"/>
  <c r="AE338" i="162"/>
  <c r="AH338" i="162"/>
  <c r="AH520" i="162" s="1"/>
  <c r="AJ338" i="162"/>
  <c r="AE339" i="162"/>
  <c r="AH339" i="162"/>
  <c r="AH521" i="162" s="1"/>
  <c r="AJ339" i="162"/>
  <c r="AE340" i="162"/>
  <c r="AF340" i="162" s="1"/>
  <c r="AF522" i="162" s="1"/>
  <c r="AH340" i="162"/>
  <c r="AH522" i="162" s="1"/>
  <c r="AJ340" i="162"/>
  <c r="AE341" i="162"/>
  <c r="AF341" i="162" s="1"/>
  <c r="AF523" i="162" s="1"/>
  <c r="AH341" i="162"/>
  <c r="AH523" i="162" s="1"/>
  <c r="AJ341" i="162"/>
  <c r="AE342" i="162"/>
  <c r="AE524" i="162" s="1"/>
  <c r="AH342" i="162"/>
  <c r="AH524" i="162" s="1"/>
  <c r="AJ342" i="162"/>
  <c r="AE343" i="162"/>
  <c r="AE525" i="162" s="1"/>
  <c r="AH343" i="162"/>
  <c r="AH525" i="162" s="1"/>
  <c r="AJ343" i="162"/>
  <c r="AE344" i="162"/>
  <c r="AF344" i="162" s="1"/>
  <c r="AF526" i="162" s="1"/>
  <c r="AH344" i="162"/>
  <c r="AH526" i="162" s="1"/>
  <c r="AJ344" i="162"/>
  <c r="AE345" i="162"/>
  <c r="AH345" i="162"/>
  <c r="AH527" i="162" s="1"/>
  <c r="AJ345" i="162"/>
  <c r="AE346" i="162"/>
  <c r="AF346" i="162" s="1"/>
  <c r="AF528" i="162" s="1"/>
  <c r="AH346" i="162"/>
  <c r="AH528" i="162" s="1"/>
  <c r="AJ346" i="162"/>
  <c r="AE347" i="162"/>
  <c r="AH347" i="162"/>
  <c r="AH529" i="162" s="1"/>
  <c r="AJ347" i="162"/>
  <c r="AE348" i="162"/>
  <c r="AF348" i="162" s="1"/>
  <c r="AF530" i="162" s="1"/>
  <c r="AH348" i="162"/>
  <c r="AH530" i="162" s="1"/>
  <c r="AJ348" i="162"/>
  <c r="AE349" i="162"/>
  <c r="AF349" i="162" s="1"/>
  <c r="AF531" i="162" s="1"/>
  <c r="AH349" i="162"/>
  <c r="AH531" i="162" s="1"/>
  <c r="AJ349" i="162"/>
  <c r="AE350" i="162"/>
  <c r="AF350" i="162" s="1"/>
  <c r="AF532" i="162" s="1"/>
  <c r="AH350" i="162"/>
  <c r="AH532" i="162" s="1"/>
  <c r="AJ350" i="162"/>
  <c r="AE351" i="162"/>
  <c r="AH351" i="162"/>
  <c r="AH533" i="162" s="1"/>
  <c r="AJ351" i="162"/>
  <c r="AE352" i="162"/>
  <c r="AF352" i="162" s="1"/>
  <c r="AF534" i="162" s="1"/>
  <c r="AH352" i="162"/>
  <c r="AH534" i="162" s="1"/>
  <c r="AJ352" i="162"/>
  <c r="AE353" i="162"/>
  <c r="AE535" i="162" s="1"/>
  <c r="AF353" i="162"/>
  <c r="AF535" i="162" s="1"/>
  <c r="AH353" i="162"/>
  <c r="AH535" i="162" s="1"/>
  <c r="AJ353" i="162"/>
  <c r="AE354" i="162"/>
  <c r="AF354" i="162" s="1"/>
  <c r="AF536" i="162" s="1"/>
  <c r="AH354" i="162"/>
  <c r="AH536" i="162" s="1"/>
  <c r="AJ354" i="162"/>
  <c r="AE188" i="162"/>
  <c r="AE187" i="162"/>
  <c r="AE186" i="162"/>
  <c r="AE206" i="162"/>
  <c r="AH206" i="162"/>
  <c r="AH388" i="162" s="1"/>
  <c r="AJ206" i="162"/>
  <c r="AE207" i="162"/>
  <c r="AF207" i="162" s="1"/>
  <c r="AF389" i="162" s="1"/>
  <c r="AH207" i="162"/>
  <c r="AH389" i="162" s="1"/>
  <c r="AJ207" i="162"/>
  <c r="AE208" i="162"/>
  <c r="AH208" i="162"/>
  <c r="AH390" i="162" s="1"/>
  <c r="AJ208" i="162"/>
  <c r="AE209" i="162"/>
  <c r="AE391" i="162" s="1"/>
  <c r="AH209" i="162"/>
  <c r="AH391" i="162" s="1"/>
  <c r="AJ209" i="162"/>
  <c r="AE210" i="162"/>
  <c r="AF210" i="162" s="1"/>
  <c r="AF392" i="162" s="1"/>
  <c r="AH210" i="162"/>
  <c r="AH392" i="162" s="1"/>
  <c r="AJ210" i="162"/>
  <c r="AE211" i="162"/>
  <c r="AH211" i="162"/>
  <c r="AH393" i="162" s="1"/>
  <c r="AJ211" i="162"/>
  <c r="AE212" i="162"/>
  <c r="AH212" i="162"/>
  <c r="AH394" i="162" s="1"/>
  <c r="AJ212" i="162"/>
  <c r="AE213" i="162"/>
  <c r="AF213" i="162" s="1"/>
  <c r="AF395" i="162" s="1"/>
  <c r="AH213" i="162"/>
  <c r="AH395" i="162" s="1"/>
  <c r="AJ213" i="162"/>
  <c r="AE214" i="162"/>
  <c r="AH214" i="162"/>
  <c r="AH396" i="162" s="1"/>
  <c r="AJ214" i="162"/>
  <c r="AE215" i="162"/>
  <c r="AH215" i="162"/>
  <c r="AH397" i="162" s="1"/>
  <c r="AJ215" i="162"/>
  <c r="AE216" i="162"/>
  <c r="AE398" i="162" s="1"/>
  <c r="AH216" i="162"/>
  <c r="AH398" i="162" s="1"/>
  <c r="AJ216" i="162"/>
  <c r="AE217" i="162"/>
  <c r="AH217" i="162"/>
  <c r="AH399" i="162" s="1"/>
  <c r="AJ217" i="162"/>
  <c r="AE218" i="162"/>
  <c r="AH218" i="162"/>
  <c r="AH400" i="162" s="1"/>
  <c r="AJ218" i="162"/>
  <c r="AE219" i="162"/>
  <c r="AH219" i="162"/>
  <c r="AH401" i="162" s="1"/>
  <c r="AJ219" i="162"/>
  <c r="AE220" i="162"/>
  <c r="AH220" i="162"/>
  <c r="AH402" i="162" s="1"/>
  <c r="AJ220" i="162"/>
  <c r="AE221" i="162"/>
  <c r="AH221" i="162"/>
  <c r="AH403" i="162" s="1"/>
  <c r="AJ221" i="162"/>
  <c r="AE222" i="162"/>
  <c r="AF222" i="162" s="1"/>
  <c r="AF404" i="162" s="1"/>
  <c r="AH222" i="162"/>
  <c r="AH404" i="162" s="1"/>
  <c r="AJ222" i="162"/>
  <c r="AE223" i="162"/>
  <c r="AF223" i="162" s="1"/>
  <c r="AF405" i="162" s="1"/>
  <c r="AH223" i="162"/>
  <c r="AH405" i="162" s="1"/>
  <c r="AJ223" i="162"/>
  <c r="AE224" i="162"/>
  <c r="AH224" i="162"/>
  <c r="AH406" i="162" s="1"/>
  <c r="AJ224" i="162"/>
  <c r="AE225" i="162"/>
  <c r="AH225" i="162"/>
  <c r="AH407" i="162" s="1"/>
  <c r="AJ225" i="162"/>
  <c r="AE226" i="162"/>
  <c r="AH226" i="162"/>
  <c r="AH408" i="162" s="1"/>
  <c r="AJ226" i="162"/>
  <c r="AE227" i="162"/>
  <c r="AH227" i="162"/>
  <c r="AH409" i="162" s="1"/>
  <c r="AJ227" i="162"/>
  <c r="AE228" i="162"/>
  <c r="AE410" i="162" s="1"/>
  <c r="AH228" i="162"/>
  <c r="AH410" i="162" s="1"/>
  <c r="AJ228" i="162"/>
  <c r="AE229" i="162"/>
  <c r="AF229" i="162" s="1"/>
  <c r="AF411" i="162" s="1"/>
  <c r="AH229" i="162"/>
  <c r="AH411" i="162" s="1"/>
  <c r="AJ229" i="162"/>
  <c r="AE230" i="162"/>
  <c r="AH230" i="162"/>
  <c r="AH412" i="162" s="1"/>
  <c r="AJ230" i="162"/>
  <c r="AE231" i="162"/>
  <c r="AH231" i="162"/>
  <c r="AH413" i="162" s="1"/>
  <c r="AJ231" i="162"/>
  <c r="AE232" i="162"/>
  <c r="AH232" i="162"/>
  <c r="AH414" i="162" s="1"/>
  <c r="AJ232" i="162"/>
  <c r="AE233" i="162"/>
  <c r="AE415" i="162" s="1"/>
  <c r="AF233" i="162"/>
  <c r="AF415" i="162" s="1"/>
  <c r="AH233" i="162"/>
  <c r="AH415" i="162" s="1"/>
  <c r="AJ233" i="162"/>
  <c r="AE234" i="162"/>
  <c r="AF234" i="162" s="1"/>
  <c r="AF416" i="162" s="1"/>
  <c r="AH234" i="162"/>
  <c r="AH416" i="162" s="1"/>
  <c r="AJ234" i="162"/>
  <c r="AE235" i="162"/>
  <c r="AF235" i="162" s="1"/>
  <c r="AF417" i="162" s="1"/>
  <c r="AH235" i="162"/>
  <c r="AH417" i="162" s="1"/>
  <c r="AJ235" i="162"/>
  <c r="AE236" i="162"/>
  <c r="AE418" i="162" s="1"/>
  <c r="AH236" i="162"/>
  <c r="AH418" i="162" s="1"/>
  <c r="AJ236" i="162"/>
  <c r="AE237" i="162"/>
  <c r="AH237" i="162"/>
  <c r="AH419" i="162" s="1"/>
  <c r="AJ237" i="162"/>
  <c r="AE238" i="162"/>
  <c r="AH238" i="162"/>
  <c r="AH420" i="162" s="1"/>
  <c r="AJ238" i="162"/>
  <c r="AE239" i="162"/>
  <c r="AH239" i="162"/>
  <c r="AH421" i="162" s="1"/>
  <c r="AJ239" i="162"/>
  <c r="AE240" i="162"/>
  <c r="AH240" i="162"/>
  <c r="AH422" i="162" s="1"/>
  <c r="AJ240" i="162"/>
  <c r="AE241" i="162"/>
  <c r="AF241" i="162" s="1"/>
  <c r="AF423" i="162" s="1"/>
  <c r="AH241" i="162"/>
  <c r="AH423" i="162" s="1"/>
  <c r="AJ241" i="162"/>
  <c r="AE242" i="162"/>
  <c r="AF242" i="162" s="1"/>
  <c r="AF424" i="162" s="1"/>
  <c r="AH242" i="162"/>
  <c r="AH424" i="162" s="1"/>
  <c r="AJ242" i="162"/>
  <c r="AE243" i="162"/>
  <c r="AH243" i="162"/>
  <c r="AH425" i="162" s="1"/>
  <c r="AJ243" i="162"/>
  <c r="AE244" i="162"/>
  <c r="AH244" i="162"/>
  <c r="AH426" i="162" s="1"/>
  <c r="AJ244" i="162"/>
  <c r="AE245" i="162"/>
  <c r="AH245" i="162"/>
  <c r="AH427" i="162" s="1"/>
  <c r="AJ245" i="162"/>
  <c r="AE246" i="162"/>
  <c r="AH246" i="162"/>
  <c r="AH428" i="162" s="1"/>
  <c r="AJ246" i="162"/>
  <c r="AE247" i="162"/>
  <c r="AF247" i="162" s="1"/>
  <c r="AF429" i="162" s="1"/>
  <c r="AH247" i="162"/>
  <c r="AH429" i="162" s="1"/>
  <c r="AJ247" i="162"/>
  <c r="AE248" i="162"/>
  <c r="AE430" i="162" s="1"/>
  <c r="AH248" i="162"/>
  <c r="AH430" i="162" s="1"/>
  <c r="AJ248" i="162"/>
  <c r="AE249" i="162"/>
  <c r="AE431" i="162" s="1"/>
  <c r="AH249" i="162"/>
  <c r="AH431" i="162" s="1"/>
  <c r="AJ249" i="162"/>
  <c r="AE250" i="162"/>
  <c r="AH250" i="162"/>
  <c r="AH432" i="162" s="1"/>
  <c r="AJ250" i="162"/>
  <c r="AE251" i="162"/>
  <c r="AH251" i="162"/>
  <c r="AH433" i="162" s="1"/>
  <c r="AJ251" i="162"/>
  <c r="AE252" i="162"/>
  <c r="AE434" i="162" s="1"/>
  <c r="AF252" i="162"/>
  <c r="AF434" i="162" s="1"/>
  <c r="AH252" i="162"/>
  <c r="AH434" i="162" s="1"/>
  <c r="AJ252" i="162"/>
  <c r="AE253" i="162"/>
  <c r="AF253" i="162" s="1"/>
  <c r="AF435" i="162" s="1"/>
  <c r="AH253" i="162"/>
  <c r="AH435" i="162" s="1"/>
  <c r="AJ253" i="162"/>
  <c r="AE254" i="162"/>
  <c r="AF254" i="162" s="1"/>
  <c r="AF436" i="162" s="1"/>
  <c r="AH254" i="162"/>
  <c r="AH436" i="162" s="1"/>
  <c r="AJ254" i="162"/>
  <c r="AE255" i="162"/>
  <c r="AH255" i="162"/>
  <c r="AH437" i="162" s="1"/>
  <c r="AJ255" i="162"/>
  <c r="AE256" i="162"/>
  <c r="AH256" i="162"/>
  <c r="AH438" i="162" s="1"/>
  <c r="AJ256" i="162"/>
  <c r="AE257" i="162"/>
  <c r="AH257" i="162"/>
  <c r="AH439" i="162" s="1"/>
  <c r="AJ257" i="162"/>
  <c r="AE258" i="162"/>
  <c r="AH258" i="162"/>
  <c r="AH440" i="162" s="1"/>
  <c r="AJ258" i="162"/>
  <c r="AE259" i="162"/>
  <c r="AH259" i="162"/>
  <c r="AH441" i="162" s="1"/>
  <c r="AJ259" i="162"/>
  <c r="AE260" i="162"/>
  <c r="AF260" i="162" s="1"/>
  <c r="AF442" i="162" s="1"/>
  <c r="AH260" i="162"/>
  <c r="AH442" i="162" s="1"/>
  <c r="AJ260" i="162"/>
  <c r="AE261" i="162"/>
  <c r="AE443" i="162" s="1"/>
  <c r="AH261" i="162"/>
  <c r="AH443" i="162" s="1"/>
  <c r="AJ261" i="162"/>
  <c r="AE262" i="162"/>
  <c r="AF262" i="162" s="1"/>
  <c r="AF444" i="162" s="1"/>
  <c r="AH262" i="162"/>
  <c r="AH444" i="162" s="1"/>
  <c r="AJ262" i="162"/>
  <c r="AE263" i="162"/>
  <c r="AH263" i="162"/>
  <c r="AH445" i="162" s="1"/>
  <c r="AJ263" i="162"/>
  <c r="AE264" i="162"/>
  <c r="AE446" i="162" s="1"/>
  <c r="AH264" i="162"/>
  <c r="AH446" i="162" s="1"/>
  <c r="AJ264" i="162"/>
  <c r="AE265" i="162"/>
  <c r="AH265" i="162"/>
  <c r="AH447" i="162" s="1"/>
  <c r="AJ265" i="162"/>
  <c r="AE266" i="162"/>
  <c r="AF266" i="162" s="1"/>
  <c r="AF448" i="162" s="1"/>
  <c r="AH266" i="162"/>
  <c r="AH448" i="162" s="1"/>
  <c r="AJ266" i="162"/>
  <c r="AE267" i="162"/>
  <c r="AH267" i="162"/>
  <c r="AH449" i="162" s="1"/>
  <c r="AJ267" i="162"/>
  <c r="AE268" i="162"/>
  <c r="AF268" i="162" s="1"/>
  <c r="AF450" i="162" s="1"/>
  <c r="AH268" i="162"/>
  <c r="AH450" i="162" s="1"/>
  <c r="AJ268" i="162"/>
  <c r="AE269" i="162"/>
  <c r="AE451" i="162" s="1"/>
  <c r="AH269" i="162"/>
  <c r="AH451" i="162" s="1"/>
  <c r="AJ269" i="162"/>
  <c r="AE270" i="162"/>
  <c r="AH270" i="162"/>
  <c r="AH452" i="162" s="1"/>
  <c r="AJ270" i="162"/>
  <c r="AE271" i="162"/>
  <c r="AH271" i="162"/>
  <c r="AH453" i="162" s="1"/>
  <c r="AJ271" i="162"/>
  <c r="AE272" i="162"/>
  <c r="AH272" i="162"/>
  <c r="AH454" i="162" s="1"/>
  <c r="AJ272" i="162"/>
  <c r="AE273" i="162"/>
  <c r="AE455" i="162" s="1"/>
  <c r="AH273" i="162"/>
  <c r="AH455" i="162" s="1"/>
  <c r="AJ273" i="162"/>
  <c r="AE274" i="162"/>
  <c r="AF274" i="162" s="1"/>
  <c r="AF456" i="162" s="1"/>
  <c r="AH274" i="162"/>
  <c r="AH456" i="162" s="1"/>
  <c r="AJ274" i="162"/>
  <c r="AE275" i="162"/>
  <c r="AF275" i="162" s="1"/>
  <c r="AF457" i="162" s="1"/>
  <c r="AH275" i="162"/>
  <c r="AH457" i="162" s="1"/>
  <c r="AJ275" i="162"/>
  <c r="AE276" i="162"/>
  <c r="AH276" i="162"/>
  <c r="AH458" i="162" s="1"/>
  <c r="AJ276" i="162"/>
  <c r="AE277" i="162"/>
  <c r="AH277" i="162"/>
  <c r="AH459" i="162" s="1"/>
  <c r="AJ277" i="162"/>
  <c r="AE278" i="162"/>
  <c r="AF278" i="162" s="1"/>
  <c r="AF460" i="162" s="1"/>
  <c r="AH278" i="162"/>
  <c r="AH460" i="162" s="1"/>
  <c r="AJ278" i="162"/>
  <c r="AE279" i="162"/>
  <c r="AH279" i="162"/>
  <c r="AH461" i="162" s="1"/>
  <c r="AJ279" i="162"/>
  <c r="AE280" i="162"/>
  <c r="AE462" i="162" s="1"/>
  <c r="AH280" i="162"/>
  <c r="AH462" i="162" s="1"/>
  <c r="AJ280" i="162"/>
  <c r="AE281" i="162"/>
  <c r="AF281" i="162" s="1"/>
  <c r="AF463" i="162" s="1"/>
  <c r="AH281" i="162"/>
  <c r="AH463" i="162" s="1"/>
  <c r="AJ281" i="162"/>
  <c r="AE282" i="162"/>
  <c r="AF282" i="162" s="1"/>
  <c r="AF464" i="162" s="1"/>
  <c r="AH282" i="162"/>
  <c r="AH464" i="162" s="1"/>
  <c r="AJ282" i="162"/>
  <c r="AE283" i="162"/>
  <c r="AH283" i="162"/>
  <c r="AH465" i="162" s="1"/>
  <c r="AJ283" i="162"/>
  <c r="AE284" i="162"/>
  <c r="AF284" i="162" s="1"/>
  <c r="AF466" i="162" s="1"/>
  <c r="AH284" i="162"/>
  <c r="AH466" i="162" s="1"/>
  <c r="AJ284" i="162"/>
  <c r="AE285" i="162"/>
  <c r="AF285" i="162" s="1"/>
  <c r="AF467" i="162" s="1"/>
  <c r="AH285" i="162"/>
  <c r="AH467" i="162" s="1"/>
  <c r="AJ285" i="162"/>
  <c r="AE286" i="162"/>
  <c r="AH286" i="162"/>
  <c r="AH468" i="162" s="1"/>
  <c r="AJ286" i="162"/>
  <c r="AE287" i="162"/>
  <c r="AF287" i="162" s="1"/>
  <c r="AF469" i="162" s="1"/>
  <c r="AH287" i="162"/>
  <c r="AH469" i="162" s="1"/>
  <c r="AJ287" i="162"/>
  <c r="AE288" i="162"/>
  <c r="AF288" i="162" s="1"/>
  <c r="AF470" i="162" s="1"/>
  <c r="AH288" i="162"/>
  <c r="AH470" i="162" s="1"/>
  <c r="AJ288" i="162"/>
  <c r="AE289" i="162"/>
  <c r="AH289" i="162"/>
  <c r="AH471" i="162" s="1"/>
  <c r="AJ289" i="162"/>
  <c r="AE290" i="162"/>
  <c r="AH290" i="162"/>
  <c r="AH472" i="162" s="1"/>
  <c r="AJ290" i="162"/>
  <c r="AE291" i="162"/>
  <c r="AH291" i="162"/>
  <c r="AH473" i="162" s="1"/>
  <c r="AJ291" i="162"/>
  <c r="AE292" i="162"/>
  <c r="AE474" i="162" s="1"/>
  <c r="AH292" i="162"/>
  <c r="AH474" i="162" s="1"/>
  <c r="AJ292" i="162"/>
  <c r="AE293" i="162"/>
  <c r="AE475" i="162" s="1"/>
  <c r="AF293" i="162"/>
  <c r="AF475" i="162" s="1"/>
  <c r="AH293" i="162"/>
  <c r="AH475" i="162" s="1"/>
  <c r="AJ293" i="162"/>
  <c r="AE294" i="162"/>
  <c r="AH294" i="162"/>
  <c r="AH476" i="162" s="1"/>
  <c r="AJ294" i="162"/>
  <c r="AE295" i="162"/>
  <c r="AH295" i="162"/>
  <c r="AH477" i="162" s="1"/>
  <c r="AJ295" i="162"/>
  <c r="AE296" i="162"/>
  <c r="AE478" i="162" s="1"/>
  <c r="AF296" i="162"/>
  <c r="AF478" i="162" s="1"/>
  <c r="AH296" i="162"/>
  <c r="AH478" i="162" s="1"/>
  <c r="AJ296" i="162"/>
  <c r="AE297" i="162"/>
  <c r="AF297" i="162" s="1"/>
  <c r="AF479" i="162" s="1"/>
  <c r="AH297" i="162"/>
  <c r="AH479" i="162" s="1"/>
  <c r="AJ297" i="162"/>
  <c r="AE298" i="162"/>
  <c r="AH298" i="162"/>
  <c r="AH480" i="162" s="1"/>
  <c r="AJ298" i="162"/>
  <c r="AE299" i="162"/>
  <c r="AF299" i="162" s="1"/>
  <c r="AF481" i="162" s="1"/>
  <c r="AH299" i="162"/>
  <c r="AH481" i="162" s="1"/>
  <c r="AJ299" i="162"/>
  <c r="AE300" i="162"/>
  <c r="AF300" i="162" s="1"/>
  <c r="AF482" i="162" s="1"/>
  <c r="AH300" i="162"/>
  <c r="AH482" i="162" s="1"/>
  <c r="AJ300" i="162"/>
  <c r="AE301" i="162"/>
  <c r="AE483" i="162" s="1"/>
  <c r="AF301" i="162"/>
  <c r="AF483" i="162" s="1"/>
  <c r="AH301" i="162"/>
  <c r="AH483" i="162" s="1"/>
  <c r="AJ301" i="162"/>
  <c r="AE302" i="162"/>
  <c r="AH302" i="162"/>
  <c r="AH484" i="162" s="1"/>
  <c r="AJ302" i="162"/>
  <c r="AE303" i="162"/>
  <c r="AH303" i="162"/>
  <c r="AH485" i="162" s="1"/>
  <c r="AJ303" i="162"/>
  <c r="AE304" i="162"/>
  <c r="AE486" i="162" s="1"/>
  <c r="AH304" i="162"/>
  <c r="AH486" i="162" s="1"/>
  <c r="AJ304" i="162"/>
  <c r="AE305" i="162"/>
  <c r="AE487" i="162" s="1"/>
  <c r="AF305" i="162"/>
  <c r="AF487" i="162" s="1"/>
  <c r="AH305" i="162"/>
  <c r="AH487" i="162" s="1"/>
  <c r="AJ305" i="162"/>
  <c r="AE306" i="162"/>
  <c r="AH306" i="162"/>
  <c r="AH488" i="162" s="1"/>
  <c r="AJ306" i="162"/>
  <c r="AE307" i="162"/>
  <c r="AH307" i="162"/>
  <c r="AH489" i="162" s="1"/>
  <c r="AJ307" i="162"/>
  <c r="AJ73" i="158"/>
  <c r="AL73" i="158"/>
  <c r="AJ74" i="158"/>
  <c r="AL74" i="158"/>
  <c r="AJ75" i="158"/>
  <c r="AL75" i="158"/>
  <c r="AJ76" i="158"/>
  <c r="AL76" i="158"/>
  <c r="AJ77" i="158"/>
  <c r="AL77" i="158"/>
  <c r="AJ78" i="158"/>
  <c r="AL78" i="158"/>
  <c r="AJ79" i="158"/>
  <c r="AL79" i="158"/>
  <c r="AJ80" i="158"/>
  <c r="AL80" i="158"/>
  <c r="AJ81" i="158"/>
  <c r="AL81" i="158"/>
  <c r="AJ82" i="158"/>
  <c r="AL82" i="158"/>
  <c r="AJ83" i="158"/>
  <c r="AL83" i="158"/>
  <c r="AJ84" i="158"/>
  <c r="AL84" i="158"/>
  <c r="AJ85" i="158"/>
  <c r="AL85" i="158"/>
  <c r="AJ86" i="158"/>
  <c r="AL86" i="158"/>
  <c r="AJ87" i="158"/>
  <c r="AL87" i="158"/>
  <c r="AJ88" i="158"/>
  <c r="AL88" i="158"/>
  <c r="AE74" i="158"/>
  <c r="AF74" i="158"/>
  <c r="AG74" i="158"/>
  <c r="AI74" i="158"/>
  <c r="AE75" i="158"/>
  <c r="AF75" i="158"/>
  <c r="AG75" i="158"/>
  <c r="AI75" i="158"/>
  <c r="AE76" i="158"/>
  <c r="AF76" i="158"/>
  <c r="AG76" i="158"/>
  <c r="AK76" i="158" s="1"/>
  <c r="AI76" i="158"/>
  <c r="AE77" i="158"/>
  <c r="AF77" i="158"/>
  <c r="AG77" i="158"/>
  <c r="AH77" i="158"/>
  <c r="AI77" i="158"/>
  <c r="AE78" i="158"/>
  <c r="AF78" i="158"/>
  <c r="AG78" i="158"/>
  <c r="AK78" i="158" s="1"/>
  <c r="AI78" i="158"/>
  <c r="AE79" i="158"/>
  <c r="AF79" i="158"/>
  <c r="AG79" i="158"/>
  <c r="AK79" i="158" s="1"/>
  <c r="AI79" i="158"/>
  <c r="AE80" i="158"/>
  <c r="AF80" i="158"/>
  <c r="AG80" i="158"/>
  <c r="AI80" i="158"/>
  <c r="AE81" i="158"/>
  <c r="AF81" i="158"/>
  <c r="AG81" i="158"/>
  <c r="AI81" i="158"/>
  <c r="AE82" i="158"/>
  <c r="AF82" i="158"/>
  <c r="AG82" i="158"/>
  <c r="AI82" i="158"/>
  <c r="AE83" i="158"/>
  <c r="AF83" i="158"/>
  <c r="AG83" i="158"/>
  <c r="AI83" i="158"/>
  <c r="AE84" i="158"/>
  <c r="AF84" i="158"/>
  <c r="AG84" i="158"/>
  <c r="AK84" i="158" s="1"/>
  <c r="AI84" i="158"/>
  <c r="AE85" i="158"/>
  <c r="AF85" i="158"/>
  <c r="AG85" i="158"/>
  <c r="AI85" i="158"/>
  <c r="AE86" i="158"/>
  <c r="AF86" i="158"/>
  <c r="AG86" i="158"/>
  <c r="AK86" i="158" s="1"/>
  <c r="AI86" i="158"/>
  <c r="AE87" i="158"/>
  <c r="AF87" i="158"/>
  <c r="AG87" i="158"/>
  <c r="AH87" i="158"/>
  <c r="AI87" i="158"/>
  <c r="AE88" i="158"/>
  <c r="AF88" i="158"/>
  <c r="AG88" i="158"/>
  <c r="AH88" i="158"/>
  <c r="AI88" i="158"/>
  <c r="AC63" i="158"/>
  <c r="AH74" i="158"/>
  <c r="AK44" i="158"/>
  <c r="AH75" i="158"/>
  <c r="AK45" i="158"/>
  <c r="AH76" i="158"/>
  <c r="AK46" i="158"/>
  <c r="AK47" i="158"/>
  <c r="AH78" i="158"/>
  <c r="AK48" i="158"/>
  <c r="AH79" i="158"/>
  <c r="AK49" i="158"/>
  <c r="AH80" i="158"/>
  <c r="AK50" i="158"/>
  <c r="AH81" i="158"/>
  <c r="AK51" i="158"/>
  <c r="AH82" i="158"/>
  <c r="AK52" i="158"/>
  <c r="AH83" i="158"/>
  <c r="AK53" i="158"/>
  <c r="AH84" i="158"/>
  <c r="AK54" i="158"/>
  <c r="AH85" i="158"/>
  <c r="AK55" i="158"/>
  <c r="AH86" i="158"/>
  <c r="AK56" i="158"/>
  <c r="AK57" i="158"/>
  <c r="AK58" i="158"/>
  <c r="W11" i="135"/>
  <c r="Y11" i="135" s="1"/>
  <c r="D107" i="155" s="1"/>
  <c r="W13" i="135"/>
  <c r="J13" i="135"/>
  <c r="L13" i="135" s="1"/>
  <c r="AI141" i="129" l="1"/>
  <c r="AK161" i="129"/>
  <c r="AK139" i="129"/>
  <c r="AK153" i="129"/>
  <c r="AK145" i="129"/>
  <c r="AK152" i="129"/>
  <c r="AK165" i="129"/>
  <c r="AK164" i="129"/>
  <c r="AK163" i="129"/>
  <c r="AK140" i="129"/>
  <c r="AK151" i="129"/>
  <c r="AF318" i="162"/>
  <c r="AF500" i="162" s="1"/>
  <c r="AE500" i="162"/>
  <c r="AE536" i="162"/>
  <c r="AA7" i="162"/>
  <c r="AF261" i="162"/>
  <c r="AF443" i="162" s="1"/>
  <c r="AF313" i="162"/>
  <c r="AF495" i="162" s="1"/>
  <c r="AE532" i="162"/>
  <c r="AE518" i="162"/>
  <c r="AK74" i="158"/>
  <c r="AK88" i="158"/>
  <c r="AK83" i="158"/>
  <c r="AK82" i="158"/>
  <c r="AK77" i="158"/>
  <c r="AK81" i="158"/>
  <c r="AK85" i="158"/>
  <c r="AK80" i="158"/>
  <c r="AN80" i="158" s="1"/>
  <c r="AP80" i="158" s="1"/>
  <c r="AK87" i="158"/>
  <c r="AK75" i="158"/>
  <c r="AC40" i="158"/>
  <c r="AC69" i="158"/>
  <c r="AC9" i="158"/>
  <c r="AN83" i="158"/>
  <c r="AQ83" i="158" s="1"/>
  <c r="AN75" i="158"/>
  <c r="AP75" i="158" s="1"/>
  <c r="AN81" i="158"/>
  <c r="BC81" i="158" s="1"/>
  <c r="AN77" i="158"/>
  <c r="AS77" i="158" s="1"/>
  <c r="AN85" i="158"/>
  <c r="AO85" i="158" s="1"/>
  <c r="AN87" i="158"/>
  <c r="BB81" i="158"/>
  <c r="AN88" i="158"/>
  <c r="BE88" i="158" s="1"/>
  <c r="AN76" i="158"/>
  <c r="AS76" i="158" s="1"/>
  <c r="AN82" i="158"/>
  <c r="AS82" i="158" s="1"/>
  <c r="AN84" i="158"/>
  <c r="AN79" i="158"/>
  <c r="AN86" i="158"/>
  <c r="AN74" i="158"/>
  <c r="BB74" i="158" s="1"/>
  <c r="AN78" i="158"/>
  <c r="BD75" i="158"/>
  <c r="AO75" i="158"/>
  <c r="AE526" i="162"/>
  <c r="AF264" i="162"/>
  <c r="AF446" i="162" s="1"/>
  <c r="AF330" i="162"/>
  <c r="AF512" i="162" s="1"/>
  <c r="AE435" i="162"/>
  <c r="AF269" i="162"/>
  <c r="AF451" i="162" s="1"/>
  <c r="AE395" i="162"/>
  <c r="AJ482" i="162"/>
  <c r="AE467" i="162"/>
  <c r="AF249" i="162"/>
  <c r="AF431" i="162" s="1"/>
  <c r="AF236" i="162"/>
  <c r="AF418" i="162" s="1"/>
  <c r="AE442" i="162"/>
  <c r="AF257" i="162"/>
  <c r="AF439" i="162" s="1"/>
  <c r="AE439" i="162"/>
  <c r="AJ517" i="162"/>
  <c r="AF309" i="162"/>
  <c r="AF491" i="162" s="1"/>
  <c r="AF314" i="162"/>
  <c r="AF496" i="162" s="1"/>
  <c r="AF228" i="162"/>
  <c r="AF410" i="162" s="1"/>
  <c r="AE538" i="162"/>
  <c r="AE530" i="162"/>
  <c r="AF332" i="162"/>
  <c r="AF514" i="162" s="1"/>
  <c r="AF326" i="162"/>
  <c r="AF508" i="162" s="1"/>
  <c r="AE444" i="162"/>
  <c r="AE417" i="162"/>
  <c r="AI168" i="129"/>
  <c r="AK168" i="129"/>
  <c r="AI148" i="129"/>
  <c r="AK148" i="129"/>
  <c r="AI167" i="129"/>
  <c r="AK167" i="129"/>
  <c r="AK143" i="129"/>
  <c r="AK144" i="129"/>
  <c r="AI152" i="129"/>
  <c r="AK147" i="129"/>
  <c r="AI143" i="129"/>
  <c r="AK155" i="129"/>
  <c r="AI151" i="129"/>
  <c r="AI162" i="129"/>
  <c r="AK150" i="129"/>
  <c r="AI170" i="129"/>
  <c r="AK166" i="129"/>
  <c r="AK169" i="129"/>
  <c r="AK149" i="129"/>
  <c r="AK154" i="129"/>
  <c r="AI153" i="129"/>
  <c r="AK146" i="129"/>
  <c r="AK157" i="129"/>
  <c r="AK156" i="129"/>
  <c r="AJ542" i="162"/>
  <c r="AJ539" i="162"/>
  <c r="AE511" i="162"/>
  <c r="AJ510" i="162"/>
  <c r="AJ455" i="162"/>
  <c r="AE392" i="162"/>
  <c r="AJ410" i="162"/>
  <c r="AE424" i="162"/>
  <c r="AE516" i="162"/>
  <c r="AE416" i="162"/>
  <c r="AE523" i="162"/>
  <c r="AE482" i="162"/>
  <c r="AE456" i="162"/>
  <c r="AE423" i="162"/>
  <c r="AE490" i="162"/>
  <c r="AF343" i="162"/>
  <c r="AF525" i="162" s="1"/>
  <c r="AE404" i="162"/>
  <c r="AE436" i="162"/>
  <c r="AE429" i="162"/>
  <c r="AE510" i="162"/>
  <c r="AE504" i="162"/>
  <c r="AJ530" i="162"/>
  <c r="AE528" i="162"/>
  <c r="AJ476" i="162"/>
  <c r="AJ450" i="162"/>
  <c r="AJ412" i="162"/>
  <c r="AF335" i="162"/>
  <c r="AF517" i="162" s="1"/>
  <c r="AE534" i="162"/>
  <c r="AE460" i="162"/>
  <c r="AE411" i="162"/>
  <c r="AF245" i="162"/>
  <c r="AF427" i="162" s="1"/>
  <c r="AE427" i="162"/>
  <c r="AF226" i="162"/>
  <c r="AF408" i="162" s="1"/>
  <c r="AE408" i="162"/>
  <c r="AJ533" i="162"/>
  <c r="AF277" i="162"/>
  <c r="AF459" i="162" s="1"/>
  <c r="AE459" i="162"/>
  <c r="AF239" i="162"/>
  <c r="AF421" i="162" s="1"/>
  <c r="AE421" i="162"/>
  <c r="AF302" i="162"/>
  <c r="AF484" i="162" s="1"/>
  <c r="AE484" i="162"/>
  <c r="AJ471" i="162"/>
  <c r="AF276" i="162"/>
  <c r="AF458" i="162" s="1"/>
  <c r="AE458" i="162"/>
  <c r="AF251" i="162"/>
  <c r="AF433" i="162" s="1"/>
  <c r="AE433" i="162"/>
  <c r="AF238" i="162"/>
  <c r="AF420" i="162" s="1"/>
  <c r="AE420" i="162"/>
  <c r="AJ508" i="162"/>
  <c r="AF258" i="162"/>
  <c r="AF440" i="162" s="1"/>
  <c r="AE440" i="162"/>
  <c r="AF333" i="162"/>
  <c r="AF515" i="162" s="1"/>
  <c r="AE515" i="162"/>
  <c r="AE539" i="162"/>
  <c r="AF357" i="162"/>
  <c r="AF539" i="162" s="1"/>
  <c r="AF345" i="162"/>
  <c r="AF527" i="162" s="1"/>
  <c r="AE527" i="162"/>
  <c r="AJ490" i="162"/>
  <c r="AF265" i="162"/>
  <c r="AF447" i="162" s="1"/>
  <c r="AE447" i="162"/>
  <c r="AF259" i="162"/>
  <c r="AF441" i="162" s="1"/>
  <c r="AE441" i="162"/>
  <c r="AJ428" i="162"/>
  <c r="AJ409" i="162"/>
  <c r="AF214" i="162"/>
  <c r="AF396" i="162" s="1"/>
  <c r="AE396" i="162"/>
  <c r="AF246" i="162"/>
  <c r="AF428" i="162" s="1"/>
  <c r="AE428" i="162"/>
  <c r="AF227" i="162"/>
  <c r="AF409" i="162" s="1"/>
  <c r="AE409" i="162"/>
  <c r="AJ452" i="162"/>
  <c r="AF290" i="162"/>
  <c r="AF472" i="162" s="1"/>
  <c r="AE472" i="162"/>
  <c r="AJ489" i="162"/>
  <c r="AF263" i="162"/>
  <c r="AF445" i="162" s="1"/>
  <c r="AE445" i="162"/>
  <c r="AF325" i="162"/>
  <c r="AF507" i="162" s="1"/>
  <c r="AE507" i="162"/>
  <c r="AJ413" i="162"/>
  <c r="AF250" i="162"/>
  <c r="AF432" i="162" s="1"/>
  <c r="AE432" i="162"/>
  <c r="AJ488" i="162"/>
  <c r="AE464" i="162"/>
  <c r="AF312" i="162"/>
  <c r="AF494" i="162" s="1"/>
  <c r="AE494" i="162"/>
  <c r="AE537" i="162"/>
  <c r="AF280" i="162"/>
  <c r="AF462" i="162" s="1"/>
  <c r="AJ449" i="162"/>
  <c r="AF323" i="162"/>
  <c r="AF505" i="162" s="1"/>
  <c r="AF317" i="162"/>
  <c r="AF499" i="162" s="1"/>
  <c r="AF360" i="162"/>
  <c r="AF542" i="162" s="1"/>
  <c r="AJ416" i="162"/>
  <c r="AJ396" i="162"/>
  <c r="AE529" i="162"/>
  <c r="AF347" i="162"/>
  <c r="AF529" i="162" s="1"/>
  <c r="AF209" i="162"/>
  <c r="AF391" i="162" s="1"/>
  <c r="AJ528" i="162"/>
  <c r="AE522" i="162"/>
  <c r="AE463" i="162"/>
  <c r="AE470" i="162"/>
  <c r="AE492" i="162"/>
  <c r="AJ492" i="162"/>
  <c r="AJ468" i="162"/>
  <c r="AE543" i="162"/>
  <c r="AF272" i="162"/>
  <c r="AF454" i="162" s="1"/>
  <c r="AE454" i="162"/>
  <c r="AJ402" i="162"/>
  <c r="AJ470" i="162"/>
  <c r="AF311" i="162"/>
  <c r="AF493" i="162" s="1"/>
  <c r="AE493" i="162"/>
  <c r="AJ390" i="162"/>
  <c r="AJ503" i="162"/>
  <c r="AJ491" i="162"/>
  <c r="AJ431" i="162"/>
  <c r="AJ393" i="162"/>
  <c r="AF304" i="162"/>
  <c r="AF486" i="162" s="1"/>
  <c r="AF292" i="162"/>
  <c r="AF474" i="162" s="1"/>
  <c r="AF273" i="162"/>
  <c r="AF455" i="162" s="1"/>
  <c r="AF342" i="162"/>
  <c r="AF524" i="162" s="1"/>
  <c r="AF362" i="162"/>
  <c r="AF544" i="162" s="1"/>
  <c r="AJ430" i="162"/>
  <c r="AE479" i="162"/>
  <c r="AJ448" i="162"/>
  <c r="AF248" i="162"/>
  <c r="AF430" i="162" s="1"/>
  <c r="AF216" i="162"/>
  <c r="AF398" i="162" s="1"/>
  <c r="AJ494" i="162"/>
  <c r="AE405" i="162"/>
  <c r="AJ473" i="162"/>
  <c r="AF358" i="162"/>
  <c r="AF540" i="162" s="1"/>
  <c r="AE540" i="162"/>
  <c r="AE394" i="162"/>
  <c r="AF212" i="162"/>
  <c r="AF394" i="162" s="1"/>
  <c r="AF320" i="162"/>
  <c r="AF502" i="162" s="1"/>
  <c r="AE502" i="162"/>
  <c r="AF256" i="162"/>
  <c r="AF438" i="162" s="1"/>
  <c r="AE438" i="162"/>
  <c r="AF237" i="162"/>
  <c r="AF419" i="162" s="1"/>
  <c r="AE419" i="162"/>
  <c r="AF231" i="162"/>
  <c r="AF413" i="162" s="1"/>
  <c r="AE413" i="162"/>
  <c r="AF218" i="162"/>
  <c r="AF400" i="162" s="1"/>
  <c r="AE400" i="162"/>
  <c r="AF217" i="162"/>
  <c r="AF399" i="162" s="1"/>
  <c r="AE399" i="162"/>
  <c r="AF298" i="162"/>
  <c r="AF480" i="162" s="1"/>
  <c r="AE480" i="162"/>
  <c r="AF267" i="162"/>
  <c r="AF449" i="162" s="1"/>
  <c r="AE449" i="162"/>
  <c r="AF359" i="162"/>
  <c r="AF541" i="162" s="1"/>
  <c r="AE450" i="162"/>
  <c r="AE509" i="162"/>
  <c r="AF327" i="162"/>
  <c r="AF509" i="162" s="1"/>
  <c r="AF321" i="162"/>
  <c r="AF503" i="162" s="1"/>
  <c r="AE503" i="162"/>
  <c r="AF315" i="162"/>
  <c r="AF497" i="162" s="1"/>
  <c r="AE497" i="162"/>
  <c r="AF243" i="162"/>
  <c r="AF425" i="162" s="1"/>
  <c r="AE425" i="162"/>
  <c r="AF255" i="162"/>
  <c r="AF437" i="162" s="1"/>
  <c r="AE437" i="162"/>
  <c r="AF224" i="162"/>
  <c r="AF406" i="162" s="1"/>
  <c r="AE406" i="162"/>
  <c r="AF286" i="162"/>
  <c r="AF468" i="162" s="1"/>
  <c r="AE468" i="162"/>
  <c r="AF230" i="162"/>
  <c r="AF412" i="162" s="1"/>
  <c r="AE412" i="162"/>
  <c r="AF211" i="162"/>
  <c r="AF393" i="162" s="1"/>
  <c r="AE393" i="162"/>
  <c r="AE531" i="162"/>
  <c r="AE426" i="162"/>
  <c r="AF244" i="162"/>
  <c r="AF426" i="162" s="1"/>
  <c r="AF225" i="162"/>
  <c r="AF407" i="162" s="1"/>
  <c r="AE407" i="162"/>
  <c r="AF206" i="162"/>
  <c r="AF388" i="162" s="1"/>
  <c r="AE388" i="162"/>
  <c r="AJ474" i="162"/>
  <c r="AF240" i="162"/>
  <c r="AF422" i="162" s="1"/>
  <c r="AE422" i="162"/>
  <c r="AF221" i="162"/>
  <c r="AF403" i="162" s="1"/>
  <c r="AE403" i="162"/>
  <c r="AF283" i="162"/>
  <c r="AF465" i="162" s="1"/>
  <c r="AE465" i="162"/>
  <c r="AF307" i="162"/>
  <c r="AF489" i="162" s="1"/>
  <c r="AE489" i="162"/>
  <c r="AF295" i="162"/>
  <c r="AF477" i="162" s="1"/>
  <c r="AE477" i="162"/>
  <c r="AF289" i="162"/>
  <c r="AF471" i="162" s="1"/>
  <c r="AE471" i="162"/>
  <c r="AF339" i="162"/>
  <c r="AF521" i="162" s="1"/>
  <c r="AE521" i="162"/>
  <c r="AJ529" i="162"/>
  <c r="AJ429" i="162"/>
  <c r="AF306" i="162"/>
  <c r="AF488" i="162" s="1"/>
  <c r="AE488" i="162"/>
  <c r="AF294" i="162"/>
  <c r="AF476" i="162" s="1"/>
  <c r="AE476" i="162"/>
  <c r="AF351" i="162"/>
  <c r="AF533" i="162" s="1"/>
  <c r="AE533" i="162"/>
  <c r="AE498" i="162"/>
  <c r="AJ388" i="162"/>
  <c r="AJ451" i="162"/>
  <c r="AF232" i="162"/>
  <c r="AF414" i="162" s="1"/>
  <c r="AE414" i="162"/>
  <c r="AF219" i="162"/>
  <c r="AF401" i="162" s="1"/>
  <c r="AE401" i="162"/>
  <c r="AJ509" i="162"/>
  <c r="AF270" i="162"/>
  <c r="AF452" i="162" s="1"/>
  <c r="AE452" i="162"/>
  <c r="AF338" i="162"/>
  <c r="AF520" i="162" s="1"/>
  <c r="AE520" i="162"/>
  <c r="AF331" i="162"/>
  <c r="AF513" i="162" s="1"/>
  <c r="AE513" i="162"/>
  <c r="AE448" i="162"/>
  <c r="AJ467" i="162"/>
  <c r="AF303" i="162"/>
  <c r="AF485" i="162" s="1"/>
  <c r="AE485" i="162"/>
  <c r="AF291" i="162"/>
  <c r="AF473" i="162" s="1"/>
  <c r="AE473" i="162"/>
  <c r="AJ512" i="162"/>
  <c r="AJ389" i="162"/>
  <c r="AJ535" i="162"/>
  <c r="AJ485" i="162"/>
  <c r="AF279" i="162"/>
  <c r="AF461" i="162" s="1"/>
  <c r="AE461" i="162"/>
  <c r="AJ472" i="162"/>
  <c r="AE466" i="162"/>
  <c r="AJ524" i="162"/>
  <c r="AJ464" i="162"/>
  <c r="AF271" i="162"/>
  <c r="AF453" i="162" s="1"/>
  <c r="AE453" i="162"/>
  <c r="AJ434" i="162"/>
  <c r="AF215" i="162"/>
  <c r="AF397" i="162" s="1"/>
  <c r="AE397" i="162"/>
  <c r="AE506" i="162"/>
  <c r="AJ423" i="162"/>
  <c r="AJ469" i="162"/>
  <c r="AF208" i="162"/>
  <c r="AF390" i="162" s="1"/>
  <c r="AE390" i="162"/>
  <c r="AJ511" i="162"/>
  <c r="AJ499" i="162"/>
  <c r="AE389" i="162"/>
  <c r="AJ500" i="162"/>
  <c r="AJ440" i="162"/>
  <c r="AJ420" i="162"/>
  <c r="AF220" i="162"/>
  <c r="AF402" i="162" s="1"/>
  <c r="AE402" i="162"/>
  <c r="AJ419" i="162"/>
  <c r="AJ408" i="162"/>
  <c r="AJ395" i="162"/>
  <c r="AE481" i="162"/>
  <c r="AJ518" i="162"/>
  <c r="AJ458" i="162"/>
  <c r="AE469" i="162"/>
  <c r="AE457" i="162"/>
  <c r="AJ457" i="162"/>
  <c r="AJ437" i="162"/>
  <c r="AJ411" i="162"/>
  <c r="AJ478" i="162"/>
  <c r="AJ433" i="162"/>
  <c r="AJ479" i="162"/>
  <c r="AJ475" i="162"/>
  <c r="AJ454" i="162"/>
  <c r="AJ532" i="162"/>
  <c r="AJ521" i="162"/>
  <c r="AJ461" i="162"/>
  <c r="AJ497" i="162"/>
  <c r="AJ417" i="162"/>
  <c r="AJ496" i="162"/>
  <c r="AJ436" i="162"/>
  <c r="AJ414" i="162"/>
  <c r="AJ493" i="162"/>
  <c r="AJ443" i="162"/>
  <c r="AJ399" i="162"/>
  <c r="AJ536" i="162"/>
  <c r="AJ515" i="162"/>
  <c r="AJ514" i="162"/>
  <c r="AJ392" i="162"/>
  <c r="AJ487" i="162"/>
  <c r="AJ447" i="162"/>
  <c r="AJ486" i="162"/>
  <c r="AJ426" i="162"/>
  <c r="AJ484" i="162"/>
  <c r="AJ424" i="162"/>
  <c r="AJ502" i="162"/>
  <c r="AJ422" i="162"/>
  <c r="AJ501" i="162"/>
  <c r="AJ421" i="162"/>
  <c r="AJ519" i="162"/>
  <c r="AJ438" i="162"/>
  <c r="AJ398" i="162"/>
  <c r="AJ537" i="162"/>
  <c r="AJ456" i="162"/>
  <c r="AJ534" i="162"/>
  <c r="AJ453" i="162"/>
  <c r="AJ507" i="162"/>
  <c r="AJ407" i="162"/>
  <c r="AJ526" i="162"/>
  <c r="AJ466" i="162"/>
  <c r="AJ406" i="162"/>
  <c r="AJ504" i="162"/>
  <c r="AJ444" i="162"/>
  <c r="AJ463" i="162"/>
  <c r="AJ522" i="162"/>
  <c r="AJ442" i="162"/>
  <c r="AJ481" i="162"/>
  <c r="AJ439" i="162"/>
  <c r="AJ477" i="162"/>
  <c r="AJ432" i="162"/>
  <c r="AJ527" i="162"/>
  <c r="AJ427" i="162"/>
  <c r="AJ506" i="162"/>
  <c r="AJ446" i="162"/>
  <c r="AJ544" i="162"/>
  <c r="AJ404" i="162"/>
  <c r="AJ403" i="162"/>
  <c r="AJ462" i="162"/>
  <c r="AJ541" i="162"/>
  <c r="AJ441" i="162"/>
  <c r="AJ401" i="162"/>
  <c r="AJ459" i="162"/>
  <c r="AJ418" i="162"/>
  <c r="AJ397" i="162"/>
  <c r="AJ516" i="162"/>
  <c r="AJ394" i="162"/>
  <c r="AJ531" i="162"/>
  <c r="AJ391" i="162"/>
  <c r="AJ460" i="162"/>
  <c r="AJ520" i="162"/>
  <c r="AJ538" i="162"/>
  <c r="AJ483" i="162"/>
  <c r="AJ415" i="162"/>
  <c r="AJ498" i="162"/>
  <c r="AJ513" i="162"/>
  <c r="AJ400" i="162"/>
  <c r="AJ405" i="162"/>
  <c r="AJ425" i="162"/>
  <c r="AJ525" i="162"/>
  <c r="AJ505" i="162"/>
  <c r="AJ523" i="162"/>
  <c r="AJ445" i="162"/>
  <c r="AJ480" i="162"/>
  <c r="AJ465" i="162"/>
  <c r="AJ495" i="162"/>
  <c r="AJ543" i="162"/>
  <c r="AJ540" i="162"/>
  <c r="AJ435" i="162"/>
  <c r="AK35" i="158"/>
  <c r="AB118" i="129"/>
  <c r="AG368" i="162"/>
  <c r="AC127" i="129"/>
  <c r="AF127" i="129"/>
  <c r="AH127" i="129"/>
  <c r="AJ127" i="129"/>
  <c r="AC128" i="129"/>
  <c r="AF128" i="129"/>
  <c r="AH128" i="129"/>
  <c r="AJ128" i="129"/>
  <c r="AC129" i="129"/>
  <c r="AF129" i="129"/>
  <c r="AH129" i="129"/>
  <c r="AJ129" i="129"/>
  <c r="AC130" i="129"/>
  <c r="AF130" i="129"/>
  <c r="AH130" i="129"/>
  <c r="AJ130" i="129"/>
  <c r="AC131" i="129"/>
  <c r="AF131" i="129"/>
  <c r="AH131" i="129"/>
  <c r="AJ131" i="129"/>
  <c r="AC132" i="129"/>
  <c r="AF132" i="129"/>
  <c r="AH132" i="129"/>
  <c r="AC133" i="129"/>
  <c r="AF133" i="129"/>
  <c r="AH133" i="129"/>
  <c r="AC134" i="129"/>
  <c r="AF134" i="129"/>
  <c r="AH134" i="129"/>
  <c r="AC135" i="129"/>
  <c r="AF135" i="129"/>
  <c r="AH135" i="129"/>
  <c r="AC136" i="129"/>
  <c r="AF136" i="129"/>
  <c r="AH136" i="129"/>
  <c r="AC137" i="129"/>
  <c r="AF137" i="129"/>
  <c r="AH137" i="129"/>
  <c r="AC138" i="129"/>
  <c r="AF138" i="129"/>
  <c r="AH138" i="129"/>
  <c r="AB23" i="162"/>
  <c r="AB22" i="162"/>
  <c r="AB21" i="162"/>
  <c r="AB20" i="162"/>
  <c r="AB19" i="162"/>
  <c r="AB18" i="162"/>
  <c r="AB17" i="162"/>
  <c r="AB16" i="162"/>
  <c r="AB15" i="162"/>
  <c r="AB14" i="162"/>
  <c r="AB13" i="162"/>
  <c r="AB12" i="162"/>
  <c r="AB11" i="162"/>
  <c r="AB10" i="162"/>
  <c r="AB9" i="162"/>
  <c r="AB8" i="162"/>
  <c r="AB7" i="162"/>
  <c r="AB6" i="162"/>
  <c r="AB5" i="162"/>
  <c r="AB4" i="162"/>
  <c r="D48" i="162"/>
  <c r="D51" i="162" s="1"/>
  <c r="AI387" i="162"/>
  <c r="AG387" i="162"/>
  <c r="AB387" i="162"/>
  <c r="D47" i="162"/>
  <c r="AI386" i="162"/>
  <c r="AG386" i="162"/>
  <c r="AB386" i="162"/>
  <c r="D46" i="162"/>
  <c r="AI385" i="162"/>
  <c r="AG385" i="162"/>
  <c r="AB385" i="162"/>
  <c r="D45" i="162"/>
  <c r="AI384" i="162"/>
  <c r="AG384" i="162"/>
  <c r="AB384" i="162"/>
  <c r="AI383" i="162"/>
  <c r="AG383" i="162"/>
  <c r="AB383" i="162"/>
  <c r="AI382" i="162"/>
  <c r="AG382" i="162"/>
  <c r="AB382" i="162"/>
  <c r="AI381" i="162"/>
  <c r="AG381" i="162"/>
  <c r="AB381" i="162"/>
  <c r="AI380" i="162"/>
  <c r="AG380" i="162"/>
  <c r="AB380" i="162"/>
  <c r="AI379" i="162"/>
  <c r="AG379" i="162"/>
  <c r="AB379" i="162"/>
  <c r="AI378" i="162"/>
  <c r="AG378" i="162"/>
  <c r="AB378" i="162"/>
  <c r="B38" i="162"/>
  <c r="D38" i="162" s="1"/>
  <c r="D41" i="162" s="1"/>
  <c r="AI377" i="162"/>
  <c r="AG377" i="162"/>
  <c r="AB377" i="162"/>
  <c r="B37" i="162"/>
  <c r="D37" i="162" s="1"/>
  <c r="AI376" i="162"/>
  <c r="AG376" i="162"/>
  <c r="AB376" i="162"/>
  <c r="B36" i="162"/>
  <c r="D36" i="162" s="1"/>
  <c r="AI375" i="162"/>
  <c r="AG375" i="162"/>
  <c r="AB375" i="162"/>
  <c r="B35" i="162"/>
  <c r="D35" i="162" s="1"/>
  <c r="AI374" i="162"/>
  <c r="AG374" i="162"/>
  <c r="AB374" i="162"/>
  <c r="AI373" i="162"/>
  <c r="AG373" i="162"/>
  <c r="AB373" i="162"/>
  <c r="AI372" i="162"/>
  <c r="AG372" i="162"/>
  <c r="AB372" i="162"/>
  <c r="AI371" i="162"/>
  <c r="AG371" i="162"/>
  <c r="AB371" i="162"/>
  <c r="AI370" i="162"/>
  <c r="AG370" i="162"/>
  <c r="AB370" i="162"/>
  <c r="AI369" i="162"/>
  <c r="AG369" i="162"/>
  <c r="AB369" i="162"/>
  <c r="AK368" i="162"/>
  <c r="AB368" i="162"/>
  <c r="D28" i="162"/>
  <c r="D31" i="162" s="1"/>
  <c r="AK367" i="162"/>
  <c r="AI367" i="162"/>
  <c r="AH367" i="162"/>
  <c r="AG367" i="162"/>
  <c r="AA367" i="162"/>
  <c r="D27" i="162"/>
  <c r="D26" i="162"/>
  <c r="D25" i="162"/>
  <c r="AJ205" i="162"/>
  <c r="AH205" i="162"/>
  <c r="AH387" i="162" s="1"/>
  <c r="AE205" i="162"/>
  <c r="AF205" i="162" s="1"/>
  <c r="AF387" i="162" s="1"/>
  <c r="AJ204" i="162"/>
  <c r="AH204" i="162"/>
  <c r="AH386" i="162" s="1"/>
  <c r="AE204" i="162"/>
  <c r="AF204" i="162" s="1"/>
  <c r="AF386" i="162" s="1"/>
  <c r="AJ203" i="162"/>
  <c r="AH203" i="162"/>
  <c r="AH385" i="162" s="1"/>
  <c r="AE203" i="162"/>
  <c r="AF203" i="162" s="1"/>
  <c r="AF385" i="162" s="1"/>
  <c r="AJ202" i="162"/>
  <c r="AH202" i="162"/>
  <c r="AH384" i="162" s="1"/>
  <c r="AE202" i="162"/>
  <c r="AJ201" i="162"/>
  <c r="AH201" i="162"/>
  <c r="AH383" i="162" s="1"/>
  <c r="AE201" i="162"/>
  <c r="AE383" i="162" s="1"/>
  <c r="AJ200" i="162"/>
  <c r="AH200" i="162"/>
  <c r="AH382" i="162" s="1"/>
  <c r="AE200" i="162"/>
  <c r="AF200" i="162" s="1"/>
  <c r="AF382" i="162" s="1"/>
  <c r="AJ199" i="162"/>
  <c r="AH199" i="162"/>
  <c r="AH381" i="162" s="1"/>
  <c r="AE199" i="162"/>
  <c r="AF199" i="162" s="1"/>
  <c r="AF381" i="162" s="1"/>
  <c r="AJ198" i="162"/>
  <c r="AH198" i="162"/>
  <c r="AH380" i="162" s="1"/>
  <c r="AE198" i="162"/>
  <c r="AE380" i="162" s="1"/>
  <c r="AJ197" i="162"/>
  <c r="AH197" i="162"/>
  <c r="AH379" i="162" s="1"/>
  <c r="AE197" i="162"/>
  <c r="AF197" i="162" s="1"/>
  <c r="AF379" i="162" s="1"/>
  <c r="AJ196" i="162"/>
  <c r="AH196" i="162"/>
  <c r="AH378" i="162" s="1"/>
  <c r="AE196" i="162"/>
  <c r="AE378" i="162" s="1"/>
  <c r="AJ195" i="162"/>
  <c r="AH195" i="162"/>
  <c r="AH377" i="162" s="1"/>
  <c r="AE195" i="162"/>
  <c r="AF195" i="162" s="1"/>
  <c r="AF377" i="162" s="1"/>
  <c r="AJ194" i="162"/>
  <c r="AH194" i="162"/>
  <c r="AH376" i="162" s="1"/>
  <c r="AE194" i="162"/>
  <c r="AF194" i="162" s="1"/>
  <c r="AF376" i="162" s="1"/>
  <c r="AJ193" i="162"/>
  <c r="AH193" i="162"/>
  <c r="AH375" i="162" s="1"/>
  <c r="AE193" i="162"/>
  <c r="AJ192" i="162"/>
  <c r="AH192" i="162"/>
  <c r="AH374" i="162" s="1"/>
  <c r="AE192" i="162"/>
  <c r="AE374" i="162" s="1"/>
  <c r="AJ191" i="162"/>
  <c r="AH191" i="162"/>
  <c r="AH373" i="162" s="1"/>
  <c r="AE191" i="162"/>
  <c r="AF191" i="162" s="1"/>
  <c r="AF373" i="162" s="1"/>
  <c r="AJ190" i="162"/>
  <c r="AH190" i="162"/>
  <c r="AH372" i="162" s="1"/>
  <c r="AE190" i="162"/>
  <c r="AE372" i="162" s="1"/>
  <c r="AJ189" i="162"/>
  <c r="AH189" i="162"/>
  <c r="AH371" i="162" s="1"/>
  <c r="AE189" i="162"/>
  <c r="AE371" i="162" s="1"/>
  <c r="AJ188" i="162"/>
  <c r="AH188" i="162"/>
  <c r="AH370" i="162" s="1"/>
  <c r="AF188" i="162"/>
  <c r="AF370" i="162" s="1"/>
  <c r="AJ187" i="162"/>
  <c r="AH187" i="162"/>
  <c r="AF187" i="162"/>
  <c r="AF369" i="162" s="1"/>
  <c r="AJ186" i="162"/>
  <c r="AI186" i="162"/>
  <c r="AH186" i="162"/>
  <c r="AH368" i="162" s="1"/>
  <c r="AE368" i="162"/>
  <c r="AG71" i="129"/>
  <c r="AG127" i="129" s="1"/>
  <c r="AI71" i="129"/>
  <c r="AI127" i="129" s="1"/>
  <c r="AK71" i="129"/>
  <c r="AG72" i="129"/>
  <c r="AG128" i="129" s="1"/>
  <c r="AI72" i="129"/>
  <c r="AI128" i="129" s="1"/>
  <c r="AK72" i="129"/>
  <c r="AG73" i="129"/>
  <c r="AG129" i="129" s="1"/>
  <c r="AI73" i="129"/>
  <c r="AI129" i="129" s="1"/>
  <c r="AK73" i="129"/>
  <c r="AG74" i="129"/>
  <c r="AG130" i="129" s="1"/>
  <c r="AI74" i="129"/>
  <c r="AI130" i="129" s="1"/>
  <c r="AK74" i="129"/>
  <c r="AG75" i="129"/>
  <c r="AG131" i="129" s="1"/>
  <c r="AI75" i="129"/>
  <c r="AI131" i="129" s="1"/>
  <c r="AK75" i="129"/>
  <c r="AG76" i="129"/>
  <c r="AG132" i="129" s="1"/>
  <c r="AI76" i="129"/>
  <c r="AK76" i="129"/>
  <c r="AG77" i="129"/>
  <c r="AG133" i="129" s="1"/>
  <c r="AI77" i="129"/>
  <c r="AI133" i="129" s="1"/>
  <c r="AK77" i="129"/>
  <c r="AK133" i="129" s="1"/>
  <c r="AG78" i="129"/>
  <c r="AG134" i="129" s="1"/>
  <c r="AI78" i="129"/>
  <c r="AI134" i="129" s="1"/>
  <c r="AK78" i="129"/>
  <c r="AG79" i="129"/>
  <c r="AG135" i="129" s="1"/>
  <c r="AI79" i="129"/>
  <c r="AI135" i="129" s="1"/>
  <c r="AK79" i="129"/>
  <c r="AG80" i="129"/>
  <c r="AG136" i="129" s="1"/>
  <c r="AI80" i="129"/>
  <c r="AK80" i="129"/>
  <c r="AG81" i="129"/>
  <c r="AG137" i="129" s="1"/>
  <c r="AI81" i="129"/>
  <c r="AI137" i="129" s="1"/>
  <c r="AK81" i="129"/>
  <c r="AG82" i="129"/>
  <c r="AG138" i="129" s="1"/>
  <c r="AI138" i="129"/>
  <c r="AK82" i="129"/>
  <c r="AK64" i="129"/>
  <c r="AK65" i="129"/>
  <c r="AK66" i="129"/>
  <c r="AK67" i="129"/>
  <c r="AK68" i="129"/>
  <c r="AK69" i="129"/>
  <c r="AK70" i="129"/>
  <c r="AA8" i="162" l="1"/>
  <c r="D6" i="164"/>
  <c r="AA189" i="162"/>
  <c r="AA371" i="162" s="1"/>
  <c r="BE75" i="158"/>
  <c r="AZ75" i="158"/>
  <c r="AR81" i="158"/>
  <c r="BF81" i="158"/>
  <c r="BF75" i="158"/>
  <c r="AS81" i="158"/>
  <c r="AT81" i="158"/>
  <c r="BA75" i="158"/>
  <c r="AW75" i="158"/>
  <c r="AV75" i="158"/>
  <c r="AU75" i="158"/>
  <c r="BD83" i="158"/>
  <c r="BG77" i="158"/>
  <c r="AV77" i="158"/>
  <c r="BG81" i="158"/>
  <c r="BC83" i="158"/>
  <c r="AS83" i="158"/>
  <c r="BE83" i="158"/>
  <c r="AY83" i="158"/>
  <c r="BF77" i="158"/>
  <c r="AR83" i="158"/>
  <c r="AQ75" i="158"/>
  <c r="AR77" i="158"/>
  <c r="AU81" i="158"/>
  <c r="BG75" i="158"/>
  <c r="AQ81" i="158"/>
  <c r="BE81" i="158"/>
  <c r="BB75" i="158"/>
  <c r="AP83" i="158"/>
  <c r="AZ83" i="158"/>
  <c r="AT75" i="158"/>
  <c r="AS75" i="158"/>
  <c r="AX75" i="158"/>
  <c r="AR75" i="158"/>
  <c r="BC75" i="158"/>
  <c r="AP81" i="158"/>
  <c r="AC70" i="158"/>
  <c r="AC41" i="158"/>
  <c r="AC10" i="158"/>
  <c r="AY75" i="158"/>
  <c r="BF83" i="158"/>
  <c r="AV83" i="158"/>
  <c r="AU83" i="158"/>
  <c r="BB83" i="158"/>
  <c r="AT83" i="158"/>
  <c r="BG83" i="158"/>
  <c r="AX83" i="158"/>
  <c r="BA83" i="158"/>
  <c r="AW83" i="158"/>
  <c r="AO83" i="158"/>
  <c r="BE77" i="158"/>
  <c r="BD81" i="158"/>
  <c r="AT77" i="158"/>
  <c r="AQ77" i="158"/>
  <c r="BD77" i="158"/>
  <c r="BB77" i="158"/>
  <c r="AY77" i="158"/>
  <c r="AO77" i="158"/>
  <c r="AU77" i="158"/>
  <c r="BG80" i="158"/>
  <c r="AR80" i="158"/>
  <c r="BF80" i="158"/>
  <c r="BE80" i="158"/>
  <c r="AZ74" i="158"/>
  <c r="AZ81" i="158"/>
  <c r="BA81" i="158"/>
  <c r="AR74" i="158"/>
  <c r="AP77" i="158"/>
  <c r="BE74" i="158"/>
  <c r="BA77" i="158"/>
  <c r="AX77" i="158"/>
  <c r="BA74" i="158"/>
  <c r="AW77" i="158"/>
  <c r="AX81" i="158"/>
  <c r="AV81" i="158"/>
  <c r="AS74" i="158"/>
  <c r="AZ77" i="158"/>
  <c r="AY81" i="158"/>
  <c r="AO81" i="158"/>
  <c r="AX85" i="158"/>
  <c r="AQ74" i="158"/>
  <c r="AW85" i="158"/>
  <c r="AY80" i="158"/>
  <c r="AZ80" i="158"/>
  <c r="AT82" i="158"/>
  <c r="BA85" i="158"/>
  <c r="AX80" i="158"/>
  <c r="AQ82" i="158"/>
  <c r="BE76" i="158"/>
  <c r="BC76" i="158"/>
  <c r="BD76" i="158"/>
  <c r="AU74" i="158"/>
  <c r="AX76" i="158"/>
  <c r="AP74" i="158"/>
  <c r="AZ85" i="158"/>
  <c r="AO80" i="158"/>
  <c r="AY85" i="158"/>
  <c r="BD80" i="158"/>
  <c r="BB80" i="158"/>
  <c r="BC77" i="158"/>
  <c r="BC80" i="158"/>
  <c r="AP82" i="158"/>
  <c r="AW81" i="158"/>
  <c r="AT74" i="158"/>
  <c r="AW80" i="158"/>
  <c r="AV74" i="158"/>
  <c r="BA80" i="158"/>
  <c r="AQ80" i="158"/>
  <c r="AV82" i="158"/>
  <c r="BB76" i="158"/>
  <c r="AV85" i="158"/>
  <c r="AV76" i="158"/>
  <c r="BG82" i="158"/>
  <c r="BB85" i="158"/>
  <c r="BF76" i="158"/>
  <c r="BE85" i="158"/>
  <c r="BA76" i="158"/>
  <c r="AU76" i="158"/>
  <c r="BG74" i="158"/>
  <c r="AR82" i="158"/>
  <c r="AS88" i="158"/>
  <c r="BC88" i="158"/>
  <c r="BF88" i="158"/>
  <c r="BB88" i="158"/>
  <c r="BG76" i="158"/>
  <c r="BA88" i="158"/>
  <c r="AW76" i="158"/>
  <c r="AY76" i="158"/>
  <c r="BC74" i="158"/>
  <c r="AU82" i="158"/>
  <c r="BC82" i="158"/>
  <c r="AO88" i="158"/>
  <c r="AZ82" i="158"/>
  <c r="BG88" i="158"/>
  <c r="BD82" i="158"/>
  <c r="AZ76" i="158"/>
  <c r="BD74" i="158"/>
  <c r="AW88" i="158"/>
  <c r="BB82" i="158"/>
  <c r="AY82" i="158"/>
  <c r="AQ88" i="158"/>
  <c r="AO76" i="158"/>
  <c r="AR76" i="158"/>
  <c r="AP76" i="158"/>
  <c r="AQ76" i="158"/>
  <c r="AZ88" i="158"/>
  <c r="BA82" i="158"/>
  <c r="AX88" i="158"/>
  <c r="AX82" i="158"/>
  <c r="BG85" i="158"/>
  <c r="BD85" i="158"/>
  <c r="AR85" i="158"/>
  <c r="AT85" i="158"/>
  <c r="AU85" i="158"/>
  <c r="BC85" i="158"/>
  <c r="AS85" i="158"/>
  <c r="AP85" i="158"/>
  <c r="AQ85" i="158"/>
  <c r="BF85" i="158"/>
  <c r="AW82" i="158"/>
  <c r="AV88" i="158"/>
  <c r="AP88" i="158"/>
  <c r="AR88" i="158"/>
  <c r="AO82" i="158"/>
  <c r="AT88" i="158"/>
  <c r="AU88" i="158"/>
  <c r="BF82" i="158"/>
  <c r="BE82" i="158"/>
  <c r="AY88" i="158"/>
  <c r="AT76" i="158"/>
  <c r="AO74" i="158"/>
  <c r="AW74" i="158"/>
  <c r="AY74" i="158"/>
  <c r="AX74" i="158"/>
  <c r="BF74" i="158"/>
  <c r="BD88" i="158"/>
  <c r="AT80" i="158"/>
  <c r="AS80" i="158"/>
  <c r="AU80" i="158"/>
  <c r="AV80" i="158"/>
  <c r="AT84" i="158"/>
  <c r="AU84" i="158"/>
  <c r="AW84" i="158"/>
  <c r="AY84" i="158"/>
  <c r="AX84" i="158"/>
  <c r="AV84" i="158"/>
  <c r="AZ84" i="158"/>
  <c r="BA84" i="158"/>
  <c r="AO84" i="158"/>
  <c r="BB84" i="158"/>
  <c r="AP84" i="158"/>
  <c r="AR84" i="158"/>
  <c r="BF84" i="158"/>
  <c r="AQ84" i="158"/>
  <c r="AS84" i="158"/>
  <c r="BC84" i="158"/>
  <c r="BD84" i="158"/>
  <c r="BE84" i="158"/>
  <c r="BG84" i="158"/>
  <c r="AS87" i="158"/>
  <c r="AT87" i="158"/>
  <c r="AV87" i="158"/>
  <c r="AZ87" i="158"/>
  <c r="AX87" i="158"/>
  <c r="AU87" i="158"/>
  <c r="AW87" i="158"/>
  <c r="AY87" i="158"/>
  <c r="BE87" i="158"/>
  <c r="AO87" i="158"/>
  <c r="BF87" i="158"/>
  <c r="BG87" i="158"/>
  <c r="AP87" i="158"/>
  <c r="BC87" i="158"/>
  <c r="BD87" i="158"/>
  <c r="AR87" i="158"/>
  <c r="BA87" i="158"/>
  <c r="AQ87" i="158"/>
  <c r="BB87" i="158"/>
  <c r="AY79" i="158"/>
  <c r="BB79" i="158"/>
  <c r="BC79" i="158"/>
  <c r="BD79" i="158"/>
  <c r="BE79" i="158"/>
  <c r="BG79" i="158"/>
  <c r="BF79" i="158"/>
  <c r="AP79" i="158"/>
  <c r="AQ79" i="158"/>
  <c r="AR79" i="158"/>
  <c r="AS79" i="158"/>
  <c r="AO79" i="158"/>
  <c r="AU79" i="158"/>
  <c r="AT79" i="158"/>
  <c r="AW79" i="158"/>
  <c r="AV79" i="158"/>
  <c r="AX79" i="158"/>
  <c r="BA79" i="158"/>
  <c r="AZ79" i="158"/>
  <c r="AX86" i="158"/>
  <c r="AY86" i="158"/>
  <c r="BB86" i="158"/>
  <c r="AO86" i="158"/>
  <c r="BA86" i="158"/>
  <c r="BC86" i="158"/>
  <c r="BD86" i="158"/>
  <c r="AZ86" i="158"/>
  <c r="AP86" i="158"/>
  <c r="AQ86" i="158"/>
  <c r="AR86" i="158"/>
  <c r="AS86" i="158"/>
  <c r="AT86" i="158"/>
  <c r="AU86" i="158"/>
  <c r="AV86" i="158"/>
  <c r="AW86" i="158"/>
  <c r="BG86" i="158"/>
  <c r="BF86" i="158"/>
  <c r="BE86" i="158"/>
  <c r="AY78" i="158"/>
  <c r="BD78" i="158"/>
  <c r="BF78" i="158"/>
  <c r="AZ78" i="158"/>
  <c r="BC78" i="158"/>
  <c r="BE78" i="158"/>
  <c r="BA78" i="158"/>
  <c r="BB78" i="158"/>
  <c r="AU78" i="158"/>
  <c r="AV78" i="158"/>
  <c r="AX78" i="158"/>
  <c r="BG78" i="158"/>
  <c r="AW78" i="158"/>
  <c r="AO78" i="158"/>
  <c r="AP78" i="158"/>
  <c r="AQ78" i="158"/>
  <c r="AR78" i="158"/>
  <c r="AS78" i="158"/>
  <c r="AT78" i="158"/>
  <c r="AI368" i="162"/>
  <c r="AI363" i="162"/>
  <c r="AJ363" i="162"/>
  <c r="AH369" i="162"/>
  <c r="AJ369" i="162" s="1"/>
  <c r="AH363" i="162"/>
  <c r="AK132" i="129"/>
  <c r="AK131" i="129"/>
  <c r="AK138" i="129"/>
  <c r="AJ374" i="162"/>
  <c r="AE369" i="162"/>
  <c r="AE370" i="162"/>
  <c r="AJ381" i="162"/>
  <c r="AJ370" i="162"/>
  <c r="AE385" i="162"/>
  <c r="AE376" i="162"/>
  <c r="AE381" i="162"/>
  <c r="AE382" i="162"/>
  <c r="AJ386" i="162"/>
  <c r="AK136" i="129"/>
  <c r="AI136" i="129"/>
  <c r="AK128" i="129"/>
  <c r="AK135" i="129"/>
  <c r="AK130" i="129"/>
  <c r="AK127" i="129"/>
  <c r="AI132" i="129"/>
  <c r="AK134" i="129"/>
  <c r="AK129" i="129"/>
  <c r="AK137" i="129"/>
  <c r="AJ372" i="162"/>
  <c r="AJ375" i="162"/>
  <c r="D30" i="162"/>
  <c r="AE387" i="162"/>
  <c r="AE379" i="162"/>
  <c r="AF196" i="162"/>
  <c r="AF378" i="162" s="1"/>
  <c r="AJ385" i="162"/>
  <c r="AF192" i="162"/>
  <c r="AF374" i="162" s="1"/>
  <c r="D40" i="162"/>
  <c r="AJ367" i="162"/>
  <c r="AM367" i="162" s="1"/>
  <c r="AJ379" i="162"/>
  <c r="AJ384" i="162"/>
  <c r="AJ383" i="162"/>
  <c r="AF198" i="162"/>
  <c r="AF380" i="162" s="1"/>
  <c r="AF189" i="162"/>
  <c r="AF371" i="162" s="1"/>
  <c r="AF186" i="162"/>
  <c r="AF368" i="162" s="1"/>
  <c r="AF201" i="162"/>
  <c r="AF383" i="162" s="1"/>
  <c r="AJ368" i="162"/>
  <c r="AJ377" i="162"/>
  <c r="AJ380" i="162"/>
  <c r="AJ371" i="162"/>
  <c r="AF190" i="162"/>
  <c r="AF372" i="162" s="1"/>
  <c r="AE384" i="162"/>
  <c r="AF202" i="162"/>
  <c r="AF384" i="162" s="1"/>
  <c r="AE375" i="162"/>
  <c r="AF193" i="162"/>
  <c r="AF375" i="162" s="1"/>
  <c r="AE377" i="162"/>
  <c r="AJ376" i="162"/>
  <c r="AE373" i="162"/>
  <c r="AJ382" i="162"/>
  <c r="AJ373" i="162"/>
  <c r="AJ387" i="162"/>
  <c r="AJ378" i="162"/>
  <c r="D50" i="162"/>
  <c r="AE386" i="162"/>
  <c r="F42" i="154"/>
  <c r="A42" i="154"/>
  <c r="AM368" i="162" l="1"/>
  <c r="AA9" i="162"/>
  <c r="D7" i="164"/>
  <c r="AA190" i="162"/>
  <c r="AA372" i="162" s="1"/>
  <c r="BH76" i="158"/>
  <c r="BH84" i="158"/>
  <c r="AC11" i="158"/>
  <c r="AC42" i="158"/>
  <c r="AC71" i="158"/>
  <c r="BH78" i="158"/>
  <c r="BH82" i="158"/>
  <c r="BH86" i="158"/>
  <c r="BH83" i="158"/>
  <c r="BH77" i="158"/>
  <c r="BH81" i="158"/>
  <c r="BH75" i="158"/>
  <c r="BH88" i="158"/>
  <c r="BH80" i="158"/>
  <c r="BH79" i="158"/>
  <c r="BH85" i="158"/>
  <c r="BH87" i="158"/>
  <c r="AK323" i="162"/>
  <c r="AK505" i="162" s="1"/>
  <c r="AM505" i="162" s="1"/>
  <c r="AK344" i="162"/>
  <c r="AK526" i="162" s="1"/>
  <c r="AM526" i="162" s="1"/>
  <c r="AK215" i="162"/>
  <c r="AK397" i="162" s="1"/>
  <c r="AM397" i="162" s="1"/>
  <c r="AK235" i="162"/>
  <c r="AK417" i="162" s="1"/>
  <c r="AM417" i="162" s="1"/>
  <c r="AK255" i="162"/>
  <c r="AK437" i="162" s="1"/>
  <c r="AM437" i="162" s="1"/>
  <c r="AK275" i="162"/>
  <c r="AK457" i="162" s="1"/>
  <c r="AM457" i="162" s="1"/>
  <c r="AK295" i="162"/>
  <c r="AK477" i="162" s="1"/>
  <c r="AM477" i="162" s="1"/>
  <c r="AK259" i="162"/>
  <c r="AK441" i="162" s="1"/>
  <c r="AM441" i="162" s="1"/>
  <c r="AK341" i="162"/>
  <c r="AK523" i="162" s="1"/>
  <c r="AM523" i="162" s="1"/>
  <c r="AK220" i="162"/>
  <c r="AK402" i="162" s="1"/>
  <c r="AM402" i="162" s="1"/>
  <c r="AK300" i="162"/>
  <c r="AK482" i="162" s="1"/>
  <c r="AM482" i="162" s="1"/>
  <c r="AK317" i="162"/>
  <c r="AK499" i="162" s="1"/>
  <c r="AM499" i="162" s="1"/>
  <c r="AK358" i="162"/>
  <c r="AK540" i="162" s="1"/>
  <c r="AM540" i="162" s="1"/>
  <c r="AK362" i="162"/>
  <c r="AK544" i="162" s="1"/>
  <c r="AM544" i="162" s="1"/>
  <c r="AK340" i="162"/>
  <c r="AK522" i="162" s="1"/>
  <c r="AM522" i="162" s="1"/>
  <c r="AK216" i="162"/>
  <c r="AK398" i="162" s="1"/>
  <c r="AM398" i="162" s="1"/>
  <c r="AK236" i="162"/>
  <c r="AK418" i="162" s="1"/>
  <c r="AM418" i="162" s="1"/>
  <c r="AK256" i="162"/>
  <c r="AK438" i="162" s="1"/>
  <c r="AM438" i="162" s="1"/>
  <c r="AK276" i="162"/>
  <c r="AK458" i="162" s="1"/>
  <c r="AM458" i="162" s="1"/>
  <c r="AK296" i="162"/>
  <c r="AK478" i="162" s="1"/>
  <c r="AM478" i="162" s="1"/>
  <c r="AK279" i="162"/>
  <c r="AK461" i="162" s="1"/>
  <c r="AM461" i="162" s="1"/>
  <c r="AK260" i="162"/>
  <c r="AK442" i="162" s="1"/>
  <c r="AM442" i="162" s="1"/>
  <c r="AK226" i="162"/>
  <c r="AK408" i="162" s="1"/>
  <c r="AM408" i="162" s="1"/>
  <c r="AK319" i="162"/>
  <c r="AK501" i="162" s="1"/>
  <c r="AM501" i="162" s="1"/>
  <c r="AK332" i="162"/>
  <c r="AK514" i="162" s="1"/>
  <c r="AM514" i="162" s="1"/>
  <c r="AK336" i="162"/>
  <c r="AK518" i="162" s="1"/>
  <c r="AM518" i="162" s="1"/>
  <c r="AK353" i="162"/>
  <c r="AK535" i="162" s="1"/>
  <c r="AM535" i="162" s="1"/>
  <c r="AK217" i="162"/>
  <c r="AK399" i="162" s="1"/>
  <c r="AM399" i="162" s="1"/>
  <c r="AK237" i="162"/>
  <c r="AK419" i="162" s="1"/>
  <c r="AM419" i="162" s="1"/>
  <c r="AK257" i="162"/>
  <c r="AK439" i="162" s="1"/>
  <c r="AM439" i="162" s="1"/>
  <c r="AK277" i="162"/>
  <c r="AK459" i="162" s="1"/>
  <c r="AM459" i="162" s="1"/>
  <c r="AK297" i="162"/>
  <c r="AK479" i="162" s="1"/>
  <c r="AM479" i="162" s="1"/>
  <c r="AK324" i="162"/>
  <c r="AK506" i="162" s="1"/>
  <c r="AM506" i="162" s="1"/>
  <c r="AK219" i="162"/>
  <c r="AK401" i="162" s="1"/>
  <c r="AM401" i="162" s="1"/>
  <c r="AK299" i="162"/>
  <c r="AK481" i="162" s="1"/>
  <c r="AM481" i="162" s="1"/>
  <c r="AK280" i="162"/>
  <c r="AK462" i="162" s="1"/>
  <c r="AM462" i="162" s="1"/>
  <c r="AK338" i="162"/>
  <c r="AK520" i="162" s="1"/>
  <c r="AM520" i="162" s="1"/>
  <c r="AK313" i="162"/>
  <c r="AK495" i="162" s="1"/>
  <c r="AM495" i="162" s="1"/>
  <c r="AK347" i="162"/>
  <c r="AK529" i="162" s="1"/>
  <c r="AM529" i="162" s="1"/>
  <c r="AK311" i="162"/>
  <c r="AK493" i="162" s="1"/>
  <c r="AM493" i="162" s="1"/>
  <c r="AK315" i="162"/>
  <c r="AK497" i="162" s="1"/>
  <c r="AM497" i="162" s="1"/>
  <c r="AK328" i="162"/>
  <c r="AK510" i="162" s="1"/>
  <c r="AM510" i="162" s="1"/>
  <c r="AK349" i="162"/>
  <c r="AK531" i="162" s="1"/>
  <c r="AM531" i="162" s="1"/>
  <c r="AK218" i="162"/>
  <c r="AK400" i="162" s="1"/>
  <c r="AM400" i="162" s="1"/>
  <c r="AK238" i="162"/>
  <c r="AK420" i="162" s="1"/>
  <c r="AM420" i="162" s="1"/>
  <c r="AK258" i="162"/>
  <c r="AK440" i="162" s="1"/>
  <c r="AM440" i="162" s="1"/>
  <c r="AK278" i="162"/>
  <c r="AK460" i="162" s="1"/>
  <c r="AM460" i="162" s="1"/>
  <c r="AK298" i="162"/>
  <c r="AK480" i="162" s="1"/>
  <c r="AM480" i="162" s="1"/>
  <c r="AK355" i="162"/>
  <c r="AK537" i="162" s="1"/>
  <c r="AM537" i="162" s="1"/>
  <c r="AK345" i="162"/>
  <c r="AK527" i="162" s="1"/>
  <c r="AM527" i="162" s="1"/>
  <c r="AK239" i="162"/>
  <c r="AK421" i="162" s="1"/>
  <c r="AM421" i="162" s="1"/>
  <c r="AK240" i="162"/>
  <c r="AK422" i="162" s="1"/>
  <c r="AM422" i="162" s="1"/>
  <c r="AK206" i="162"/>
  <c r="AK388" i="162" s="1"/>
  <c r="AM388" i="162" s="1"/>
  <c r="AK309" i="162"/>
  <c r="AK491" i="162" s="1"/>
  <c r="AM491" i="162" s="1"/>
  <c r="AK330" i="162"/>
  <c r="AK512" i="162" s="1"/>
  <c r="AM512" i="162" s="1"/>
  <c r="AK359" i="162"/>
  <c r="AK541" i="162" s="1"/>
  <c r="AM541" i="162" s="1"/>
  <c r="AK308" i="162"/>
  <c r="AK490" i="162" s="1"/>
  <c r="AM490" i="162" s="1"/>
  <c r="AK320" i="162"/>
  <c r="AK502" i="162" s="1"/>
  <c r="AM502" i="162" s="1"/>
  <c r="AK221" i="162"/>
  <c r="AK403" i="162" s="1"/>
  <c r="AM403" i="162" s="1"/>
  <c r="AK241" i="162"/>
  <c r="AK423" i="162" s="1"/>
  <c r="AM423" i="162" s="1"/>
  <c r="AK261" i="162"/>
  <c r="AK443" i="162" s="1"/>
  <c r="AM443" i="162" s="1"/>
  <c r="AK281" i="162"/>
  <c r="AK463" i="162" s="1"/>
  <c r="AM463" i="162" s="1"/>
  <c r="AK301" i="162"/>
  <c r="AK483" i="162" s="1"/>
  <c r="AM483" i="162" s="1"/>
  <c r="AK333" i="162"/>
  <c r="AK515" i="162" s="1"/>
  <c r="AM515" i="162" s="1"/>
  <c r="AK337" i="162"/>
  <c r="AK519" i="162" s="1"/>
  <c r="AM519" i="162" s="1"/>
  <c r="AK354" i="162"/>
  <c r="AK536" i="162" s="1"/>
  <c r="AM536" i="162" s="1"/>
  <c r="AK222" i="162"/>
  <c r="AK404" i="162" s="1"/>
  <c r="AM404" i="162" s="1"/>
  <c r="AK242" i="162"/>
  <c r="AK424" i="162" s="1"/>
  <c r="AM424" i="162" s="1"/>
  <c r="AK262" i="162"/>
  <c r="AK444" i="162" s="1"/>
  <c r="AM444" i="162" s="1"/>
  <c r="AK282" i="162"/>
  <c r="AK464" i="162" s="1"/>
  <c r="AM464" i="162" s="1"/>
  <c r="AK302" i="162"/>
  <c r="AK484" i="162" s="1"/>
  <c r="AM484" i="162" s="1"/>
  <c r="AK312" i="162"/>
  <c r="AK494" i="162" s="1"/>
  <c r="AM494" i="162" s="1"/>
  <c r="AK316" i="162"/>
  <c r="AK498" i="162" s="1"/>
  <c r="AM498" i="162" s="1"/>
  <c r="AK329" i="162"/>
  <c r="AK511" i="162" s="1"/>
  <c r="AM511" i="162" s="1"/>
  <c r="AK350" i="162"/>
  <c r="AK532" i="162" s="1"/>
  <c r="AM532" i="162" s="1"/>
  <c r="AK223" i="162"/>
  <c r="AK405" i="162" s="1"/>
  <c r="AM405" i="162" s="1"/>
  <c r="AK243" i="162"/>
  <c r="AK425" i="162" s="1"/>
  <c r="AM425" i="162" s="1"/>
  <c r="AK263" i="162"/>
  <c r="AK445" i="162" s="1"/>
  <c r="AM445" i="162" s="1"/>
  <c r="AK283" i="162"/>
  <c r="AK465" i="162" s="1"/>
  <c r="AM465" i="162" s="1"/>
  <c r="AK303" i="162"/>
  <c r="AK485" i="162" s="1"/>
  <c r="AM485" i="162" s="1"/>
  <c r="AK325" i="162"/>
  <c r="AK507" i="162" s="1"/>
  <c r="AM507" i="162" s="1"/>
  <c r="AK346" i="162"/>
  <c r="AK528" i="162" s="1"/>
  <c r="AM528" i="162" s="1"/>
  <c r="AK224" i="162"/>
  <c r="AK406" i="162" s="1"/>
  <c r="AM406" i="162" s="1"/>
  <c r="AK244" i="162"/>
  <c r="AK426" i="162" s="1"/>
  <c r="AM426" i="162" s="1"/>
  <c r="AK264" i="162"/>
  <c r="AK446" i="162" s="1"/>
  <c r="AM446" i="162" s="1"/>
  <c r="AK284" i="162"/>
  <c r="AK466" i="162" s="1"/>
  <c r="AM466" i="162" s="1"/>
  <c r="AK304" i="162"/>
  <c r="AK486" i="162" s="1"/>
  <c r="AM486" i="162" s="1"/>
  <c r="AK356" i="162"/>
  <c r="AK538" i="162" s="1"/>
  <c r="AM538" i="162" s="1"/>
  <c r="AK321" i="162"/>
  <c r="AK503" i="162" s="1"/>
  <c r="AM503" i="162" s="1"/>
  <c r="AK342" i="162"/>
  <c r="AK524" i="162" s="1"/>
  <c r="AM524" i="162" s="1"/>
  <c r="AK225" i="162"/>
  <c r="AK407" i="162" s="1"/>
  <c r="AM407" i="162" s="1"/>
  <c r="AK245" i="162"/>
  <c r="AK427" i="162" s="1"/>
  <c r="AM427" i="162" s="1"/>
  <c r="AK265" i="162"/>
  <c r="AK447" i="162" s="1"/>
  <c r="AM447" i="162" s="1"/>
  <c r="AK285" i="162"/>
  <c r="AK467" i="162" s="1"/>
  <c r="AM467" i="162" s="1"/>
  <c r="AK305" i="162"/>
  <c r="AK487" i="162" s="1"/>
  <c r="AM487" i="162" s="1"/>
  <c r="AK360" i="162"/>
  <c r="AK542" i="162" s="1"/>
  <c r="AM542" i="162" s="1"/>
  <c r="AK246" i="162"/>
  <c r="AK428" i="162" s="1"/>
  <c r="AM428" i="162" s="1"/>
  <c r="AK266" i="162"/>
  <c r="AK448" i="162" s="1"/>
  <c r="AM448" i="162" s="1"/>
  <c r="AK286" i="162"/>
  <c r="AK468" i="162" s="1"/>
  <c r="AM468" i="162" s="1"/>
  <c r="AK306" i="162"/>
  <c r="AK488" i="162" s="1"/>
  <c r="AM488" i="162" s="1"/>
  <c r="AK334" i="162"/>
  <c r="AK516" i="162" s="1"/>
  <c r="AM516" i="162" s="1"/>
  <c r="AK351" i="162"/>
  <c r="AK533" i="162" s="1"/>
  <c r="AM533" i="162" s="1"/>
  <c r="AK207" i="162"/>
  <c r="AK389" i="162" s="1"/>
  <c r="AM389" i="162" s="1"/>
  <c r="AK227" i="162"/>
  <c r="AK409" i="162" s="1"/>
  <c r="AM409" i="162" s="1"/>
  <c r="AK247" i="162"/>
  <c r="AK429" i="162" s="1"/>
  <c r="AM429" i="162" s="1"/>
  <c r="AK267" i="162"/>
  <c r="AK449" i="162" s="1"/>
  <c r="AM449" i="162" s="1"/>
  <c r="AK287" i="162"/>
  <c r="AK469" i="162" s="1"/>
  <c r="AM469" i="162" s="1"/>
  <c r="AK307" i="162"/>
  <c r="AK489" i="162" s="1"/>
  <c r="AM489" i="162" s="1"/>
  <c r="AK208" i="162"/>
  <c r="AK390" i="162" s="1"/>
  <c r="AM390" i="162" s="1"/>
  <c r="AK228" i="162"/>
  <c r="AK410" i="162" s="1"/>
  <c r="AM410" i="162" s="1"/>
  <c r="AK248" i="162"/>
  <c r="AK430" i="162" s="1"/>
  <c r="AM430" i="162" s="1"/>
  <c r="AK268" i="162"/>
  <c r="AK450" i="162" s="1"/>
  <c r="AM450" i="162" s="1"/>
  <c r="AK288" i="162"/>
  <c r="AK470" i="162" s="1"/>
  <c r="AM470" i="162" s="1"/>
  <c r="AK326" i="162"/>
  <c r="AK508" i="162" s="1"/>
  <c r="AM508" i="162" s="1"/>
  <c r="AK209" i="162"/>
  <c r="AK391" i="162" s="1"/>
  <c r="AM391" i="162" s="1"/>
  <c r="AK229" i="162"/>
  <c r="AK411" i="162" s="1"/>
  <c r="AM411" i="162" s="1"/>
  <c r="AK249" i="162"/>
  <c r="AK431" i="162" s="1"/>
  <c r="AM431" i="162" s="1"/>
  <c r="AK269" i="162"/>
  <c r="AK451" i="162" s="1"/>
  <c r="AM451" i="162" s="1"/>
  <c r="AK289" i="162"/>
  <c r="AK471" i="162" s="1"/>
  <c r="AM471" i="162" s="1"/>
  <c r="AK343" i="162"/>
  <c r="AK525" i="162" s="1"/>
  <c r="AM525" i="162" s="1"/>
  <c r="AK210" i="162"/>
  <c r="AK392" i="162" s="1"/>
  <c r="AM392" i="162" s="1"/>
  <c r="AK230" i="162"/>
  <c r="AK412" i="162" s="1"/>
  <c r="AM412" i="162" s="1"/>
  <c r="AK250" i="162"/>
  <c r="AK432" i="162" s="1"/>
  <c r="AM432" i="162" s="1"/>
  <c r="AK270" i="162"/>
  <c r="AK452" i="162" s="1"/>
  <c r="AM452" i="162" s="1"/>
  <c r="AK290" i="162"/>
  <c r="AK472" i="162" s="1"/>
  <c r="AM472" i="162" s="1"/>
  <c r="AK213" i="162"/>
  <c r="AK395" i="162" s="1"/>
  <c r="AM395" i="162" s="1"/>
  <c r="AK253" i="162"/>
  <c r="AK435" i="162" s="1"/>
  <c r="AM435" i="162" s="1"/>
  <c r="AK254" i="162"/>
  <c r="AK436" i="162" s="1"/>
  <c r="AM436" i="162" s="1"/>
  <c r="AK327" i="162"/>
  <c r="AK509" i="162" s="1"/>
  <c r="AM509" i="162" s="1"/>
  <c r="AK271" i="162"/>
  <c r="AK453" i="162" s="1"/>
  <c r="AM453" i="162" s="1"/>
  <c r="AK357" i="162"/>
  <c r="AK539" i="162" s="1"/>
  <c r="AM539" i="162" s="1"/>
  <c r="AK322" i="162"/>
  <c r="AK504" i="162" s="1"/>
  <c r="AM504" i="162" s="1"/>
  <c r="AK348" i="162"/>
  <c r="AK530" i="162" s="1"/>
  <c r="AM530" i="162" s="1"/>
  <c r="AK272" i="162"/>
  <c r="AK454" i="162" s="1"/>
  <c r="AM454" i="162" s="1"/>
  <c r="AK273" i="162"/>
  <c r="AK455" i="162" s="1"/>
  <c r="AM455" i="162" s="1"/>
  <c r="AK274" i="162"/>
  <c r="AK456" i="162" s="1"/>
  <c r="AM456" i="162" s="1"/>
  <c r="AK291" i="162"/>
  <c r="AK473" i="162" s="1"/>
  <c r="AM473" i="162" s="1"/>
  <c r="AK292" i="162"/>
  <c r="AK474" i="162" s="1"/>
  <c r="AM474" i="162" s="1"/>
  <c r="AK293" i="162"/>
  <c r="AK475" i="162" s="1"/>
  <c r="AM475" i="162" s="1"/>
  <c r="AK294" i="162"/>
  <c r="AK476" i="162" s="1"/>
  <c r="AM476" i="162" s="1"/>
  <c r="AK339" i="162"/>
  <c r="AK521" i="162" s="1"/>
  <c r="AM521" i="162" s="1"/>
  <c r="AK211" i="162"/>
  <c r="AK393" i="162" s="1"/>
  <c r="AM393" i="162" s="1"/>
  <c r="AK212" i="162"/>
  <c r="AK394" i="162" s="1"/>
  <c r="AM394" i="162" s="1"/>
  <c r="AK314" i="162"/>
  <c r="AK496" i="162" s="1"/>
  <c r="AM496" i="162" s="1"/>
  <c r="AK214" i="162"/>
  <c r="AK396" i="162" s="1"/>
  <c r="AM396" i="162" s="1"/>
  <c r="AK234" i="162"/>
  <c r="AK416" i="162" s="1"/>
  <c r="AM416" i="162" s="1"/>
  <c r="AK352" i="162"/>
  <c r="AK534" i="162" s="1"/>
  <c r="AM534" i="162" s="1"/>
  <c r="AK252" i="162"/>
  <c r="AK434" i="162" s="1"/>
  <c r="AM434" i="162" s="1"/>
  <c r="AK318" i="162"/>
  <c r="AK500" i="162" s="1"/>
  <c r="AM500" i="162" s="1"/>
  <c r="AK335" i="162"/>
  <c r="AK517" i="162" s="1"/>
  <c r="AM517" i="162" s="1"/>
  <c r="AK231" i="162"/>
  <c r="AK413" i="162" s="1"/>
  <c r="AM413" i="162" s="1"/>
  <c r="AK361" i="162"/>
  <c r="AK543" i="162" s="1"/>
  <c r="AM543" i="162" s="1"/>
  <c r="AK232" i="162"/>
  <c r="AK414" i="162" s="1"/>
  <c r="AM414" i="162" s="1"/>
  <c r="AK233" i="162"/>
  <c r="AK415" i="162" s="1"/>
  <c r="AM415" i="162" s="1"/>
  <c r="AK310" i="162"/>
  <c r="AK492" i="162" s="1"/>
  <c r="AM492" i="162" s="1"/>
  <c r="AK331" i="162"/>
  <c r="AK513" i="162" s="1"/>
  <c r="AM513" i="162" s="1"/>
  <c r="AK251" i="162"/>
  <c r="AK433" i="162" s="1"/>
  <c r="AM433" i="162" s="1"/>
  <c r="AK200" i="162"/>
  <c r="AK382" i="162" s="1"/>
  <c r="AM382" i="162" s="1"/>
  <c r="AK190" i="162"/>
  <c r="AK372" i="162" s="1"/>
  <c r="AM372" i="162" s="1"/>
  <c r="AK203" i="162"/>
  <c r="AK385" i="162" s="1"/>
  <c r="AM385" i="162" s="1"/>
  <c r="AK193" i="162"/>
  <c r="AK375" i="162" s="1"/>
  <c r="AM375" i="162" s="1"/>
  <c r="AK188" i="162"/>
  <c r="AK370" i="162" s="1"/>
  <c r="AM370" i="162" s="1"/>
  <c r="AK202" i="162"/>
  <c r="AK384" i="162" s="1"/>
  <c r="AM384" i="162" s="1"/>
  <c r="AK199" i="162"/>
  <c r="AK381" i="162" s="1"/>
  <c r="AM381" i="162" s="1"/>
  <c r="AK191" i="162"/>
  <c r="AK373" i="162" s="1"/>
  <c r="AM373" i="162" s="1"/>
  <c r="AK187" i="162"/>
  <c r="AK195" i="162"/>
  <c r="AK377" i="162" s="1"/>
  <c r="AM377" i="162" s="1"/>
  <c r="AK198" i="162"/>
  <c r="AK380" i="162" s="1"/>
  <c r="AM380" i="162" s="1"/>
  <c r="AK197" i="162"/>
  <c r="AK379" i="162" s="1"/>
  <c r="AM379" i="162" s="1"/>
  <c r="AK204" i="162"/>
  <c r="AK386" i="162" s="1"/>
  <c r="AM386" i="162" s="1"/>
  <c r="AK194" i="162"/>
  <c r="AK376" i="162" s="1"/>
  <c r="AM376" i="162" s="1"/>
  <c r="AK196" i="162"/>
  <c r="AK378" i="162" s="1"/>
  <c r="AM378" i="162" s="1"/>
  <c r="AK192" i="162"/>
  <c r="AK374" i="162" s="1"/>
  <c r="AM374" i="162" s="1"/>
  <c r="AK201" i="162"/>
  <c r="AK383" i="162" s="1"/>
  <c r="AM383" i="162" s="1"/>
  <c r="AK205" i="162"/>
  <c r="AK387" i="162" s="1"/>
  <c r="AM387" i="162" s="1"/>
  <c r="AK189" i="162"/>
  <c r="AK371" i="162" s="1"/>
  <c r="AM371" i="162" s="1"/>
  <c r="AW368" i="162"/>
  <c r="AV368" i="162"/>
  <c r="AU368" i="162"/>
  <c r="AT368" i="162"/>
  <c r="AQ368" i="162"/>
  <c r="BF368" i="162"/>
  <c r="BE368" i="162"/>
  <c r="BD368" i="162"/>
  <c r="BC368" i="162"/>
  <c r="BB368" i="162"/>
  <c r="AP368" i="162"/>
  <c r="AO368" i="162"/>
  <c r="AY368" i="162"/>
  <c r="AN368" i="162"/>
  <c r="BA368" i="162"/>
  <c r="AZ368" i="162"/>
  <c r="AX368" i="162"/>
  <c r="AS368" i="162"/>
  <c r="AR368" i="162"/>
  <c r="AN367" i="162"/>
  <c r="BF367" i="162"/>
  <c r="BE367" i="162"/>
  <c r="BB367" i="162"/>
  <c r="AS367" i="162"/>
  <c r="AR367" i="162"/>
  <c r="AO367" i="162"/>
  <c r="AQ367" i="162"/>
  <c r="AP367" i="162"/>
  <c r="BD367" i="162"/>
  <c r="BA367" i="162"/>
  <c r="AY367" i="162"/>
  <c r="BC367" i="162"/>
  <c r="AZ367" i="162"/>
  <c r="AV367" i="162"/>
  <c r="AX367" i="162"/>
  <c r="AW367" i="162"/>
  <c r="AU367" i="162"/>
  <c r="AT367" i="162"/>
  <c r="AA10" i="162" l="1"/>
  <c r="D8" i="164"/>
  <c r="AA191" i="162"/>
  <c r="AA373" i="162" s="1"/>
  <c r="AC12" i="158"/>
  <c r="AC43" i="158"/>
  <c r="AC72" i="158"/>
  <c r="AK369" i="162"/>
  <c r="AM369" i="162" s="1"/>
  <c r="AY369" i="162" s="1"/>
  <c r="AK363" i="162"/>
  <c r="AZ412" i="162"/>
  <c r="BC412" i="162"/>
  <c r="BF412" i="162"/>
  <c r="AO412" i="162"/>
  <c r="BB412" i="162"/>
  <c r="AR412" i="162"/>
  <c r="AU412" i="162"/>
  <c r="AY412" i="162"/>
  <c r="BA412" i="162"/>
  <c r="BE412" i="162"/>
  <c r="AN412" i="162"/>
  <c r="AP412" i="162"/>
  <c r="AV412" i="162"/>
  <c r="AT412" i="162"/>
  <c r="AW412" i="162"/>
  <c r="AQ412" i="162"/>
  <c r="AX412" i="162"/>
  <c r="AS412" i="162"/>
  <c r="BD412" i="162"/>
  <c r="BB463" i="162"/>
  <c r="BE463" i="162"/>
  <c r="AO463" i="162"/>
  <c r="AY463" i="162"/>
  <c r="BA463" i="162"/>
  <c r="BF463" i="162"/>
  <c r="AP463" i="162"/>
  <c r="AR463" i="162"/>
  <c r="AZ463" i="162"/>
  <c r="BC463" i="162"/>
  <c r="BD463" i="162"/>
  <c r="AW463" i="162"/>
  <c r="AX463" i="162"/>
  <c r="AS463" i="162"/>
  <c r="AT463" i="162"/>
  <c r="AU463" i="162"/>
  <c r="AV463" i="162"/>
  <c r="AQ463" i="162"/>
  <c r="AN463" i="162"/>
  <c r="AO525" i="162"/>
  <c r="AR525" i="162"/>
  <c r="AP525" i="162"/>
  <c r="AQ525" i="162"/>
  <c r="AS525" i="162"/>
  <c r="AV525" i="162"/>
  <c r="AW525" i="162"/>
  <c r="AX525" i="162"/>
  <c r="BA525" i="162"/>
  <c r="AY525" i="162"/>
  <c r="AZ525" i="162"/>
  <c r="BD525" i="162"/>
  <c r="BC525" i="162"/>
  <c r="AT525" i="162"/>
  <c r="AU525" i="162"/>
  <c r="BB525" i="162"/>
  <c r="BE525" i="162"/>
  <c r="AN525" i="162"/>
  <c r="BF525" i="162"/>
  <c r="BB423" i="162"/>
  <c r="BE423" i="162"/>
  <c r="AW423" i="162"/>
  <c r="BA423" i="162"/>
  <c r="AO423" i="162"/>
  <c r="AU423" i="162"/>
  <c r="AV423" i="162"/>
  <c r="AZ423" i="162"/>
  <c r="AT423" i="162"/>
  <c r="AX423" i="162"/>
  <c r="BC423" i="162"/>
  <c r="BD423" i="162"/>
  <c r="BF423" i="162"/>
  <c r="AN423" i="162"/>
  <c r="AR423" i="162"/>
  <c r="AP423" i="162"/>
  <c r="AQ423" i="162"/>
  <c r="AS423" i="162"/>
  <c r="AY423" i="162"/>
  <c r="BB403" i="162"/>
  <c r="BE403" i="162"/>
  <c r="BD403" i="162"/>
  <c r="AQ403" i="162"/>
  <c r="AY403" i="162"/>
  <c r="AZ403" i="162"/>
  <c r="BC403" i="162"/>
  <c r="AO403" i="162"/>
  <c r="AS403" i="162"/>
  <c r="BA403" i="162"/>
  <c r="AT403" i="162"/>
  <c r="AU403" i="162"/>
  <c r="AX403" i="162"/>
  <c r="AV403" i="162"/>
  <c r="AW403" i="162"/>
  <c r="AP403" i="162"/>
  <c r="AR403" i="162"/>
  <c r="BF403" i="162"/>
  <c r="AN403" i="162"/>
  <c r="AX451" i="162"/>
  <c r="BA451" i="162"/>
  <c r="BD451" i="162"/>
  <c r="AR451" i="162"/>
  <c r="AO451" i="162"/>
  <c r="AQ451" i="162"/>
  <c r="AS451" i="162"/>
  <c r="AN451" i="162"/>
  <c r="AT451" i="162"/>
  <c r="AU451" i="162"/>
  <c r="AV451" i="162"/>
  <c r="AP451" i="162"/>
  <c r="BF451" i="162"/>
  <c r="AW451" i="162"/>
  <c r="AY451" i="162"/>
  <c r="BE451" i="162"/>
  <c r="AZ451" i="162"/>
  <c r="BB451" i="162"/>
  <c r="BC451" i="162"/>
  <c r="AU528" i="162"/>
  <c r="AX528" i="162"/>
  <c r="BB528" i="162"/>
  <c r="BC528" i="162"/>
  <c r="BD528" i="162"/>
  <c r="BE528" i="162"/>
  <c r="AT528" i="162"/>
  <c r="AV528" i="162"/>
  <c r="AW528" i="162"/>
  <c r="AY528" i="162"/>
  <c r="AZ528" i="162"/>
  <c r="BA528" i="162"/>
  <c r="AO528" i="162"/>
  <c r="AS528" i="162"/>
  <c r="BF528" i="162"/>
  <c r="AN528" i="162"/>
  <c r="AP528" i="162"/>
  <c r="AQ528" i="162"/>
  <c r="AR528" i="162"/>
  <c r="BE507" i="162"/>
  <c r="BA507" i="162"/>
  <c r="BB507" i="162"/>
  <c r="BD507" i="162"/>
  <c r="AO507" i="162"/>
  <c r="AP507" i="162"/>
  <c r="AW507" i="162"/>
  <c r="BF507" i="162"/>
  <c r="AX507" i="162"/>
  <c r="AN507" i="162"/>
  <c r="AY507" i="162"/>
  <c r="AZ507" i="162"/>
  <c r="BC507" i="162"/>
  <c r="AQ507" i="162"/>
  <c r="AS507" i="162"/>
  <c r="AR507" i="162"/>
  <c r="AT507" i="162"/>
  <c r="AU507" i="162"/>
  <c r="AV507" i="162"/>
  <c r="BE497" i="162"/>
  <c r="AO497" i="162"/>
  <c r="AQ497" i="162"/>
  <c r="AP497" i="162"/>
  <c r="AN497" i="162"/>
  <c r="AR497" i="162"/>
  <c r="AS497" i="162"/>
  <c r="AT497" i="162"/>
  <c r="AW497" i="162"/>
  <c r="AU497" i="162"/>
  <c r="AV497" i="162"/>
  <c r="AX497" i="162"/>
  <c r="AY497" i="162"/>
  <c r="BB497" i="162"/>
  <c r="BC497" i="162"/>
  <c r="BF497" i="162"/>
  <c r="AZ497" i="162"/>
  <c r="BA497" i="162"/>
  <c r="BD497" i="162"/>
  <c r="BC476" i="162"/>
  <c r="AW476" i="162"/>
  <c r="BD476" i="162"/>
  <c r="AY476" i="162"/>
  <c r="BB476" i="162"/>
  <c r="BA476" i="162"/>
  <c r="BE476" i="162"/>
  <c r="BF476" i="162"/>
  <c r="AN476" i="162"/>
  <c r="AP476" i="162"/>
  <c r="AO476" i="162"/>
  <c r="AX476" i="162"/>
  <c r="AZ476" i="162"/>
  <c r="AV476" i="162"/>
  <c r="AQ476" i="162"/>
  <c r="AR476" i="162"/>
  <c r="AS476" i="162"/>
  <c r="AU476" i="162"/>
  <c r="AT476" i="162"/>
  <c r="BC478" i="162"/>
  <c r="AO478" i="162"/>
  <c r="AQ478" i="162"/>
  <c r="AY478" i="162"/>
  <c r="AZ478" i="162"/>
  <c r="BB478" i="162"/>
  <c r="AV478" i="162"/>
  <c r="AW478" i="162"/>
  <c r="AX478" i="162"/>
  <c r="BA478" i="162"/>
  <c r="AP478" i="162"/>
  <c r="AN478" i="162"/>
  <c r="AR478" i="162"/>
  <c r="AS478" i="162"/>
  <c r="BE478" i="162"/>
  <c r="AT478" i="162"/>
  <c r="AU478" i="162"/>
  <c r="BF478" i="162"/>
  <c r="BD478" i="162"/>
  <c r="AS471" i="162"/>
  <c r="AW471" i="162"/>
  <c r="BA471" i="162"/>
  <c r="AR471" i="162"/>
  <c r="AV471" i="162"/>
  <c r="AQ471" i="162"/>
  <c r="AT471" i="162"/>
  <c r="AX471" i="162"/>
  <c r="AZ471" i="162"/>
  <c r="BB471" i="162"/>
  <c r="BC471" i="162"/>
  <c r="BD471" i="162"/>
  <c r="AY471" i="162"/>
  <c r="AO471" i="162"/>
  <c r="AP471" i="162"/>
  <c r="AU471" i="162"/>
  <c r="BE471" i="162"/>
  <c r="BF471" i="162"/>
  <c r="AN471" i="162"/>
  <c r="AR458" i="162"/>
  <c r="AU458" i="162"/>
  <c r="AX458" i="162"/>
  <c r="BC458" i="162"/>
  <c r="AS458" i="162"/>
  <c r="BE458" i="162"/>
  <c r="AW458" i="162"/>
  <c r="AY458" i="162"/>
  <c r="BD458" i="162"/>
  <c r="AZ458" i="162"/>
  <c r="BA458" i="162"/>
  <c r="BB458" i="162"/>
  <c r="AN458" i="162"/>
  <c r="AQ458" i="162"/>
  <c r="AT458" i="162"/>
  <c r="AV458" i="162"/>
  <c r="AO458" i="162"/>
  <c r="AP458" i="162"/>
  <c r="BF458" i="162"/>
  <c r="BF445" i="162"/>
  <c r="AO445" i="162"/>
  <c r="AR445" i="162"/>
  <c r="BA445" i="162"/>
  <c r="BE445" i="162"/>
  <c r="AS445" i="162"/>
  <c r="AP445" i="162"/>
  <c r="AT445" i="162"/>
  <c r="AQ445" i="162"/>
  <c r="AW445" i="162"/>
  <c r="AX445" i="162"/>
  <c r="BC445" i="162"/>
  <c r="AY445" i="162"/>
  <c r="AZ445" i="162"/>
  <c r="BB445" i="162"/>
  <c r="BD445" i="162"/>
  <c r="AV445" i="162"/>
  <c r="AU445" i="162"/>
  <c r="AN445" i="162"/>
  <c r="AR428" i="162"/>
  <c r="AU428" i="162"/>
  <c r="AX428" i="162"/>
  <c r="BB428" i="162"/>
  <c r="BF428" i="162"/>
  <c r="BC428" i="162"/>
  <c r="AS428" i="162"/>
  <c r="AW428" i="162"/>
  <c r="BD428" i="162"/>
  <c r="BE428" i="162"/>
  <c r="AN428" i="162"/>
  <c r="AO428" i="162"/>
  <c r="AP428" i="162"/>
  <c r="AT428" i="162"/>
  <c r="AV428" i="162"/>
  <c r="AY428" i="162"/>
  <c r="AQ428" i="162"/>
  <c r="AZ428" i="162"/>
  <c r="BA428" i="162"/>
  <c r="AQ520" i="162"/>
  <c r="AY520" i="162"/>
  <c r="BB520" i="162"/>
  <c r="AO520" i="162"/>
  <c r="AP520" i="162"/>
  <c r="AR520" i="162"/>
  <c r="AN520" i="162"/>
  <c r="AS520" i="162"/>
  <c r="BA520" i="162"/>
  <c r="BC520" i="162"/>
  <c r="BD520" i="162"/>
  <c r="BE520" i="162"/>
  <c r="BF520" i="162"/>
  <c r="AV520" i="162"/>
  <c r="AW520" i="162"/>
  <c r="AX520" i="162"/>
  <c r="AZ520" i="162"/>
  <c r="AT520" i="162"/>
  <c r="AU520" i="162"/>
  <c r="AX411" i="162"/>
  <c r="BA411" i="162"/>
  <c r="BD411" i="162"/>
  <c r="BB411" i="162"/>
  <c r="AT411" i="162"/>
  <c r="BC411" i="162"/>
  <c r="AO411" i="162"/>
  <c r="AQ411" i="162"/>
  <c r="AP411" i="162"/>
  <c r="AR411" i="162"/>
  <c r="AS411" i="162"/>
  <c r="AU411" i="162"/>
  <c r="AV411" i="162"/>
  <c r="AZ411" i="162"/>
  <c r="BE411" i="162"/>
  <c r="AW411" i="162"/>
  <c r="AY411" i="162"/>
  <c r="BF411" i="162"/>
  <c r="AN411" i="162"/>
  <c r="AZ462" i="162"/>
  <c r="BC462" i="162"/>
  <c r="BF462" i="162"/>
  <c r="BA462" i="162"/>
  <c r="AR462" i="162"/>
  <c r="AX462" i="162"/>
  <c r="AQ462" i="162"/>
  <c r="AU462" i="162"/>
  <c r="BE462" i="162"/>
  <c r="AO462" i="162"/>
  <c r="AV462" i="162"/>
  <c r="AW462" i="162"/>
  <c r="AY462" i="162"/>
  <c r="BB462" i="162"/>
  <c r="AN462" i="162"/>
  <c r="AT462" i="162"/>
  <c r="AP462" i="162"/>
  <c r="AS462" i="162"/>
  <c r="BD462" i="162"/>
  <c r="AU492" i="162"/>
  <c r="AS492" i="162"/>
  <c r="AW492" i="162"/>
  <c r="AO492" i="162"/>
  <c r="AN492" i="162"/>
  <c r="AY492" i="162"/>
  <c r="AZ492" i="162"/>
  <c r="BA492" i="162"/>
  <c r="BB492" i="162"/>
  <c r="AP492" i="162"/>
  <c r="AQ492" i="162"/>
  <c r="AT492" i="162"/>
  <c r="BE492" i="162"/>
  <c r="AV492" i="162"/>
  <c r="BC492" i="162"/>
  <c r="BD492" i="162"/>
  <c r="BF492" i="162"/>
  <c r="AR492" i="162"/>
  <c r="AX492" i="162"/>
  <c r="BC532" i="162"/>
  <c r="BF532" i="162"/>
  <c r="AN532" i="162"/>
  <c r="AV532" i="162"/>
  <c r="AW532" i="162"/>
  <c r="AX532" i="162"/>
  <c r="AY532" i="162"/>
  <c r="AR532" i="162"/>
  <c r="AS532" i="162"/>
  <c r="AT532" i="162"/>
  <c r="AU532" i="162"/>
  <c r="AO532" i="162"/>
  <c r="AP532" i="162"/>
  <c r="AQ532" i="162"/>
  <c r="BD532" i="162"/>
  <c r="AZ532" i="162"/>
  <c r="BA532" i="162"/>
  <c r="BE532" i="162"/>
  <c r="BB532" i="162"/>
  <c r="BD508" i="162"/>
  <c r="BE508" i="162"/>
  <c r="AS508" i="162"/>
  <c r="AT508" i="162"/>
  <c r="AU508" i="162"/>
  <c r="AV508" i="162"/>
  <c r="AN508" i="162"/>
  <c r="BA508" i="162"/>
  <c r="BB508" i="162"/>
  <c r="BC508" i="162"/>
  <c r="BF508" i="162"/>
  <c r="AY508" i="162"/>
  <c r="AR508" i="162"/>
  <c r="AW508" i="162"/>
  <c r="AX508" i="162"/>
  <c r="AZ508" i="162"/>
  <c r="AP508" i="162"/>
  <c r="AO508" i="162"/>
  <c r="AQ508" i="162"/>
  <c r="AX401" i="162"/>
  <c r="BA401" i="162"/>
  <c r="BD401" i="162"/>
  <c r="AS401" i="162"/>
  <c r="AW401" i="162"/>
  <c r="AQ401" i="162"/>
  <c r="AZ401" i="162"/>
  <c r="AO401" i="162"/>
  <c r="BF401" i="162"/>
  <c r="AR401" i="162"/>
  <c r="AN401" i="162"/>
  <c r="AT401" i="162"/>
  <c r="AP401" i="162"/>
  <c r="BC401" i="162"/>
  <c r="BE401" i="162"/>
  <c r="AU401" i="162"/>
  <c r="AV401" i="162"/>
  <c r="AY401" i="162"/>
  <c r="BB401" i="162"/>
  <c r="AP498" i="162"/>
  <c r="AR498" i="162"/>
  <c r="AS498" i="162"/>
  <c r="AU498" i="162"/>
  <c r="AW498" i="162"/>
  <c r="AX498" i="162"/>
  <c r="AY498" i="162"/>
  <c r="AN498" i="162"/>
  <c r="AZ498" i="162"/>
  <c r="BC498" i="162"/>
  <c r="BD498" i="162"/>
  <c r="BE498" i="162"/>
  <c r="BF498" i="162"/>
  <c r="BA498" i="162"/>
  <c r="BB498" i="162"/>
  <c r="AV498" i="162"/>
  <c r="AO498" i="162"/>
  <c r="AT498" i="162"/>
  <c r="AQ498" i="162"/>
  <c r="AP427" i="162"/>
  <c r="AS427" i="162"/>
  <c r="AV427" i="162"/>
  <c r="AW427" i="162"/>
  <c r="BA427" i="162"/>
  <c r="AT427" i="162"/>
  <c r="BC427" i="162"/>
  <c r="AO427" i="162"/>
  <c r="AR427" i="162"/>
  <c r="BE427" i="162"/>
  <c r="BF427" i="162"/>
  <c r="AX427" i="162"/>
  <c r="AN427" i="162"/>
  <c r="AQ427" i="162"/>
  <c r="AU427" i="162"/>
  <c r="AY427" i="162"/>
  <c r="AZ427" i="162"/>
  <c r="BD427" i="162"/>
  <c r="BB427" i="162"/>
  <c r="AW539" i="162"/>
  <c r="AZ539" i="162"/>
  <c r="BD539" i="162"/>
  <c r="BE539" i="162"/>
  <c r="BF539" i="162"/>
  <c r="AR539" i="162"/>
  <c r="AX539" i="162"/>
  <c r="AS539" i="162"/>
  <c r="AT539" i="162"/>
  <c r="AN539" i="162"/>
  <c r="AU539" i="162"/>
  <c r="AV539" i="162"/>
  <c r="AO539" i="162"/>
  <c r="AY539" i="162"/>
  <c r="BB539" i="162"/>
  <c r="BA539" i="162"/>
  <c r="BC539" i="162"/>
  <c r="AP539" i="162"/>
  <c r="AQ539" i="162"/>
  <c r="AX421" i="162"/>
  <c r="BA421" i="162"/>
  <c r="BD421" i="162"/>
  <c r="AQ421" i="162"/>
  <c r="AW421" i="162"/>
  <c r="BF421" i="162"/>
  <c r="BC421" i="162"/>
  <c r="AY421" i="162"/>
  <c r="AZ421" i="162"/>
  <c r="BE421" i="162"/>
  <c r="AU421" i="162"/>
  <c r="AV421" i="162"/>
  <c r="BB421" i="162"/>
  <c r="AS421" i="162"/>
  <c r="AT421" i="162"/>
  <c r="AN421" i="162"/>
  <c r="AO421" i="162"/>
  <c r="AP421" i="162"/>
  <c r="AR421" i="162"/>
  <c r="AP524" i="162"/>
  <c r="BF524" i="162"/>
  <c r="AS524" i="162"/>
  <c r="AO524" i="162"/>
  <c r="AQ524" i="162"/>
  <c r="AR524" i="162"/>
  <c r="BB524" i="162"/>
  <c r="BC524" i="162"/>
  <c r="BD524" i="162"/>
  <c r="BE524" i="162"/>
  <c r="AU524" i="162"/>
  <c r="BA524" i="162"/>
  <c r="AV524" i="162"/>
  <c r="AN524" i="162"/>
  <c r="AW524" i="162"/>
  <c r="AZ524" i="162"/>
  <c r="AT524" i="162"/>
  <c r="AX524" i="162"/>
  <c r="AY524" i="162"/>
  <c r="AZ402" i="162"/>
  <c r="BC402" i="162"/>
  <c r="BF402" i="162"/>
  <c r="AX402" i="162"/>
  <c r="BD402" i="162"/>
  <c r="AY402" i="162"/>
  <c r="AU402" i="162"/>
  <c r="BA402" i="162"/>
  <c r="AO402" i="162"/>
  <c r="AQ402" i="162"/>
  <c r="AW402" i="162"/>
  <c r="BB402" i="162"/>
  <c r="BE402" i="162"/>
  <c r="AT402" i="162"/>
  <c r="AN402" i="162"/>
  <c r="AP402" i="162"/>
  <c r="AV402" i="162"/>
  <c r="AR402" i="162"/>
  <c r="AS402" i="162"/>
  <c r="AQ500" i="162"/>
  <c r="AT500" i="162"/>
  <c r="AZ500" i="162"/>
  <c r="BA500" i="162"/>
  <c r="BC500" i="162"/>
  <c r="AO500" i="162"/>
  <c r="AX500" i="162"/>
  <c r="AY500" i="162"/>
  <c r="BF500" i="162"/>
  <c r="BB500" i="162"/>
  <c r="BD500" i="162"/>
  <c r="BE500" i="162"/>
  <c r="AU500" i="162"/>
  <c r="AN500" i="162"/>
  <c r="AR500" i="162"/>
  <c r="AV500" i="162"/>
  <c r="AP500" i="162"/>
  <c r="AW500" i="162"/>
  <c r="AS500" i="162"/>
  <c r="BD444" i="162"/>
  <c r="AP444" i="162"/>
  <c r="AV444" i="162"/>
  <c r="AZ444" i="162"/>
  <c r="BB444" i="162"/>
  <c r="AU444" i="162"/>
  <c r="AY444" i="162"/>
  <c r="BF444" i="162"/>
  <c r="BA444" i="162"/>
  <c r="BC444" i="162"/>
  <c r="BE444" i="162"/>
  <c r="AS444" i="162"/>
  <c r="AT444" i="162"/>
  <c r="AW444" i="162"/>
  <c r="AX444" i="162"/>
  <c r="AN444" i="162"/>
  <c r="AO444" i="162"/>
  <c r="AQ444" i="162"/>
  <c r="AR444" i="162"/>
  <c r="BD424" i="162"/>
  <c r="AP424" i="162"/>
  <c r="BB424" i="162"/>
  <c r="AV424" i="162"/>
  <c r="BC424" i="162"/>
  <c r="AO424" i="162"/>
  <c r="AQ424" i="162"/>
  <c r="AT424" i="162"/>
  <c r="AU424" i="162"/>
  <c r="AW424" i="162"/>
  <c r="AN424" i="162"/>
  <c r="AZ424" i="162"/>
  <c r="AX424" i="162"/>
  <c r="AY424" i="162"/>
  <c r="AS424" i="162"/>
  <c r="BA424" i="162"/>
  <c r="BE424" i="162"/>
  <c r="AR424" i="162"/>
  <c r="BF424" i="162"/>
  <c r="AP534" i="162"/>
  <c r="BD534" i="162"/>
  <c r="BE534" i="162"/>
  <c r="BF534" i="162"/>
  <c r="AX534" i="162"/>
  <c r="AN534" i="162"/>
  <c r="AY534" i="162"/>
  <c r="BC534" i="162"/>
  <c r="AZ534" i="162"/>
  <c r="BA534" i="162"/>
  <c r="BB534" i="162"/>
  <c r="AV534" i="162"/>
  <c r="AS534" i="162"/>
  <c r="AT534" i="162"/>
  <c r="AO534" i="162"/>
  <c r="AQ534" i="162"/>
  <c r="AR534" i="162"/>
  <c r="AU534" i="162"/>
  <c r="AW534" i="162"/>
  <c r="BD404" i="162"/>
  <c r="AP404" i="162"/>
  <c r="AR404" i="162"/>
  <c r="AQ404" i="162"/>
  <c r="AX404" i="162"/>
  <c r="AO404" i="162"/>
  <c r="AU404" i="162"/>
  <c r="BA404" i="162"/>
  <c r="BB404" i="162"/>
  <c r="BC404" i="162"/>
  <c r="BE404" i="162"/>
  <c r="AW404" i="162"/>
  <c r="AN404" i="162"/>
  <c r="AY404" i="162"/>
  <c r="AZ404" i="162"/>
  <c r="AT404" i="162"/>
  <c r="BF404" i="162"/>
  <c r="AS404" i="162"/>
  <c r="AV404" i="162"/>
  <c r="AT449" i="162"/>
  <c r="AW449" i="162"/>
  <c r="AZ449" i="162"/>
  <c r="BA449" i="162"/>
  <c r="BE449" i="162"/>
  <c r="AP449" i="162"/>
  <c r="AX449" i="162"/>
  <c r="AR449" i="162"/>
  <c r="AV449" i="162"/>
  <c r="AN449" i="162"/>
  <c r="AO449" i="162"/>
  <c r="AQ449" i="162"/>
  <c r="AS449" i="162"/>
  <c r="BC449" i="162"/>
  <c r="BD449" i="162"/>
  <c r="BB449" i="162"/>
  <c r="BF449" i="162"/>
  <c r="AU449" i="162"/>
  <c r="AY449" i="162"/>
  <c r="BE533" i="162"/>
  <c r="AZ533" i="162"/>
  <c r="BA533" i="162"/>
  <c r="BB533" i="162"/>
  <c r="BC533" i="162"/>
  <c r="AP533" i="162"/>
  <c r="AQ533" i="162"/>
  <c r="AR533" i="162"/>
  <c r="AU533" i="162"/>
  <c r="AS533" i="162"/>
  <c r="AT533" i="162"/>
  <c r="BD533" i="162"/>
  <c r="BF533" i="162"/>
  <c r="AX533" i="162"/>
  <c r="AY533" i="162"/>
  <c r="AO533" i="162"/>
  <c r="AV533" i="162"/>
  <c r="AW533" i="162"/>
  <c r="AN533" i="162"/>
  <c r="AZ442" i="162"/>
  <c r="BC442" i="162"/>
  <c r="BF442" i="162"/>
  <c r="AP442" i="162"/>
  <c r="AT442" i="162"/>
  <c r="BB442" i="162"/>
  <c r="AX442" i="162"/>
  <c r="AY442" i="162"/>
  <c r="BA442" i="162"/>
  <c r="BD442" i="162"/>
  <c r="AV442" i="162"/>
  <c r="AW442" i="162"/>
  <c r="BE442" i="162"/>
  <c r="AQ442" i="162"/>
  <c r="AO442" i="162"/>
  <c r="AR442" i="162"/>
  <c r="AS442" i="162"/>
  <c r="AN442" i="162"/>
  <c r="AU442" i="162"/>
  <c r="AZ392" i="162"/>
  <c r="BC392" i="162"/>
  <c r="BF392" i="162"/>
  <c r="AQ392" i="162"/>
  <c r="AU392" i="162"/>
  <c r="AW392" i="162"/>
  <c r="BE392" i="162"/>
  <c r="BB392" i="162"/>
  <c r="AN392" i="162"/>
  <c r="AO392" i="162"/>
  <c r="AP392" i="162"/>
  <c r="AR392" i="162"/>
  <c r="AS392" i="162"/>
  <c r="AT392" i="162"/>
  <c r="AV392" i="162"/>
  <c r="BD392" i="162"/>
  <c r="AX392" i="162"/>
  <c r="AY392" i="162"/>
  <c r="BA392" i="162"/>
  <c r="AX461" i="162"/>
  <c r="BA461" i="162"/>
  <c r="BD461" i="162"/>
  <c r="AU461" i="162"/>
  <c r="AZ461" i="162"/>
  <c r="AQ461" i="162"/>
  <c r="AP461" i="162"/>
  <c r="AR461" i="162"/>
  <c r="AT461" i="162"/>
  <c r="BB461" i="162"/>
  <c r="BC461" i="162"/>
  <c r="BE461" i="162"/>
  <c r="BF461" i="162"/>
  <c r="AO461" i="162"/>
  <c r="AS461" i="162"/>
  <c r="AY461" i="162"/>
  <c r="AV461" i="162"/>
  <c r="AW461" i="162"/>
  <c r="AN461" i="162"/>
  <c r="BA485" i="162"/>
  <c r="AS485" i="162"/>
  <c r="AV485" i="162"/>
  <c r="AU485" i="162"/>
  <c r="AW485" i="162"/>
  <c r="AY485" i="162"/>
  <c r="AO485" i="162"/>
  <c r="BB485" i="162"/>
  <c r="BC485" i="162"/>
  <c r="AN485" i="162"/>
  <c r="BD485" i="162"/>
  <c r="BE485" i="162"/>
  <c r="BF485" i="162"/>
  <c r="AR485" i="162"/>
  <c r="AT485" i="162"/>
  <c r="AX485" i="162"/>
  <c r="AZ485" i="162"/>
  <c r="AQ485" i="162"/>
  <c r="AP485" i="162"/>
  <c r="BA475" i="162"/>
  <c r="AT475" i="162"/>
  <c r="AZ475" i="162"/>
  <c r="AS475" i="162"/>
  <c r="AW475" i="162"/>
  <c r="BC475" i="162"/>
  <c r="BD475" i="162"/>
  <c r="BF475" i="162"/>
  <c r="AO475" i="162"/>
  <c r="AP475" i="162"/>
  <c r="AN475" i="162"/>
  <c r="AQ475" i="162"/>
  <c r="AR475" i="162"/>
  <c r="AX475" i="162"/>
  <c r="AY475" i="162"/>
  <c r="BB475" i="162"/>
  <c r="BE475" i="162"/>
  <c r="AV475" i="162"/>
  <c r="AU475" i="162"/>
  <c r="AR448" i="162"/>
  <c r="AU448" i="162"/>
  <c r="AX448" i="162"/>
  <c r="AT448" i="162"/>
  <c r="AZ448" i="162"/>
  <c r="AO448" i="162"/>
  <c r="AY448" i="162"/>
  <c r="BA448" i="162"/>
  <c r="BC448" i="162"/>
  <c r="BF448" i="162"/>
  <c r="AN448" i="162"/>
  <c r="AP448" i="162"/>
  <c r="AQ448" i="162"/>
  <c r="AS448" i="162"/>
  <c r="AV448" i="162"/>
  <c r="AW448" i="162"/>
  <c r="BB448" i="162"/>
  <c r="BD448" i="162"/>
  <c r="BE448" i="162"/>
  <c r="AR438" i="162"/>
  <c r="AU438" i="162"/>
  <c r="AX438" i="162"/>
  <c r="AP438" i="162"/>
  <c r="BE438" i="162"/>
  <c r="AS438" i="162"/>
  <c r="AO438" i="162"/>
  <c r="AY438" i="162"/>
  <c r="AZ438" i="162"/>
  <c r="BA438" i="162"/>
  <c r="BB438" i="162"/>
  <c r="BD438" i="162"/>
  <c r="AT438" i="162"/>
  <c r="AN438" i="162"/>
  <c r="BC438" i="162"/>
  <c r="AV438" i="162"/>
  <c r="AW438" i="162"/>
  <c r="AQ438" i="162"/>
  <c r="BF438" i="162"/>
  <c r="AX431" i="162"/>
  <c r="BA431" i="162"/>
  <c r="BD431" i="162"/>
  <c r="AT431" i="162"/>
  <c r="AY431" i="162"/>
  <c r="BB431" i="162"/>
  <c r="AV431" i="162"/>
  <c r="BC431" i="162"/>
  <c r="AN431" i="162"/>
  <c r="BF431" i="162"/>
  <c r="AO431" i="162"/>
  <c r="AP431" i="162"/>
  <c r="AQ431" i="162"/>
  <c r="AU431" i="162"/>
  <c r="BE431" i="162"/>
  <c r="AW431" i="162"/>
  <c r="AZ431" i="162"/>
  <c r="AR431" i="162"/>
  <c r="AS431" i="162"/>
  <c r="AR418" i="162"/>
  <c r="AU418" i="162"/>
  <c r="AX418" i="162"/>
  <c r="AS418" i="162"/>
  <c r="AY418" i="162"/>
  <c r="BA418" i="162"/>
  <c r="AZ418" i="162"/>
  <c r="BD418" i="162"/>
  <c r="AO418" i="162"/>
  <c r="AQ418" i="162"/>
  <c r="BE418" i="162"/>
  <c r="BF418" i="162"/>
  <c r="AP418" i="162"/>
  <c r="BB418" i="162"/>
  <c r="BC418" i="162"/>
  <c r="AT418" i="162"/>
  <c r="AV418" i="162"/>
  <c r="AW418" i="162"/>
  <c r="AN418" i="162"/>
  <c r="AQ456" i="162"/>
  <c r="AT456" i="162"/>
  <c r="AR456" i="162"/>
  <c r="AW456" i="162"/>
  <c r="AV456" i="162"/>
  <c r="BC456" i="162"/>
  <c r="AO456" i="162"/>
  <c r="AP456" i="162"/>
  <c r="AS456" i="162"/>
  <c r="AN456" i="162"/>
  <c r="AU456" i="162"/>
  <c r="AX456" i="162"/>
  <c r="AY456" i="162"/>
  <c r="BE456" i="162"/>
  <c r="BF456" i="162"/>
  <c r="AZ456" i="162"/>
  <c r="BA456" i="162"/>
  <c r="BB456" i="162"/>
  <c r="BD456" i="162"/>
  <c r="BF405" i="162"/>
  <c r="AO405" i="162"/>
  <c r="AR405" i="162"/>
  <c r="AS405" i="162"/>
  <c r="AW405" i="162"/>
  <c r="AY405" i="162"/>
  <c r="BE405" i="162"/>
  <c r="BA405" i="162"/>
  <c r="BD405" i="162"/>
  <c r="AV405" i="162"/>
  <c r="AX405" i="162"/>
  <c r="BB405" i="162"/>
  <c r="BC405" i="162"/>
  <c r="AU405" i="162"/>
  <c r="AZ405" i="162"/>
  <c r="AT405" i="162"/>
  <c r="AN405" i="162"/>
  <c r="AP405" i="162"/>
  <c r="AQ405" i="162"/>
  <c r="BE487" i="162"/>
  <c r="AY487" i="162"/>
  <c r="BB487" i="162"/>
  <c r="BD487" i="162"/>
  <c r="BF487" i="162"/>
  <c r="AV487" i="162"/>
  <c r="BC487" i="162"/>
  <c r="AW487" i="162"/>
  <c r="AX487" i="162"/>
  <c r="AZ487" i="162"/>
  <c r="BA487" i="162"/>
  <c r="AS487" i="162"/>
  <c r="AT487" i="162"/>
  <c r="AU487" i="162"/>
  <c r="AN487" i="162"/>
  <c r="AQ487" i="162"/>
  <c r="AO487" i="162"/>
  <c r="AP487" i="162"/>
  <c r="AR487" i="162"/>
  <c r="BC522" i="162"/>
  <c r="BF522" i="162"/>
  <c r="AX522" i="162"/>
  <c r="AY522" i="162"/>
  <c r="AZ522" i="162"/>
  <c r="BA522" i="162"/>
  <c r="AR522" i="162"/>
  <c r="AS522" i="162"/>
  <c r="AT522" i="162"/>
  <c r="AW522" i="162"/>
  <c r="AU522" i="162"/>
  <c r="AV522" i="162"/>
  <c r="BE522" i="162"/>
  <c r="AN522" i="162"/>
  <c r="AQ522" i="162"/>
  <c r="AO522" i="162"/>
  <c r="BB522" i="162"/>
  <c r="AP522" i="162"/>
  <c r="BD522" i="162"/>
  <c r="AP467" i="162"/>
  <c r="AS467" i="162"/>
  <c r="AV467" i="162"/>
  <c r="BE467" i="162"/>
  <c r="BF467" i="162"/>
  <c r="AO467" i="162"/>
  <c r="AT467" i="162"/>
  <c r="BC467" i="162"/>
  <c r="BD467" i="162"/>
  <c r="AQ467" i="162"/>
  <c r="AW467" i="162"/>
  <c r="AX467" i="162"/>
  <c r="AY467" i="162"/>
  <c r="AZ467" i="162"/>
  <c r="AN467" i="162"/>
  <c r="BA467" i="162"/>
  <c r="BB467" i="162"/>
  <c r="AU467" i="162"/>
  <c r="AR467" i="162"/>
  <c r="AP544" i="162"/>
  <c r="BB544" i="162"/>
  <c r="BC544" i="162"/>
  <c r="BD544" i="162"/>
  <c r="BE544" i="162"/>
  <c r="AO544" i="162"/>
  <c r="AQ544" i="162"/>
  <c r="AR544" i="162"/>
  <c r="AS544" i="162"/>
  <c r="AZ544" i="162"/>
  <c r="BA544" i="162"/>
  <c r="BF544" i="162"/>
  <c r="AY544" i="162"/>
  <c r="AU544" i="162"/>
  <c r="AW544" i="162"/>
  <c r="AV544" i="162"/>
  <c r="AN544" i="162"/>
  <c r="AT544" i="162"/>
  <c r="AX544" i="162"/>
  <c r="AY530" i="162"/>
  <c r="BB530" i="162"/>
  <c r="AO530" i="162"/>
  <c r="AP530" i="162"/>
  <c r="AQ530" i="162"/>
  <c r="AR530" i="162"/>
  <c r="AU530" i="162"/>
  <c r="AS530" i="162"/>
  <c r="AT530" i="162"/>
  <c r="AV530" i="162"/>
  <c r="AW530" i="162"/>
  <c r="BC530" i="162"/>
  <c r="AN530" i="162"/>
  <c r="AX530" i="162"/>
  <c r="BE530" i="162"/>
  <c r="BF530" i="162"/>
  <c r="AZ530" i="162"/>
  <c r="BA530" i="162"/>
  <c r="BD530" i="162"/>
  <c r="AR388" i="162"/>
  <c r="AU388" i="162"/>
  <c r="AX388" i="162"/>
  <c r="AQ388" i="162"/>
  <c r="AW388" i="162"/>
  <c r="AO388" i="162"/>
  <c r="AZ388" i="162"/>
  <c r="AP388" i="162"/>
  <c r="AS388" i="162"/>
  <c r="AT388" i="162"/>
  <c r="BD388" i="162"/>
  <c r="AN388" i="162"/>
  <c r="BE388" i="162"/>
  <c r="BF388" i="162"/>
  <c r="BC388" i="162"/>
  <c r="AV388" i="162"/>
  <c r="BB388" i="162"/>
  <c r="AY388" i="162"/>
  <c r="BA388" i="162"/>
  <c r="BE543" i="162"/>
  <c r="AX543" i="162"/>
  <c r="AY543" i="162"/>
  <c r="AZ543" i="162"/>
  <c r="BA543" i="162"/>
  <c r="AN543" i="162"/>
  <c r="BD543" i="162"/>
  <c r="BF543" i="162"/>
  <c r="AQ543" i="162"/>
  <c r="AT543" i="162"/>
  <c r="AO543" i="162"/>
  <c r="AP543" i="162"/>
  <c r="AR543" i="162"/>
  <c r="AS543" i="162"/>
  <c r="AU543" i="162"/>
  <c r="AV543" i="162"/>
  <c r="BC543" i="162"/>
  <c r="AW543" i="162"/>
  <c r="BB543" i="162"/>
  <c r="AY494" i="162"/>
  <c r="BB494" i="162"/>
  <c r="AV494" i="162"/>
  <c r="AW494" i="162"/>
  <c r="AZ494" i="162"/>
  <c r="AO494" i="162"/>
  <c r="AP494" i="162"/>
  <c r="AQ494" i="162"/>
  <c r="AR494" i="162"/>
  <c r="AX494" i="162"/>
  <c r="BA494" i="162"/>
  <c r="BC494" i="162"/>
  <c r="AS494" i="162"/>
  <c r="AT494" i="162"/>
  <c r="AU494" i="162"/>
  <c r="BD494" i="162"/>
  <c r="AN494" i="162"/>
  <c r="BE494" i="162"/>
  <c r="BF494" i="162"/>
  <c r="AO499" i="162"/>
  <c r="AR499" i="162"/>
  <c r="AV499" i="162"/>
  <c r="AW499" i="162"/>
  <c r="AY499" i="162"/>
  <c r="BD499" i="162"/>
  <c r="BE499" i="162"/>
  <c r="BF499" i="162"/>
  <c r="AN499" i="162"/>
  <c r="AQ499" i="162"/>
  <c r="AP499" i="162"/>
  <c r="AZ499" i="162"/>
  <c r="BA499" i="162"/>
  <c r="BB499" i="162"/>
  <c r="AS499" i="162"/>
  <c r="AT499" i="162"/>
  <c r="AU499" i="162"/>
  <c r="AX499" i="162"/>
  <c r="BC499" i="162"/>
  <c r="AV430" i="162"/>
  <c r="AY430" i="162"/>
  <c r="BB430" i="162"/>
  <c r="AO430" i="162"/>
  <c r="AS430" i="162"/>
  <c r="AR430" i="162"/>
  <c r="BA430" i="162"/>
  <c r="AP430" i="162"/>
  <c r="AZ430" i="162"/>
  <c r="BC430" i="162"/>
  <c r="BE430" i="162"/>
  <c r="AN430" i="162"/>
  <c r="AQ430" i="162"/>
  <c r="AT430" i="162"/>
  <c r="BF430" i="162"/>
  <c r="AU430" i="162"/>
  <c r="AW430" i="162"/>
  <c r="AX430" i="162"/>
  <c r="BD430" i="162"/>
  <c r="AT459" i="162"/>
  <c r="AW459" i="162"/>
  <c r="AZ459" i="162"/>
  <c r="AO459" i="162"/>
  <c r="AS459" i="162"/>
  <c r="BB459" i="162"/>
  <c r="AQ459" i="162"/>
  <c r="AU459" i="162"/>
  <c r="AV459" i="162"/>
  <c r="AY459" i="162"/>
  <c r="BA459" i="162"/>
  <c r="BC459" i="162"/>
  <c r="BD459" i="162"/>
  <c r="BE459" i="162"/>
  <c r="AN459" i="162"/>
  <c r="BF459" i="162"/>
  <c r="AX459" i="162"/>
  <c r="AP459" i="162"/>
  <c r="AR459" i="162"/>
  <c r="AV410" i="162"/>
  <c r="AY410" i="162"/>
  <c r="BB410" i="162"/>
  <c r="AU410" i="162"/>
  <c r="BA410" i="162"/>
  <c r="AS410" i="162"/>
  <c r="AX410" i="162"/>
  <c r="BD410" i="162"/>
  <c r="BF410" i="162"/>
  <c r="AN410" i="162"/>
  <c r="BC410" i="162"/>
  <c r="BE410" i="162"/>
  <c r="AW410" i="162"/>
  <c r="AO410" i="162"/>
  <c r="AZ410" i="162"/>
  <c r="AP410" i="162"/>
  <c r="AQ410" i="162"/>
  <c r="AR410" i="162"/>
  <c r="AT410" i="162"/>
  <c r="BD464" i="162"/>
  <c r="AP464" i="162"/>
  <c r="AO464" i="162"/>
  <c r="AT464" i="162"/>
  <c r="AQ464" i="162"/>
  <c r="AZ464" i="162"/>
  <c r="BA464" i="162"/>
  <c r="BC464" i="162"/>
  <c r="AR464" i="162"/>
  <c r="AW464" i="162"/>
  <c r="AS464" i="162"/>
  <c r="AU464" i="162"/>
  <c r="AV464" i="162"/>
  <c r="AN464" i="162"/>
  <c r="BF464" i="162"/>
  <c r="AY464" i="162"/>
  <c r="AX464" i="162"/>
  <c r="BB464" i="162"/>
  <c r="BE464" i="162"/>
  <c r="AO509" i="162"/>
  <c r="AN509" i="162"/>
  <c r="AP509" i="162"/>
  <c r="AY509" i="162"/>
  <c r="AZ509" i="162"/>
  <c r="BA509" i="162"/>
  <c r="BB509" i="162"/>
  <c r="AS509" i="162"/>
  <c r="AT509" i="162"/>
  <c r="AU509" i="162"/>
  <c r="AX509" i="162"/>
  <c r="AV509" i="162"/>
  <c r="AW509" i="162"/>
  <c r="BE509" i="162"/>
  <c r="AQ509" i="162"/>
  <c r="AR509" i="162"/>
  <c r="BC509" i="162"/>
  <c r="BD509" i="162"/>
  <c r="BF509" i="162"/>
  <c r="AS537" i="162"/>
  <c r="AV537" i="162"/>
  <c r="AU537" i="162"/>
  <c r="AW537" i="162"/>
  <c r="AX537" i="162"/>
  <c r="AY537" i="162"/>
  <c r="BB537" i="162"/>
  <c r="BC537" i="162"/>
  <c r="BD537" i="162"/>
  <c r="BE537" i="162"/>
  <c r="AN537" i="162"/>
  <c r="BF537" i="162"/>
  <c r="AQ537" i="162"/>
  <c r="AP537" i="162"/>
  <c r="AR537" i="162"/>
  <c r="AT537" i="162"/>
  <c r="AZ537" i="162"/>
  <c r="BA537" i="162"/>
  <c r="AO537" i="162"/>
  <c r="BD434" i="162"/>
  <c r="AP434" i="162"/>
  <c r="AS434" i="162"/>
  <c r="AY434" i="162"/>
  <c r="BF434" i="162"/>
  <c r="BA434" i="162"/>
  <c r="BE434" i="162"/>
  <c r="AR434" i="162"/>
  <c r="AT434" i="162"/>
  <c r="AV434" i="162"/>
  <c r="AQ434" i="162"/>
  <c r="AU434" i="162"/>
  <c r="AW434" i="162"/>
  <c r="AX434" i="162"/>
  <c r="BC434" i="162"/>
  <c r="AO434" i="162"/>
  <c r="AN434" i="162"/>
  <c r="AZ434" i="162"/>
  <c r="BB434" i="162"/>
  <c r="AU538" i="162"/>
  <c r="AX538" i="162"/>
  <c r="AZ538" i="162"/>
  <c r="BA538" i="162"/>
  <c r="BB538" i="162"/>
  <c r="BC538" i="162"/>
  <c r="AO538" i="162"/>
  <c r="AN538" i="162"/>
  <c r="AR538" i="162"/>
  <c r="BD538" i="162"/>
  <c r="AS538" i="162"/>
  <c r="AT538" i="162"/>
  <c r="AY538" i="162"/>
  <c r="BF538" i="162"/>
  <c r="AV538" i="162"/>
  <c r="AW538" i="162"/>
  <c r="BE538" i="162"/>
  <c r="AQ538" i="162"/>
  <c r="AP538" i="162"/>
  <c r="AT399" i="162"/>
  <c r="AW399" i="162"/>
  <c r="AZ399" i="162"/>
  <c r="BF399" i="162"/>
  <c r="BB399" i="162"/>
  <c r="AR399" i="162"/>
  <c r="AV399" i="162"/>
  <c r="AN399" i="162"/>
  <c r="AQ399" i="162"/>
  <c r="AS399" i="162"/>
  <c r="AU399" i="162"/>
  <c r="AO399" i="162"/>
  <c r="AP399" i="162"/>
  <c r="AX399" i="162"/>
  <c r="AY399" i="162"/>
  <c r="BC399" i="162"/>
  <c r="BA399" i="162"/>
  <c r="BD399" i="162"/>
  <c r="BE399" i="162"/>
  <c r="BC486" i="162"/>
  <c r="AV486" i="162"/>
  <c r="AY486" i="162"/>
  <c r="BA486" i="162"/>
  <c r="BB486" i="162"/>
  <c r="BE486" i="162"/>
  <c r="AT486" i="162"/>
  <c r="AU486" i="162"/>
  <c r="AW486" i="162"/>
  <c r="AX486" i="162"/>
  <c r="AO486" i="162"/>
  <c r="AZ486" i="162"/>
  <c r="AR486" i="162"/>
  <c r="AS486" i="162"/>
  <c r="AP486" i="162"/>
  <c r="AQ486" i="162"/>
  <c r="BD486" i="162"/>
  <c r="BF486" i="162"/>
  <c r="AN486" i="162"/>
  <c r="AO535" i="162"/>
  <c r="AR535" i="162"/>
  <c r="AP535" i="162"/>
  <c r="BF535" i="162"/>
  <c r="AN535" i="162"/>
  <c r="BB535" i="162"/>
  <c r="BC535" i="162"/>
  <c r="BD535" i="162"/>
  <c r="BE535" i="162"/>
  <c r="AS535" i="162"/>
  <c r="AW535" i="162"/>
  <c r="AT535" i="162"/>
  <c r="AV535" i="162"/>
  <c r="BA535" i="162"/>
  <c r="AQ535" i="162"/>
  <c r="AX535" i="162"/>
  <c r="AZ535" i="162"/>
  <c r="AU535" i="162"/>
  <c r="AY535" i="162"/>
  <c r="AQ387" i="162"/>
  <c r="AN387" i="162"/>
  <c r="AP387" i="162"/>
  <c r="AO387" i="162"/>
  <c r="AQ466" i="162"/>
  <c r="AT466" i="162"/>
  <c r="AZ466" i="162"/>
  <c r="BD466" i="162"/>
  <c r="AX466" i="162"/>
  <c r="BF466" i="162"/>
  <c r="AV466" i="162"/>
  <c r="AW466" i="162"/>
  <c r="BA466" i="162"/>
  <c r="AO466" i="162"/>
  <c r="AP466" i="162"/>
  <c r="AU466" i="162"/>
  <c r="AY466" i="162"/>
  <c r="BB466" i="162"/>
  <c r="BC466" i="162"/>
  <c r="BE466" i="162"/>
  <c r="AN466" i="162"/>
  <c r="AR466" i="162"/>
  <c r="AS466" i="162"/>
  <c r="AP457" i="162"/>
  <c r="AS457" i="162"/>
  <c r="AV457" i="162"/>
  <c r="AX457" i="162"/>
  <c r="BB457" i="162"/>
  <c r="BD457" i="162"/>
  <c r="AT457" i="162"/>
  <c r="AY457" i="162"/>
  <c r="AW457" i="162"/>
  <c r="AZ457" i="162"/>
  <c r="BC457" i="162"/>
  <c r="AR457" i="162"/>
  <c r="AU457" i="162"/>
  <c r="BA457" i="162"/>
  <c r="BE457" i="162"/>
  <c r="AN457" i="162"/>
  <c r="AQ457" i="162"/>
  <c r="AO457" i="162"/>
  <c r="BF457" i="162"/>
  <c r="AQ396" i="162"/>
  <c r="AT396" i="162"/>
  <c r="AO396" i="162"/>
  <c r="AU396" i="162"/>
  <c r="BC396" i="162"/>
  <c r="AS396" i="162"/>
  <c r="AY396" i="162"/>
  <c r="AZ396" i="162"/>
  <c r="BB396" i="162"/>
  <c r="AR396" i="162"/>
  <c r="AV396" i="162"/>
  <c r="AW396" i="162"/>
  <c r="AX396" i="162"/>
  <c r="BA396" i="162"/>
  <c r="AN396" i="162"/>
  <c r="AP396" i="162"/>
  <c r="BD396" i="162"/>
  <c r="BE396" i="162"/>
  <c r="BF396" i="162"/>
  <c r="AU472" i="162"/>
  <c r="AY472" i="162"/>
  <c r="BE472" i="162"/>
  <c r="AO472" i="162"/>
  <c r="AZ472" i="162"/>
  <c r="BC472" i="162"/>
  <c r="BB472" i="162"/>
  <c r="BD472" i="162"/>
  <c r="AN472" i="162"/>
  <c r="AP472" i="162"/>
  <c r="AQ472" i="162"/>
  <c r="AV472" i="162"/>
  <c r="AW472" i="162"/>
  <c r="AR472" i="162"/>
  <c r="AX472" i="162"/>
  <c r="BA472" i="162"/>
  <c r="BF472" i="162"/>
  <c r="AS472" i="162"/>
  <c r="AT472" i="162"/>
  <c r="AT429" i="162"/>
  <c r="AW429" i="162"/>
  <c r="AZ429" i="162"/>
  <c r="AR429" i="162"/>
  <c r="BD429" i="162"/>
  <c r="AN429" i="162"/>
  <c r="AP429" i="162"/>
  <c r="BE429" i="162"/>
  <c r="BF429" i="162"/>
  <c r="AV429" i="162"/>
  <c r="AX429" i="162"/>
  <c r="AY429" i="162"/>
  <c r="BA429" i="162"/>
  <c r="BB429" i="162"/>
  <c r="BC429" i="162"/>
  <c r="AS429" i="162"/>
  <c r="AU429" i="162"/>
  <c r="AQ429" i="162"/>
  <c r="AO429" i="162"/>
  <c r="AQ446" i="162"/>
  <c r="AT446" i="162"/>
  <c r="BF446" i="162"/>
  <c r="AS446" i="162"/>
  <c r="AZ446" i="162"/>
  <c r="AO446" i="162"/>
  <c r="AU446" i="162"/>
  <c r="BB446" i="162"/>
  <c r="BC446" i="162"/>
  <c r="BE446" i="162"/>
  <c r="BD446" i="162"/>
  <c r="AP446" i="162"/>
  <c r="AV446" i="162"/>
  <c r="AR446" i="162"/>
  <c r="AX446" i="162"/>
  <c r="AW446" i="162"/>
  <c r="AN446" i="162"/>
  <c r="AY446" i="162"/>
  <c r="BA446" i="162"/>
  <c r="AO519" i="162"/>
  <c r="AV519" i="162"/>
  <c r="AY519" i="162"/>
  <c r="AN519" i="162"/>
  <c r="AQ519" i="162"/>
  <c r="AR519" i="162"/>
  <c r="AW519" i="162"/>
  <c r="AS519" i="162"/>
  <c r="AT519" i="162"/>
  <c r="AU519" i="162"/>
  <c r="AP519" i="162"/>
  <c r="BB519" i="162"/>
  <c r="AX519" i="162"/>
  <c r="BA519" i="162"/>
  <c r="BC519" i="162"/>
  <c r="BD519" i="162"/>
  <c r="BE519" i="162"/>
  <c r="BF519" i="162"/>
  <c r="AZ519" i="162"/>
  <c r="AV420" i="162"/>
  <c r="AY420" i="162"/>
  <c r="BB420" i="162"/>
  <c r="BE420" i="162"/>
  <c r="AP420" i="162"/>
  <c r="AW420" i="162"/>
  <c r="AR420" i="162"/>
  <c r="AU420" i="162"/>
  <c r="AO420" i="162"/>
  <c r="AN420" i="162"/>
  <c r="AQ420" i="162"/>
  <c r="AS420" i="162"/>
  <c r="BA420" i="162"/>
  <c r="AT420" i="162"/>
  <c r="AX420" i="162"/>
  <c r="BC420" i="162"/>
  <c r="AZ420" i="162"/>
  <c r="BD420" i="162"/>
  <c r="BF420" i="162"/>
  <c r="AY514" i="162"/>
  <c r="BB514" i="162"/>
  <c r="BE514" i="162"/>
  <c r="BD514" i="162"/>
  <c r="BF514" i="162"/>
  <c r="AR514" i="162"/>
  <c r="AS514" i="162"/>
  <c r="AT514" i="162"/>
  <c r="AW514" i="162"/>
  <c r="AU514" i="162"/>
  <c r="AV514" i="162"/>
  <c r="AO514" i="162"/>
  <c r="AP514" i="162"/>
  <c r="AX514" i="162"/>
  <c r="AN514" i="162"/>
  <c r="AQ514" i="162"/>
  <c r="AZ514" i="162"/>
  <c r="BC514" i="162"/>
  <c r="BA514" i="162"/>
  <c r="AP437" i="162"/>
  <c r="AS437" i="162"/>
  <c r="AV437" i="162"/>
  <c r="BD437" i="162"/>
  <c r="AX437" i="162"/>
  <c r="BE437" i="162"/>
  <c r="BF437" i="162"/>
  <c r="BA437" i="162"/>
  <c r="BB437" i="162"/>
  <c r="AT437" i="162"/>
  <c r="BC437" i="162"/>
  <c r="AU437" i="162"/>
  <c r="AW437" i="162"/>
  <c r="AY437" i="162"/>
  <c r="AZ437" i="162"/>
  <c r="AO437" i="162"/>
  <c r="AQ437" i="162"/>
  <c r="AR437" i="162"/>
  <c r="AN437" i="162"/>
  <c r="BB393" i="162"/>
  <c r="BE393" i="162"/>
  <c r="AV393" i="162"/>
  <c r="AZ393" i="162"/>
  <c r="BF393" i="162"/>
  <c r="AP393" i="162"/>
  <c r="AO393" i="162"/>
  <c r="AQ393" i="162"/>
  <c r="AS393" i="162"/>
  <c r="AR393" i="162"/>
  <c r="AX393" i="162"/>
  <c r="AY393" i="162"/>
  <c r="BA393" i="162"/>
  <c r="BC393" i="162"/>
  <c r="BD393" i="162"/>
  <c r="AN393" i="162"/>
  <c r="AT393" i="162"/>
  <c r="AW393" i="162"/>
  <c r="AU393" i="162"/>
  <c r="AQ526" i="162"/>
  <c r="AT526" i="162"/>
  <c r="AS526" i="162"/>
  <c r="AU526" i="162"/>
  <c r="AV526" i="162"/>
  <c r="AW526" i="162"/>
  <c r="BD526" i="162"/>
  <c r="BE526" i="162"/>
  <c r="BF526" i="162"/>
  <c r="AN526" i="162"/>
  <c r="BB526" i="162"/>
  <c r="BC526" i="162"/>
  <c r="AO526" i="162"/>
  <c r="BA526" i="162"/>
  <c r="AR526" i="162"/>
  <c r="AP526" i="162"/>
  <c r="AX526" i="162"/>
  <c r="AY526" i="162"/>
  <c r="AZ526" i="162"/>
  <c r="BC516" i="162"/>
  <c r="AP516" i="162"/>
  <c r="AR516" i="162"/>
  <c r="AS516" i="162"/>
  <c r="AT516" i="162"/>
  <c r="AU516" i="162"/>
  <c r="AQ516" i="162"/>
  <c r="AO516" i="162"/>
  <c r="AZ516" i="162"/>
  <c r="AN516" i="162"/>
  <c r="BA516" i="162"/>
  <c r="AV516" i="162"/>
  <c r="BD516" i="162"/>
  <c r="AW516" i="162"/>
  <c r="AX516" i="162"/>
  <c r="AY516" i="162"/>
  <c r="BB516" i="162"/>
  <c r="BF516" i="162"/>
  <c r="BE516" i="162"/>
  <c r="BA505" i="162"/>
  <c r="AU505" i="162"/>
  <c r="AV505" i="162"/>
  <c r="AX505" i="162"/>
  <c r="AW505" i="162"/>
  <c r="AY505" i="162"/>
  <c r="AZ505" i="162"/>
  <c r="BB505" i="162"/>
  <c r="BE505" i="162"/>
  <c r="BF505" i="162"/>
  <c r="AN505" i="162"/>
  <c r="AR505" i="162"/>
  <c r="AQ505" i="162"/>
  <c r="AS505" i="162"/>
  <c r="AT505" i="162"/>
  <c r="AO505" i="162"/>
  <c r="AP505" i="162"/>
  <c r="BC505" i="162"/>
  <c r="BD505" i="162"/>
  <c r="AW493" i="162"/>
  <c r="AV493" i="162"/>
  <c r="AZ493" i="162"/>
  <c r="AQ493" i="162"/>
  <c r="AR493" i="162"/>
  <c r="AT493" i="162"/>
  <c r="AS493" i="162"/>
  <c r="AU493" i="162"/>
  <c r="AX493" i="162"/>
  <c r="BB493" i="162"/>
  <c r="AY493" i="162"/>
  <c r="BA493" i="162"/>
  <c r="BC493" i="162"/>
  <c r="BD493" i="162"/>
  <c r="BE493" i="162"/>
  <c r="BF493" i="162"/>
  <c r="AN493" i="162"/>
  <c r="AO493" i="162"/>
  <c r="AP493" i="162"/>
  <c r="AQ468" i="162"/>
  <c r="AU468" i="162"/>
  <c r="AX468" i="162"/>
  <c r="BA468" i="162"/>
  <c r="AR468" i="162"/>
  <c r="AS468" i="162"/>
  <c r="AV468" i="162"/>
  <c r="AO468" i="162"/>
  <c r="AP468" i="162"/>
  <c r="BD468" i="162"/>
  <c r="BE468" i="162"/>
  <c r="BF468" i="162"/>
  <c r="AT468" i="162"/>
  <c r="AZ468" i="162"/>
  <c r="AW468" i="162"/>
  <c r="AY468" i="162"/>
  <c r="AN468" i="162"/>
  <c r="BC468" i="162"/>
  <c r="BB468" i="162"/>
  <c r="BA495" i="162"/>
  <c r="BD495" i="162"/>
  <c r="AZ495" i="162"/>
  <c r="BB495" i="162"/>
  <c r="BE495" i="162"/>
  <c r="AV495" i="162"/>
  <c r="AW495" i="162"/>
  <c r="AX495" i="162"/>
  <c r="AY495" i="162"/>
  <c r="AP495" i="162"/>
  <c r="AQ495" i="162"/>
  <c r="AR495" i="162"/>
  <c r="AS495" i="162"/>
  <c r="AT495" i="162"/>
  <c r="AU495" i="162"/>
  <c r="AO495" i="162"/>
  <c r="BC495" i="162"/>
  <c r="BF495" i="162"/>
  <c r="AN495" i="162"/>
  <c r="AW473" i="162"/>
  <c r="BA473" i="162"/>
  <c r="AS473" i="162"/>
  <c r="BF473" i="162"/>
  <c r="AO473" i="162"/>
  <c r="AU473" i="162"/>
  <c r="AV473" i="162"/>
  <c r="AX473" i="162"/>
  <c r="AY473" i="162"/>
  <c r="AR473" i="162"/>
  <c r="AT473" i="162"/>
  <c r="AZ473" i="162"/>
  <c r="BD473" i="162"/>
  <c r="BB473" i="162"/>
  <c r="BC473" i="162"/>
  <c r="BE473" i="162"/>
  <c r="AN473" i="162"/>
  <c r="AP473" i="162"/>
  <c r="AQ473" i="162"/>
  <c r="AQ490" i="162"/>
  <c r="AP490" i="162"/>
  <c r="AY490" i="162"/>
  <c r="AZ490" i="162"/>
  <c r="BB490" i="162"/>
  <c r="BF490" i="162"/>
  <c r="BA490" i="162"/>
  <c r="BC490" i="162"/>
  <c r="BD490" i="162"/>
  <c r="BE490" i="162"/>
  <c r="AR490" i="162"/>
  <c r="AN490" i="162"/>
  <c r="AW490" i="162"/>
  <c r="AS490" i="162"/>
  <c r="AX490" i="162"/>
  <c r="AO490" i="162"/>
  <c r="AT490" i="162"/>
  <c r="AU490" i="162"/>
  <c r="AV490" i="162"/>
  <c r="AW513" i="162"/>
  <c r="AY513" i="162"/>
  <c r="BB513" i="162"/>
  <c r="AX513" i="162"/>
  <c r="AZ513" i="162"/>
  <c r="BA513" i="162"/>
  <c r="BC513" i="162"/>
  <c r="AN513" i="162"/>
  <c r="AU513" i="162"/>
  <c r="AV513" i="162"/>
  <c r="BD513" i="162"/>
  <c r="BE513" i="162"/>
  <c r="BF513" i="162"/>
  <c r="AO513" i="162"/>
  <c r="AP513" i="162"/>
  <c r="AQ513" i="162"/>
  <c r="AR513" i="162"/>
  <c r="AS513" i="162"/>
  <c r="AT513" i="162"/>
  <c r="BA541" i="162"/>
  <c r="BD541" i="162"/>
  <c r="AP541" i="162"/>
  <c r="AQ541" i="162"/>
  <c r="AN541" i="162"/>
  <c r="AR541" i="162"/>
  <c r="AS541" i="162"/>
  <c r="AO541" i="162"/>
  <c r="AU541" i="162"/>
  <c r="AW541" i="162"/>
  <c r="AT541" i="162"/>
  <c r="AV541" i="162"/>
  <c r="BB541" i="162"/>
  <c r="AZ541" i="162"/>
  <c r="BC541" i="162"/>
  <c r="BE541" i="162"/>
  <c r="AX541" i="162"/>
  <c r="AY541" i="162"/>
  <c r="BF541" i="162"/>
  <c r="BF455" i="162"/>
  <c r="AO455" i="162"/>
  <c r="AR455" i="162"/>
  <c r="AQ455" i="162"/>
  <c r="AV455" i="162"/>
  <c r="BA455" i="162"/>
  <c r="BD455" i="162"/>
  <c r="AZ455" i="162"/>
  <c r="BB455" i="162"/>
  <c r="BE455" i="162"/>
  <c r="AT455" i="162"/>
  <c r="AU455" i="162"/>
  <c r="AW455" i="162"/>
  <c r="AX455" i="162"/>
  <c r="AN455" i="162"/>
  <c r="AY455" i="162"/>
  <c r="BC455" i="162"/>
  <c r="AS455" i="162"/>
  <c r="AP455" i="162"/>
  <c r="AU512" i="162"/>
  <c r="AV512" i="162"/>
  <c r="AY512" i="162"/>
  <c r="AN512" i="162"/>
  <c r="AR512" i="162"/>
  <c r="AS512" i="162"/>
  <c r="AT512" i="162"/>
  <c r="AW512" i="162"/>
  <c r="BA512" i="162"/>
  <c r="BB512" i="162"/>
  <c r="BC512" i="162"/>
  <c r="BD512" i="162"/>
  <c r="BE512" i="162"/>
  <c r="BF512" i="162"/>
  <c r="AO512" i="162"/>
  <c r="AQ512" i="162"/>
  <c r="AX512" i="162"/>
  <c r="AP512" i="162"/>
  <c r="AZ512" i="162"/>
  <c r="BF415" i="162"/>
  <c r="AO415" i="162"/>
  <c r="AR415" i="162"/>
  <c r="AZ415" i="162"/>
  <c r="BD415" i="162"/>
  <c r="BA415" i="162"/>
  <c r="AU415" i="162"/>
  <c r="AX415" i="162"/>
  <c r="AS415" i="162"/>
  <c r="AT415" i="162"/>
  <c r="AV415" i="162"/>
  <c r="AW415" i="162"/>
  <c r="AP415" i="162"/>
  <c r="AQ415" i="162"/>
  <c r="AY415" i="162"/>
  <c r="BB415" i="162"/>
  <c r="BC415" i="162"/>
  <c r="BE415" i="162"/>
  <c r="AN415" i="162"/>
  <c r="AS511" i="162"/>
  <c r="AR511" i="162"/>
  <c r="AV511" i="162"/>
  <c r="AO511" i="162"/>
  <c r="AP511" i="162"/>
  <c r="AW511" i="162"/>
  <c r="AQ511" i="162"/>
  <c r="AT511" i="162"/>
  <c r="AU511" i="162"/>
  <c r="AN511" i="162"/>
  <c r="AX511" i="162"/>
  <c r="AY511" i="162"/>
  <c r="BE511" i="162"/>
  <c r="AZ511" i="162"/>
  <c r="BD511" i="162"/>
  <c r="BF511" i="162"/>
  <c r="BA511" i="162"/>
  <c r="BB511" i="162"/>
  <c r="BC511" i="162"/>
  <c r="AQ470" i="162"/>
  <c r="AU470" i="162"/>
  <c r="AW470" i="162"/>
  <c r="BC470" i="162"/>
  <c r="AO470" i="162"/>
  <c r="AP470" i="162"/>
  <c r="BE470" i="162"/>
  <c r="BF470" i="162"/>
  <c r="AX470" i="162"/>
  <c r="AY470" i="162"/>
  <c r="AZ470" i="162"/>
  <c r="BD470" i="162"/>
  <c r="BA470" i="162"/>
  <c r="BB470" i="162"/>
  <c r="AN470" i="162"/>
  <c r="AR470" i="162"/>
  <c r="AT470" i="162"/>
  <c r="AS470" i="162"/>
  <c r="AV470" i="162"/>
  <c r="BC506" i="162"/>
  <c r="AX506" i="162"/>
  <c r="AY506" i="162"/>
  <c r="BA506" i="162"/>
  <c r="BE506" i="162"/>
  <c r="BF506" i="162"/>
  <c r="AN506" i="162"/>
  <c r="AO506" i="162"/>
  <c r="AR506" i="162"/>
  <c r="AP506" i="162"/>
  <c r="AQ506" i="162"/>
  <c r="AU506" i="162"/>
  <c r="AV506" i="162"/>
  <c r="AW506" i="162"/>
  <c r="AZ506" i="162"/>
  <c r="BB506" i="162"/>
  <c r="BD506" i="162"/>
  <c r="AT506" i="162"/>
  <c r="AS506" i="162"/>
  <c r="AY504" i="162"/>
  <c r="AR504" i="162"/>
  <c r="AS504" i="162"/>
  <c r="AU504" i="162"/>
  <c r="AO504" i="162"/>
  <c r="AP504" i="162"/>
  <c r="AQ504" i="162"/>
  <c r="AT504" i="162"/>
  <c r="AV504" i="162"/>
  <c r="AW504" i="162"/>
  <c r="AX504" i="162"/>
  <c r="AZ504" i="162"/>
  <c r="BE504" i="162"/>
  <c r="BC504" i="162"/>
  <c r="AN504" i="162"/>
  <c r="BD504" i="162"/>
  <c r="BA504" i="162"/>
  <c r="BB504" i="162"/>
  <c r="BF504" i="162"/>
  <c r="AZ422" i="162"/>
  <c r="BC422" i="162"/>
  <c r="BF422" i="162"/>
  <c r="AR422" i="162"/>
  <c r="AV422" i="162"/>
  <c r="AP422" i="162"/>
  <c r="AO422" i="162"/>
  <c r="AN422" i="162"/>
  <c r="AU422" i="162"/>
  <c r="AQ422" i="162"/>
  <c r="AS422" i="162"/>
  <c r="AT422" i="162"/>
  <c r="AW422" i="162"/>
  <c r="BE422" i="162"/>
  <c r="AX422" i="162"/>
  <c r="AY422" i="162"/>
  <c r="BA422" i="162"/>
  <c r="BB422" i="162"/>
  <c r="BD422" i="162"/>
  <c r="BB413" i="162"/>
  <c r="BE413" i="162"/>
  <c r="AP413" i="162"/>
  <c r="AT413" i="162"/>
  <c r="AS413" i="162"/>
  <c r="BA413" i="162"/>
  <c r="BF413" i="162"/>
  <c r="AR413" i="162"/>
  <c r="AU413" i="162"/>
  <c r="AV413" i="162"/>
  <c r="AW413" i="162"/>
  <c r="AZ413" i="162"/>
  <c r="BC413" i="162"/>
  <c r="BD413" i="162"/>
  <c r="AY413" i="162"/>
  <c r="AN413" i="162"/>
  <c r="AX413" i="162"/>
  <c r="AO413" i="162"/>
  <c r="AQ413" i="162"/>
  <c r="AY484" i="162"/>
  <c r="AP484" i="162"/>
  <c r="AS484" i="162"/>
  <c r="AO484" i="162"/>
  <c r="AQ484" i="162"/>
  <c r="AT484" i="162"/>
  <c r="BD484" i="162"/>
  <c r="BE484" i="162"/>
  <c r="BF484" i="162"/>
  <c r="AR484" i="162"/>
  <c r="AN484" i="162"/>
  <c r="AX484" i="162"/>
  <c r="AW484" i="162"/>
  <c r="AZ484" i="162"/>
  <c r="BA484" i="162"/>
  <c r="AU484" i="162"/>
  <c r="AV484" i="162"/>
  <c r="BB484" i="162"/>
  <c r="BC484" i="162"/>
  <c r="BE517" i="162"/>
  <c r="AP517" i="162"/>
  <c r="AS517" i="162"/>
  <c r="AW517" i="162"/>
  <c r="AX517" i="162"/>
  <c r="AY517" i="162"/>
  <c r="AZ517" i="162"/>
  <c r="AU517" i="162"/>
  <c r="AV517" i="162"/>
  <c r="BA517" i="162"/>
  <c r="BD517" i="162"/>
  <c r="BB517" i="162"/>
  <c r="BC517" i="162"/>
  <c r="AN517" i="162"/>
  <c r="AQ517" i="162"/>
  <c r="AT517" i="162"/>
  <c r="BF517" i="162"/>
  <c r="AO517" i="162"/>
  <c r="AR517" i="162"/>
  <c r="AT439" i="162"/>
  <c r="AW439" i="162"/>
  <c r="AZ439" i="162"/>
  <c r="AQ439" i="162"/>
  <c r="AV439" i="162"/>
  <c r="AU439" i="162"/>
  <c r="BA439" i="162"/>
  <c r="BD439" i="162"/>
  <c r="AY439" i="162"/>
  <c r="BB439" i="162"/>
  <c r="BE439" i="162"/>
  <c r="AN439" i="162"/>
  <c r="AO439" i="162"/>
  <c r="BC439" i="162"/>
  <c r="AR439" i="162"/>
  <c r="AP439" i="162"/>
  <c r="BF439" i="162"/>
  <c r="AS439" i="162"/>
  <c r="AX439" i="162"/>
  <c r="AW503" i="162"/>
  <c r="AO503" i="162"/>
  <c r="AP503" i="162"/>
  <c r="AR503" i="162"/>
  <c r="BE503" i="162"/>
  <c r="BF503" i="162"/>
  <c r="BA503" i="162"/>
  <c r="BB503" i="162"/>
  <c r="AN503" i="162"/>
  <c r="BC503" i="162"/>
  <c r="BD503" i="162"/>
  <c r="AT503" i="162"/>
  <c r="AX503" i="162"/>
  <c r="AS503" i="162"/>
  <c r="AY503" i="162"/>
  <c r="AQ503" i="162"/>
  <c r="AZ503" i="162"/>
  <c r="AU503" i="162"/>
  <c r="AV503" i="162"/>
  <c r="AT419" i="162"/>
  <c r="AW419" i="162"/>
  <c r="AZ419" i="162"/>
  <c r="AY419" i="162"/>
  <c r="BD419" i="162"/>
  <c r="AO419" i="162"/>
  <c r="BC419" i="162"/>
  <c r="BE419" i="162"/>
  <c r="AU419" i="162"/>
  <c r="AV419" i="162"/>
  <c r="AX419" i="162"/>
  <c r="BA419" i="162"/>
  <c r="BB419" i="162"/>
  <c r="AP419" i="162"/>
  <c r="AQ419" i="162"/>
  <c r="AR419" i="162"/>
  <c r="AS419" i="162"/>
  <c r="BF419" i="162"/>
  <c r="AN419" i="162"/>
  <c r="AO489" i="162"/>
  <c r="BE489" i="162"/>
  <c r="AT489" i="162"/>
  <c r="AN489" i="162"/>
  <c r="AU489" i="162"/>
  <c r="AW489" i="162"/>
  <c r="AX489" i="162"/>
  <c r="AY489" i="162"/>
  <c r="AZ489" i="162"/>
  <c r="BA489" i="162"/>
  <c r="AS489" i="162"/>
  <c r="AV489" i="162"/>
  <c r="BB489" i="162"/>
  <c r="BF489" i="162"/>
  <c r="BC489" i="162"/>
  <c r="BD489" i="162"/>
  <c r="AP489" i="162"/>
  <c r="AR489" i="162"/>
  <c r="AQ489" i="162"/>
  <c r="AX441" i="162"/>
  <c r="BA441" i="162"/>
  <c r="BD441" i="162"/>
  <c r="BC441" i="162"/>
  <c r="BE441" i="162"/>
  <c r="AR441" i="162"/>
  <c r="AU441" i="162"/>
  <c r="AT441" i="162"/>
  <c r="AV441" i="162"/>
  <c r="AY441" i="162"/>
  <c r="AP441" i="162"/>
  <c r="AQ441" i="162"/>
  <c r="BF441" i="162"/>
  <c r="AS441" i="162"/>
  <c r="AW441" i="162"/>
  <c r="AZ441" i="162"/>
  <c r="BB441" i="162"/>
  <c r="AN441" i="162"/>
  <c r="AO441" i="162"/>
  <c r="BF435" i="162"/>
  <c r="AO435" i="162"/>
  <c r="AR435" i="162"/>
  <c r="AT435" i="162"/>
  <c r="AX435" i="162"/>
  <c r="BD435" i="162"/>
  <c r="BE435" i="162"/>
  <c r="AP435" i="162"/>
  <c r="AV435" i="162"/>
  <c r="AQ435" i="162"/>
  <c r="AS435" i="162"/>
  <c r="AU435" i="162"/>
  <c r="AN435" i="162"/>
  <c r="BA435" i="162"/>
  <c r="BC435" i="162"/>
  <c r="BB435" i="162"/>
  <c r="AY435" i="162"/>
  <c r="AW435" i="162"/>
  <c r="AZ435" i="162"/>
  <c r="BE477" i="162"/>
  <c r="AZ477" i="162"/>
  <c r="BD477" i="162"/>
  <c r="AR477" i="162"/>
  <c r="AS477" i="162"/>
  <c r="AU477" i="162"/>
  <c r="AO477" i="162"/>
  <c r="AN477" i="162"/>
  <c r="AY477" i="162"/>
  <c r="BA477" i="162"/>
  <c r="BB477" i="162"/>
  <c r="BC477" i="162"/>
  <c r="BF477" i="162"/>
  <c r="AV477" i="162"/>
  <c r="AW477" i="162"/>
  <c r="AX477" i="162"/>
  <c r="AP477" i="162"/>
  <c r="AQ477" i="162"/>
  <c r="AT477" i="162"/>
  <c r="BF395" i="162"/>
  <c r="AO395" i="162"/>
  <c r="AR395" i="162"/>
  <c r="AV395" i="162"/>
  <c r="BB395" i="162"/>
  <c r="BE395" i="162"/>
  <c r="AP395" i="162"/>
  <c r="AS395" i="162"/>
  <c r="AZ395" i="162"/>
  <c r="AT395" i="162"/>
  <c r="AU395" i="162"/>
  <c r="AY395" i="162"/>
  <c r="AW395" i="162"/>
  <c r="AX395" i="162"/>
  <c r="AQ395" i="162"/>
  <c r="AN395" i="162"/>
  <c r="BA395" i="162"/>
  <c r="BD395" i="162"/>
  <c r="BC395" i="162"/>
  <c r="AV440" i="162"/>
  <c r="AY440" i="162"/>
  <c r="BB440" i="162"/>
  <c r="AW440" i="162"/>
  <c r="BC440" i="162"/>
  <c r="AT440" i="162"/>
  <c r="BE440" i="162"/>
  <c r="AX440" i="162"/>
  <c r="AZ440" i="162"/>
  <c r="BA440" i="162"/>
  <c r="BD440" i="162"/>
  <c r="AO440" i="162"/>
  <c r="AP440" i="162"/>
  <c r="AQ440" i="162"/>
  <c r="AR440" i="162"/>
  <c r="AS440" i="162"/>
  <c r="AU440" i="162"/>
  <c r="AN440" i="162"/>
  <c r="BF440" i="162"/>
  <c r="BC496" i="162"/>
  <c r="BF496" i="162"/>
  <c r="BE496" i="162"/>
  <c r="BD496" i="162"/>
  <c r="AN496" i="162"/>
  <c r="BA496" i="162"/>
  <c r="BB496" i="162"/>
  <c r="AS496" i="162"/>
  <c r="AT496" i="162"/>
  <c r="AY496" i="162"/>
  <c r="AU496" i="162"/>
  <c r="AX496" i="162"/>
  <c r="AV496" i="162"/>
  <c r="AW496" i="162"/>
  <c r="AZ496" i="162"/>
  <c r="AQ496" i="162"/>
  <c r="AO496" i="162"/>
  <c r="AP496" i="162"/>
  <c r="AR496" i="162"/>
  <c r="AZ452" i="162"/>
  <c r="BC452" i="162"/>
  <c r="BF452" i="162"/>
  <c r="AS452" i="162"/>
  <c r="AW452" i="162"/>
  <c r="AO452" i="162"/>
  <c r="AV452" i="162"/>
  <c r="AX452" i="162"/>
  <c r="BB452" i="162"/>
  <c r="AP452" i="162"/>
  <c r="AQ452" i="162"/>
  <c r="AT452" i="162"/>
  <c r="AN452" i="162"/>
  <c r="BD452" i="162"/>
  <c r="AR452" i="162"/>
  <c r="BE452" i="162"/>
  <c r="AU452" i="162"/>
  <c r="AY452" i="162"/>
  <c r="BA452" i="162"/>
  <c r="AT409" i="162"/>
  <c r="AW409" i="162"/>
  <c r="AZ409" i="162"/>
  <c r="AP409" i="162"/>
  <c r="AU409" i="162"/>
  <c r="BE409" i="162"/>
  <c r="AQ409" i="162"/>
  <c r="AO409" i="162"/>
  <c r="AN409" i="162"/>
  <c r="AR409" i="162"/>
  <c r="AV409" i="162"/>
  <c r="AS409" i="162"/>
  <c r="AX409" i="162"/>
  <c r="BF409" i="162"/>
  <c r="AY409" i="162"/>
  <c r="BA409" i="162"/>
  <c r="BC409" i="162"/>
  <c r="BD409" i="162"/>
  <c r="BB409" i="162"/>
  <c r="AQ426" i="162"/>
  <c r="AT426" i="162"/>
  <c r="AP426" i="162"/>
  <c r="AV426" i="162"/>
  <c r="AU426" i="162"/>
  <c r="BA426" i="162"/>
  <c r="BD426" i="162"/>
  <c r="BF426" i="162"/>
  <c r="AO426" i="162"/>
  <c r="BB426" i="162"/>
  <c r="BC426" i="162"/>
  <c r="BE426" i="162"/>
  <c r="AN426" i="162"/>
  <c r="AX426" i="162"/>
  <c r="AR426" i="162"/>
  <c r="AY426" i="162"/>
  <c r="AZ426" i="162"/>
  <c r="AS426" i="162"/>
  <c r="AW426" i="162"/>
  <c r="BA515" i="162"/>
  <c r="BE515" i="162"/>
  <c r="AO515" i="162"/>
  <c r="AP515" i="162"/>
  <c r="BB515" i="162"/>
  <c r="BC515" i="162"/>
  <c r="BD515" i="162"/>
  <c r="BF515" i="162"/>
  <c r="AY515" i="162"/>
  <c r="AZ515" i="162"/>
  <c r="AN515" i="162"/>
  <c r="AR515" i="162"/>
  <c r="AQ515" i="162"/>
  <c r="AS515" i="162"/>
  <c r="AT515" i="162"/>
  <c r="AU515" i="162"/>
  <c r="AV515" i="162"/>
  <c r="AW515" i="162"/>
  <c r="AX515" i="162"/>
  <c r="AV400" i="162"/>
  <c r="AY400" i="162"/>
  <c r="BB400" i="162"/>
  <c r="AR400" i="162"/>
  <c r="AQ400" i="162"/>
  <c r="BD400" i="162"/>
  <c r="AP400" i="162"/>
  <c r="AS400" i="162"/>
  <c r="AU400" i="162"/>
  <c r="AX400" i="162"/>
  <c r="AZ400" i="162"/>
  <c r="BA400" i="162"/>
  <c r="BC400" i="162"/>
  <c r="AT400" i="162"/>
  <c r="AW400" i="162"/>
  <c r="BE400" i="162"/>
  <c r="BF400" i="162"/>
  <c r="AN400" i="162"/>
  <c r="AO400" i="162"/>
  <c r="AS501" i="162"/>
  <c r="AV501" i="162"/>
  <c r="BD501" i="162"/>
  <c r="BE501" i="162"/>
  <c r="AT501" i="162"/>
  <c r="AU501" i="162"/>
  <c r="AW501" i="162"/>
  <c r="AX501" i="162"/>
  <c r="AY501" i="162"/>
  <c r="BF501" i="162"/>
  <c r="AZ501" i="162"/>
  <c r="BA501" i="162"/>
  <c r="BB501" i="162"/>
  <c r="BC501" i="162"/>
  <c r="AR501" i="162"/>
  <c r="AN501" i="162"/>
  <c r="AO501" i="162"/>
  <c r="AP501" i="162"/>
  <c r="AQ501" i="162"/>
  <c r="AP417" i="162"/>
  <c r="AS417" i="162"/>
  <c r="AV417" i="162"/>
  <c r="AR417" i="162"/>
  <c r="AQ417" i="162"/>
  <c r="AZ417" i="162"/>
  <c r="AT417" i="162"/>
  <c r="BF417" i="162"/>
  <c r="AW417" i="162"/>
  <c r="AX417" i="162"/>
  <c r="AY417" i="162"/>
  <c r="BA417" i="162"/>
  <c r="BE417" i="162"/>
  <c r="BB417" i="162"/>
  <c r="BC417" i="162"/>
  <c r="AU417" i="162"/>
  <c r="BD417" i="162"/>
  <c r="AN417" i="162"/>
  <c r="AO417" i="162"/>
  <c r="AQ510" i="162"/>
  <c r="AO510" i="162"/>
  <c r="AP510" i="162"/>
  <c r="AS510" i="162"/>
  <c r="BE510" i="162"/>
  <c r="BF510" i="162"/>
  <c r="BC510" i="162"/>
  <c r="BD510" i="162"/>
  <c r="AN510" i="162"/>
  <c r="AV510" i="162"/>
  <c r="BA510" i="162"/>
  <c r="AR510" i="162"/>
  <c r="AW510" i="162"/>
  <c r="BB510" i="162"/>
  <c r="AT510" i="162"/>
  <c r="AX510" i="162"/>
  <c r="AY510" i="162"/>
  <c r="AZ510" i="162"/>
  <c r="AU510" i="162"/>
  <c r="BA521" i="162"/>
  <c r="BD521" i="162"/>
  <c r="AT521" i="162"/>
  <c r="AU521" i="162"/>
  <c r="AV521" i="162"/>
  <c r="AW521" i="162"/>
  <c r="AN521" i="162"/>
  <c r="AO521" i="162"/>
  <c r="AR521" i="162"/>
  <c r="AY521" i="162"/>
  <c r="AX521" i="162"/>
  <c r="AS521" i="162"/>
  <c r="AP521" i="162"/>
  <c r="AQ521" i="162"/>
  <c r="AZ521" i="162"/>
  <c r="BC521" i="162"/>
  <c r="BF521" i="162"/>
  <c r="BE521" i="162"/>
  <c r="BB521" i="162"/>
  <c r="BB443" i="162"/>
  <c r="BE443" i="162"/>
  <c r="AQ443" i="162"/>
  <c r="AU443" i="162"/>
  <c r="AT443" i="162"/>
  <c r="BA443" i="162"/>
  <c r="AO443" i="162"/>
  <c r="AR443" i="162"/>
  <c r="AS443" i="162"/>
  <c r="AW443" i="162"/>
  <c r="AX443" i="162"/>
  <c r="AP443" i="162"/>
  <c r="AV443" i="162"/>
  <c r="AZ443" i="162"/>
  <c r="AY443" i="162"/>
  <c r="BC443" i="162"/>
  <c r="AN443" i="162"/>
  <c r="BD443" i="162"/>
  <c r="BF443" i="162"/>
  <c r="BB488" i="162"/>
  <c r="BE488" i="162"/>
  <c r="AO488" i="162"/>
  <c r="AP488" i="162"/>
  <c r="AR488" i="162"/>
  <c r="AQ488" i="162"/>
  <c r="AS488" i="162"/>
  <c r="AV488" i="162"/>
  <c r="BC488" i="162"/>
  <c r="AW488" i="162"/>
  <c r="AX488" i="162"/>
  <c r="BF488" i="162"/>
  <c r="AY488" i="162"/>
  <c r="AZ488" i="162"/>
  <c r="BA488" i="162"/>
  <c r="BD488" i="162"/>
  <c r="AT488" i="162"/>
  <c r="AU488" i="162"/>
  <c r="AN488" i="162"/>
  <c r="BF465" i="162"/>
  <c r="AO465" i="162"/>
  <c r="AR465" i="162"/>
  <c r="AU465" i="162"/>
  <c r="AY465" i="162"/>
  <c r="AP465" i="162"/>
  <c r="AX465" i="162"/>
  <c r="AV465" i="162"/>
  <c r="BA465" i="162"/>
  <c r="BD465" i="162"/>
  <c r="BE465" i="162"/>
  <c r="AN465" i="162"/>
  <c r="AQ465" i="162"/>
  <c r="AZ465" i="162"/>
  <c r="AW465" i="162"/>
  <c r="BB465" i="162"/>
  <c r="AT465" i="162"/>
  <c r="BC465" i="162"/>
  <c r="AS465" i="162"/>
  <c r="AW529" i="162"/>
  <c r="AN529" i="162"/>
  <c r="AZ529" i="162"/>
  <c r="BF529" i="162"/>
  <c r="BD529" i="162"/>
  <c r="BE529" i="162"/>
  <c r="AT529" i="162"/>
  <c r="AU529" i="162"/>
  <c r="AV529" i="162"/>
  <c r="AY529" i="162"/>
  <c r="BB529" i="162"/>
  <c r="AX529" i="162"/>
  <c r="BA529" i="162"/>
  <c r="BC529" i="162"/>
  <c r="AO529" i="162"/>
  <c r="AP529" i="162"/>
  <c r="AQ529" i="162"/>
  <c r="AR529" i="162"/>
  <c r="AS529" i="162"/>
  <c r="AY474" i="162"/>
  <c r="AQ474" i="162"/>
  <c r="AW474" i="162"/>
  <c r="AR474" i="162"/>
  <c r="AT474" i="162"/>
  <c r="AU474" i="162"/>
  <c r="AX474" i="162"/>
  <c r="AN474" i="162"/>
  <c r="BC474" i="162"/>
  <c r="AO474" i="162"/>
  <c r="AP474" i="162"/>
  <c r="BA474" i="162"/>
  <c r="AS474" i="162"/>
  <c r="AV474" i="162"/>
  <c r="AZ474" i="162"/>
  <c r="BB474" i="162"/>
  <c r="BD474" i="162"/>
  <c r="BE474" i="162"/>
  <c r="BF474" i="162"/>
  <c r="AU502" i="162"/>
  <c r="AO502" i="162"/>
  <c r="BA502" i="162"/>
  <c r="BB502" i="162"/>
  <c r="BC502" i="162"/>
  <c r="BD502" i="162"/>
  <c r="AT502" i="162"/>
  <c r="AV502" i="162"/>
  <c r="AW502" i="162"/>
  <c r="AZ502" i="162"/>
  <c r="AX502" i="162"/>
  <c r="AY502" i="162"/>
  <c r="AN502" i="162"/>
  <c r="AS502" i="162"/>
  <c r="AP502" i="162"/>
  <c r="AR502" i="162"/>
  <c r="AQ502" i="162"/>
  <c r="BE502" i="162"/>
  <c r="BF502" i="162"/>
  <c r="BB433" i="162"/>
  <c r="BE433" i="162"/>
  <c r="BF433" i="162"/>
  <c r="AR433" i="162"/>
  <c r="AX433" i="162"/>
  <c r="AQ433" i="162"/>
  <c r="AU433" i="162"/>
  <c r="AN433" i="162"/>
  <c r="AV433" i="162"/>
  <c r="BD433" i="162"/>
  <c r="AW433" i="162"/>
  <c r="AY433" i="162"/>
  <c r="AZ433" i="162"/>
  <c r="BA433" i="162"/>
  <c r="BC433" i="162"/>
  <c r="AT433" i="162"/>
  <c r="AO433" i="162"/>
  <c r="AP433" i="162"/>
  <c r="AS433" i="162"/>
  <c r="BF425" i="162"/>
  <c r="AO425" i="162"/>
  <c r="AR425" i="162"/>
  <c r="AP425" i="162"/>
  <c r="BC425" i="162"/>
  <c r="AQ425" i="162"/>
  <c r="AU425" i="162"/>
  <c r="AT425" i="162"/>
  <c r="AV425" i="162"/>
  <c r="AX425" i="162"/>
  <c r="BB425" i="162"/>
  <c r="BD425" i="162"/>
  <c r="BE425" i="162"/>
  <c r="AN425" i="162"/>
  <c r="AZ425" i="162"/>
  <c r="BA425" i="162"/>
  <c r="AS425" i="162"/>
  <c r="AW425" i="162"/>
  <c r="AY425" i="162"/>
  <c r="BC542" i="162"/>
  <c r="BF542" i="162"/>
  <c r="AT542" i="162"/>
  <c r="AU542" i="162"/>
  <c r="AV542" i="162"/>
  <c r="AN542" i="162"/>
  <c r="AW542" i="162"/>
  <c r="AR542" i="162"/>
  <c r="AS542" i="162"/>
  <c r="BA542" i="162"/>
  <c r="AX542" i="162"/>
  <c r="AY542" i="162"/>
  <c r="AZ542" i="162"/>
  <c r="BB542" i="162"/>
  <c r="BD542" i="162"/>
  <c r="BE542" i="162"/>
  <c r="AQ542" i="162"/>
  <c r="AP542" i="162"/>
  <c r="AO542" i="162"/>
  <c r="AR398" i="162"/>
  <c r="AU398" i="162"/>
  <c r="AX398" i="162"/>
  <c r="BA398" i="162"/>
  <c r="BE398" i="162"/>
  <c r="AS398" i="162"/>
  <c r="BB398" i="162"/>
  <c r="AT398" i="162"/>
  <c r="AV398" i="162"/>
  <c r="AY398" i="162"/>
  <c r="AQ398" i="162"/>
  <c r="AW398" i="162"/>
  <c r="AZ398" i="162"/>
  <c r="BC398" i="162"/>
  <c r="AN398" i="162"/>
  <c r="AO398" i="162"/>
  <c r="AP398" i="162"/>
  <c r="BD398" i="162"/>
  <c r="BF398" i="162"/>
  <c r="AX391" i="162"/>
  <c r="BA391" i="162"/>
  <c r="BD391" i="162"/>
  <c r="AP391" i="162"/>
  <c r="AO391" i="162"/>
  <c r="AV391" i="162"/>
  <c r="AR391" i="162"/>
  <c r="AU391" i="162"/>
  <c r="AQ391" i="162"/>
  <c r="AS391" i="162"/>
  <c r="AW391" i="162"/>
  <c r="BF391" i="162"/>
  <c r="AN391" i="162"/>
  <c r="AZ391" i="162"/>
  <c r="AY391" i="162"/>
  <c r="BB391" i="162"/>
  <c r="BC391" i="162"/>
  <c r="AT391" i="162"/>
  <c r="BE391" i="162"/>
  <c r="AS481" i="162"/>
  <c r="AQ481" i="162"/>
  <c r="BA481" i="162"/>
  <c r="BD481" i="162"/>
  <c r="AV481" i="162"/>
  <c r="AW481" i="162"/>
  <c r="AY481" i="162"/>
  <c r="BC481" i="162"/>
  <c r="BE481" i="162"/>
  <c r="BF481" i="162"/>
  <c r="AZ481" i="162"/>
  <c r="BB481" i="162"/>
  <c r="AN481" i="162"/>
  <c r="AO481" i="162"/>
  <c r="AR481" i="162"/>
  <c r="AU481" i="162"/>
  <c r="AX481" i="162"/>
  <c r="AP481" i="162"/>
  <c r="AT481" i="162"/>
  <c r="BD454" i="162"/>
  <c r="AP454" i="162"/>
  <c r="BC454" i="162"/>
  <c r="BE454" i="162"/>
  <c r="AR454" i="162"/>
  <c r="AU454" i="162"/>
  <c r="AO454" i="162"/>
  <c r="AS454" i="162"/>
  <c r="AN454" i="162"/>
  <c r="AQ454" i="162"/>
  <c r="AT454" i="162"/>
  <c r="AV454" i="162"/>
  <c r="AX454" i="162"/>
  <c r="AY454" i="162"/>
  <c r="AZ454" i="162"/>
  <c r="BF454" i="162"/>
  <c r="AW454" i="162"/>
  <c r="BA454" i="162"/>
  <c r="BB454" i="162"/>
  <c r="AS491" i="162"/>
  <c r="AP491" i="162"/>
  <c r="AT491" i="162"/>
  <c r="BD491" i="162"/>
  <c r="BE491" i="162"/>
  <c r="AO491" i="162"/>
  <c r="AQ491" i="162"/>
  <c r="AR491" i="162"/>
  <c r="AW491" i="162"/>
  <c r="AX491" i="162"/>
  <c r="BB491" i="162"/>
  <c r="AY491" i="162"/>
  <c r="AZ491" i="162"/>
  <c r="BA491" i="162"/>
  <c r="AV491" i="162"/>
  <c r="BC491" i="162"/>
  <c r="AU491" i="162"/>
  <c r="BF491" i="162"/>
  <c r="AN491" i="162"/>
  <c r="BD414" i="162"/>
  <c r="AP414" i="162"/>
  <c r="AU414" i="162"/>
  <c r="AY414" i="162"/>
  <c r="AS414" i="162"/>
  <c r="BA414" i="162"/>
  <c r="AW414" i="162"/>
  <c r="AX414" i="162"/>
  <c r="BB414" i="162"/>
  <c r="AR414" i="162"/>
  <c r="AT414" i="162"/>
  <c r="AO414" i="162"/>
  <c r="AQ414" i="162"/>
  <c r="AV414" i="162"/>
  <c r="AZ414" i="162"/>
  <c r="BF414" i="162"/>
  <c r="BC414" i="162"/>
  <c r="BE414" i="162"/>
  <c r="AN414" i="162"/>
  <c r="AP447" i="162"/>
  <c r="AS447" i="162"/>
  <c r="AV447" i="162"/>
  <c r="AT447" i="162"/>
  <c r="BA447" i="162"/>
  <c r="AZ447" i="162"/>
  <c r="BD447" i="162"/>
  <c r="AO447" i="162"/>
  <c r="AQ447" i="162"/>
  <c r="AR447" i="162"/>
  <c r="BE447" i="162"/>
  <c r="BF447" i="162"/>
  <c r="AW447" i="162"/>
  <c r="BB447" i="162"/>
  <c r="BC447" i="162"/>
  <c r="AU447" i="162"/>
  <c r="AX447" i="162"/>
  <c r="AN447" i="162"/>
  <c r="AY447" i="162"/>
  <c r="AY540" i="162"/>
  <c r="BB540" i="162"/>
  <c r="AN540" i="162"/>
  <c r="AO540" i="162"/>
  <c r="BA540" i="162"/>
  <c r="BC540" i="162"/>
  <c r="BD540" i="162"/>
  <c r="BE540" i="162"/>
  <c r="BF540" i="162"/>
  <c r="AT540" i="162"/>
  <c r="AU540" i="162"/>
  <c r="AV540" i="162"/>
  <c r="AW540" i="162"/>
  <c r="AX540" i="162"/>
  <c r="AZ540" i="162"/>
  <c r="AP540" i="162"/>
  <c r="AQ540" i="162"/>
  <c r="AR540" i="162"/>
  <c r="AS540" i="162"/>
  <c r="AV450" i="162"/>
  <c r="AY450" i="162"/>
  <c r="BB450" i="162"/>
  <c r="BF450" i="162"/>
  <c r="AX450" i="162"/>
  <c r="BD450" i="162"/>
  <c r="AS450" i="162"/>
  <c r="AT450" i="162"/>
  <c r="AW450" i="162"/>
  <c r="AU450" i="162"/>
  <c r="AZ450" i="162"/>
  <c r="AN450" i="162"/>
  <c r="BA450" i="162"/>
  <c r="BC450" i="162"/>
  <c r="BE450" i="162"/>
  <c r="AR450" i="162"/>
  <c r="AO450" i="162"/>
  <c r="AP450" i="162"/>
  <c r="AQ450" i="162"/>
  <c r="AO479" i="162"/>
  <c r="BF479" i="162"/>
  <c r="AR479" i="162"/>
  <c r="AS479" i="162"/>
  <c r="AV479" i="162"/>
  <c r="AZ479" i="162"/>
  <c r="BA479" i="162"/>
  <c r="BB479" i="162"/>
  <c r="BE479" i="162"/>
  <c r="BC479" i="162"/>
  <c r="BD479" i="162"/>
  <c r="AX479" i="162"/>
  <c r="AN479" i="162"/>
  <c r="AY479" i="162"/>
  <c r="AP479" i="162"/>
  <c r="AW479" i="162"/>
  <c r="AQ479" i="162"/>
  <c r="AT479" i="162"/>
  <c r="AU479" i="162"/>
  <c r="AP407" i="162"/>
  <c r="AS407" i="162"/>
  <c r="AV407" i="162"/>
  <c r="BC407" i="162"/>
  <c r="AW407" i="162"/>
  <c r="AT407" i="162"/>
  <c r="AY407" i="162"/>
  <c r="AR407" i="162"/>
  <c r="AU407" i="162"/>
  <c r="AZ407" i="162"/>
  <c r="AN407" i="162"/>
  <c r="AO407" i="162"/>
  <c r="AX407" i="162"/>
  <c r="BA407" i="162"/>
  <c r="BB407" i="162"/>
  <c r="AQ407" i="162"/>
  <c r="BD407" i="162"/>
  <c r="BE407" i="162"/>
  <c r="BF407" i="162"/>
  <c r="AU482" i="162"/>
  <c r="AT482" i="162"/>
  <c r="BE482" i="162"/>
  <c r="BB482" i="162"/>
  <c r="BC482" i="162"/>
  <c r="BF482" i="162"/>
  <c r="AO482" i="162"/>
  <c r="AS482" i="162"/>
  <c r="AP482" i="162"/>
  <c r="AN482" i="162"/>
  <c r="AQ482" i="162"/>
  <c r="AR482" i="162"/>
  <c r="AZ482" i="162"/>
  <c r="BA482" i="162"/>
  <c r="BD482" i="162"/>
  <c r="AW482" i="162"/>
  <c r="AX482" i="162"/>
  <c r="AY482" i="162"/>
  <c r="AV482" i="162"/>
  <c r="BB453" i="162"/>
  <c r="BE453" i="162"/>
  <c r="AX453" i="162"/>
  <c r="BC453" i="162"/>
  <c r="AV453" i="162"/>
  <c r="BF453" i="162"/>
  <c r="BD453" i="162"/>
  <c r="AR453" i="162"/>
  <c r="AS453" i="162"/>
  <c r="AN453" i="162"/>
  <c r="AT453" i="162"/>
  <c r="AU453" i="162"/>
  <c r="AP453" i="162"/>
  <c r="AQ453" i="162"/>
  <c r="AW453" i="162"/>
  <c r="BA453" i="162"/>
  <c r="AY453" i="162"/>
  <c r="AZ453" i="162"/>
  <c r="AO453" i="162"/>
  <c r="AS527" i="162"/>
  <c r="AV527" i="162"/>
  <c r="AX527" i="162"/>
  <c r="AY527" i="162"/>
  <c r="AZ527" i="162"/>
  <c r="BA527" i="162"/>
  <c r="AQ527" i="162"/>
  <c r="AO527" i="162"/>
  <c r="AP527" i="162"/>
  <c r="AR527" i="162"/>
  <c r="BB527" i="162"/>
  <c r="BD527" i="162"/>
  <c r="AT527" i="162"/>
  <c r="BF527" i="162"/>
  <c r="AU527" i="162"/>
  <c r="AW527" i="162"/>
  <c r="BC527" i="162"/>
  <c r="BE527" i="162"/>
  <c r="AN527" i="162"/>
  <c r="AV390" i="162"/>
  <c r="AY390" i="162"/>
  <c r="BB390" i="162"/>
  <c r="BD390" i="162"/>
  <c r="AO390" i="162"/>
  <c r="AP390" i="162"/>
  <c r="AQ390" i="162"/>
  <c r="AR390" i="162"/>
  <c r="AS390" i="162"/>
  <c r="AT390" i="162"/>
  <c r="AU390" i="162"/>
  <c r="AZ390" i="162"/>
  <c r="BC390" i="162"/>
  <c r="BE390" i="162"/>
  <c r="AX390" i="162"/>
  <c r="BA390" i="162"/>
  <c r="AN390" i="162"/>
  <c r="AW390" i="162"/>
  <c r="BF390" i="162"/>
  <c r="BE523" i="162"/>
  <c r="BB523" i="162"/>
  <c r="BC523" i="162"/>
  <c r="BD523" i="162"/>
  <c r="BF523" i="162"/>
  <c r="AZ523" i="162"/>
  <c r="BA523" i="162"/>
  <c r="AS523" i="162"/>
  <c r="AO523" i="162"/>
  <c r="AR523" i="162"/>
  <c r="AT523" i="162"/>
  <c r="AP523" i="162"/>
  <c r="AV523" i="162"/>
  <c r="AQ523" i="162"/>
  <c r="AU523" i="162"/>
  <c r="AW523" i="162"/>
  <c r="AN523" i="162"/>
  <c r="AX523" i="162"/>
  <c r="AY523" i="162"/>
  <c r="AQ436" i="162"/>
  <c r="AT436" i="162"/>
  <c r="AY436" i="162"/>
  <c r="BC436" i="162"/>
  <c r="AO436" i="162"/>
  <c r="AW436" i="162"/>
  <c r="AU436" i="162"/>
  <c r="AZ436" i="162"/>
  <c r="AR436" i="162"/>
  <c r="AV436" i="162"/>
  <c r="AX436" i="162"/>
  <c r="BA436" i="162"/>
  <c r="BB436" i="162"/>
  <c r="BF436" i="162"/>
  <c r="AN436" i="162"/>
  <c r="BE436" i="162"/>
  <c r="AP436" i="162"/>
  <c r="AS436" i="162"/>
  <c r="BD436" i="162"/>
  <c r="AQ480" i="162"/>
  <c r="AW480" i="162"/>
  <c r="AZ480" i="162"/>
  <c r="AO480" i="162"/>
  <c r="AP480" i="162"/>
  <c r="AS480" i="162"/>
  <c r="AR480" i="162"/>
  <c r="AT480" i="162"/>
  <c r="AU480" i="162"/>
  <c r="AV480" i="162"/>
  <c r="AN480" i="162"/>
  <c r="BC480" i="162"/>
  <c r="BE480" i="162"/>
  <c r="BF480" i="162"/>
  <c r="AX480" i="162"/>
  <c r="AY480" i="162"/>
  <c r="BA480" i="162"/>
  <c r="BB480" i="162"/>
  <c r="BD480" i="162"/>
  <c r="AO469" i="162"/>
  <c r="AS469" i="162"/>
  <c r="AR469" i="162"/>
  <c r="AY469" i="162"/>
  <c r="BD469" i="162"/>
  <c r="BA469" i="162"/>
  <c r="AN469" i="162"/>
  <c r="BB469" i="162"/>
  <c r="BE469" i="162"/>
  <c r="AZ469" i="162"/>
  <c r="BC469" i="162"/>
  <c r="BF469" i="162"/>
  <c r="AT469" i="162"/>
  <c r="AP469" i="162"/>
  <c r="AQ469" i="162"/>
  <c r="AU469" i="162"/>
  <c r="AV469" i="162"/>
  <c r="AW469" i="162"/>
  <c r="AX469" i="162"/>
  <c r="AV460" i="162"/>
  <c r="AY460" i="162"/>
  <c r="BB460" i="162"/>
  <c r="AP460" i="162"/>
  <c r="AT460" i="162"/>
  <c r="BC460" i="162"/>
  <c r="AX460" i="162"/>
  <c r="BD460" i="162"/>
  <c r="BF460" i="162"/>
  <c r="AO460" i="162"/>
  <c r="AZ460" i="162"/>
  <c r="BA460" i="162"/>
  <c r="AQ460" i="162"/>
  <c r="AW460" i="162"/>
  <c r="AR460" i="162"/>
  <c r="AS460" i="162"/>
  <c r="AU460" i="162"/>
  <c r="BE460" i="162"/>
  <c r="AN460" i="162"/>
  <c r="AQ416" i="162"/>
  <c r="AT416" i="162"/>
  <c r="BE416" i="162"/>
  <c r="AR416" i="162"/>
  <c r="BD416" i="162"/>
  <c r="AU416" i="162"/>
  <c r="AV416" i="162"/>
  <c r="AX416" i="162"/>
  <c r="AS416" i="162"/>
  <c r="AW416" i="162"/>
  <c r="AY416" i="162"/>
  <c r="BB416" i="162"/>
  <c r="AZ416" i="162"/>
  <c r="BA416" i="162"/>
  <c r="BC416" i="162"/>
  <c r="AO416" i="162"/>
  <c r="BF416" i="162"/>
  <c r="AN416" i="162"/>
  <c r="AP416" i="162"/>
  <c r="AQ536" i="162"/>
  <c r="AT536" i="162"/>
  <c r="AP536" i="162"/>
  <c r="AR536" i="162"/>
  <c r="AS536" i="162"/>
  <c r="AU536" i="162"/>
  <c r="AO536" i="162"/>
  <c r="AV536" i="162"/>
  <c r="AN536" i="162"/>
  <c r="AW536" i="162"/>
  <c r="AX536" i="162"/>
  <c r="AY536" i="162"/>
  <c r="BE536" i="162"/>
  <c r="BD536" i="162"/>
  <c r="BC536" i="162"/>
  <c r="AZ536" i="162"/>
  <c r="BA536" i="162"/>
  <c r="BB536" i="162"/>
  <c r="BF536" i="162"/>
  <c r="AS518" i="162"/>
  <c r="AV518" i="162"/>
  <c r="BB518" i="162"/>
  <c r="AN518" i="162"/>
  <c r="BC518" i="162"/>
  <c r="BD518" i="162"/>
  <c r="BE518" i="162"/>
  <c r="AR518" i="162"/>
  <c r="BF518" i="162"/>
  <c r="AT518" i="162"/>
  <c r="AU518" i="162"/>
  <c r="AY518" i="162"/>
  <c r="AZ518" i="162"/>
  <c r="AW518" i="162"/>
  <c r="AX518" i="162"/>
  <c r="BA518" i="162"/>
  <c r="AQ518" i="162"/>
  <c r="AP518" i="162"/>
  <c r="AO518" i="162"/>
  <c r="BD394" i="162"/>
  <c r="AP394" i="162"/>
  <c r="BA394" i="162"/>
  <c r="BF394" i="162"/>
  <c r="AU394" i="162"/>
  <c r="AV394" i="162"/>
  <c r="AY394" i="162"/>
  <c r="BB394" i="162"/>
  <c r="BC394" i="162"/>
  <c r="AQ394" i="162"/>
  <c r="AR394" i="162"/>
  <c r="AS394" i="162"/>
  <c r="AT394" i="162"/>
  <c r="AW394" i="162"/>
  <c r="AO394" i="162"/>
  <c r="AN394" i="162"/>
  <c r="AZ394" i="162"/>
  <c r="AX394" i="162"/>
  <c r="BE394" i="162"/>
  <c r="AZ432" i="162"/>
  <c r="BC432" i="162"/>
  <c r="BF432" i="162"/>
  <c r="AY432" i="162"/>
  <c r="BE432" i="162"/>
  <c r="AQ432" i="162"/>
  <c r="AU432" i="162"/>
  <c r="AV432" i="162"/>
  <c r="AX432" i="162"/>
  <c r="AN432" i="162"/>
  <c r="AP432" i="162"/>
  <c r="AR432" i="162"/>
  <c r="AS432" i="162"/>
  <c r="AT432" i="162"/>
  <c r="AO432" i="162"/>
  <c r="AW432" i="162"/>
  <c r="BD432" i="162"/>
  <c r="BA432" i="162"/>
  <c r="BB432" i="162"/>
  <c r="AT389" i="162"/>
  <c r="AW389" i="162"/>
  <c r="AZ389" i="162"/>
  <c r="AX389" i="162"/>
  <c r="BC389" i="162"/>
  <c r="AY389" i="162"/>
  <c r="AV389" i="162"/>
  <c r="BD389" i="162"/>
  <c r="AR389" i="162"/>
  <c r="AN389" i="162"/>
  <c r="AS389" i="162"/>
  <c r="BA389" i="162"/>
  <c r="AP389" i="162"/>
  <c r="AQ389" i="162"/>
  <c r="AU389" i="162"/>
  <c r="BF389" i="162"/>
  <c r="BB389" i="162"/>
  <c r="BE389" i="162"/>
  <c r="AO389" i="162"/>
  <c r="AQ406" i="162"/>
  <c r="AT406" i="162"/>
  <c r="AX406" i="162"/>
  <c r="BB406" i="162"/>
  <c r="BF406" i="162"/>
  <c r="BA406" i="162"/>
  <c r="AN406" i="162"/>
  <c r="BC406" i="162"/>
  <c r="BD406" i="162"/>
  <c r="BE406" i="162"/>
  <c r="AO406" i="162"/>
  <c r="AU406" i="162"/>
  <c r="AP406" i="162"/>
  <c r="AR406" i="162"/>
  <c r="AS406" i="162"/>
  <c r="AV406" i="162"/>
  <c r="AW406" i="162"/>
  <c r="AY406" i="162"/>
  <c r="AZ406" i="162"/>
  <c r="AW483" i="162"/>
  <c r="AP483" i="162"/>
  <c r="AU483" i="162"/>
  <c r="AV483" i="162"/>
  <c r="AX483" i="162"/>
  <c r="AY483" i="162"/>
  <c r="BB483" i="162"/>
  <c r="BC483" i="162"/>
  <c r="BD483" i="162"/>
  <c r="BE483" i="162"/>
  <c r="AN483" i="162"/>
  <c r="BF483" i="162"/>
  <c r="AT483" i="162"/>
  <c r="AZ483" i="162"/>
  <c r="AS483" i="162"/>
  <c r="AO483" i="162"/>
  <c r="AQ483" i="162"/>
  <c r="AR483" i="162"/>
  <c r="BA483" i="162"/>
  <c r="BA531" i="162"/>
  <c r="BD531" i="162"/>
  <c r="AR531" i="162"/>
  <c r="AS531" i="162"/>
  <c r="AT531" i="162"/>
  <c r="AU531" i="162"/>
  <c r="AX531" i="162"/>
  <c r="BE531" i="162"/>
  <c r="AY531" i="162"/>
  <c r="AZ531" i="162"/>
  <c r="BB531" i="162"/>
  <c r="BC531" i="162"/>
  <c r="AV531" i="162"/>
  <c r="AW531" i="162"/>
  <c r="BF531" i="162"/>
  <c r="AN531" i="162"/>
  <c r="AO531" i="162"/>
  <c r="AP531" i="162"/>
  <c r="AQ531" i="162"/>
  <c r="AR408" i="162"/>
  <c r="AU408" i="162"/>
  <c r="AX408" i="162"/>
  <c r="AO408" i="162"/>
  <c r="AW408" i="162"/>
  <c r="BD408" i="162"/>
  <c r="BE408" i="162"/>
  <c r="BB408" i="162"/>
  <c r="BC408" i="162"/>
  <c r="BF408" i="162"/>
  <c r="AN408" i="162"/>
  <c r="AS408" i="162"/>
  <c r="AT408" i="162"/>
  <c r="AV408" i="162"/>
  <c r="AY408" i="162"/>
  <c r="AZ408" i="162"/>
  <c r="BA408" i="162"/>
  <c r="AP408" i="162"/>
  <c r="AQ408" i="162"/>
  <c r="AP397" i="162"/>
  <c r="AS397" i="162"/>
  <c r="AV397" i="162"/>
  <c r="AU397" i="162"/>
  <c r="AZ397" i="162"/>
  <c r="AR397" i="162"/>
  <c r="BA397" i="162"/>
  <c r="BD397" i="162"/>
  <c r="BB397" i="162"/>
  <c r="BC397" i="162"/>
  <c r="AN397" i="162"/>
  <c r="BE397" i="162"/>
  <c r="BF397" i="162"/>
  <c r="AW397" i="162"/>
  <c r="AX397" i="162"/>
  <c r="AY397" i="162"/>
  <c r="AO397" i="162"/>
  <c r="AQ397" i="162"/>
  <c r="AT397" i="162"/>
  <c r="BG368" i="162"/>
  <c r="BG367" i="162"/>
  <c r="AF6" i="162"/>
  <c r="AF17" i="162"/>
  <c r="BE373" i="162"/>
  <c r="BD373" i="162"/>
  <c r="BC373" i="162"/>
  <c r="BB373" i="162"/>
  <c r="AY373" i="162"/>
  <c r="BF373" i="162"/>
  <c r="BA373" i="162"/>
  <c r="AZ373" i="162"/>
  <c r="AX373" i="162"/>
  <c r="AW373" i="162"/>
  <c r="AS373" i="162"/>
  <c r="AQ373" i="162"/>
  <c r="AP373" i="162"/>
  <c r="AO373" i="162"/>
  <c r="AU373" i="162"/>
  <c r="AV373" i="162"/>
  <c r="AT373" i="162"/>
  <c r="AR373" i="162"/>
  <c r="AN373" i="162"/>
  <c r="BC375" i="162"/>
  <c r="BB375" i="162"/>
  <c r="BA375" i="162"/>
  <c r="AZ375" i="162"/>
  <c r="AW375" i="162"/>
  <c r="BD375" i="162"/>
  <c r="AY375" i="162"/>
  <c r="AT375" i="162"/>
  <c r="AR375" i="162"/>
  <c r="AX375" i="162"/>
  <c r="AU375" i="162"/>
  <c r="AQ375" i="162"/>
  <c r="AV375" i="162"/>
  <c r="AS375" i="162"/>
  <c r="AP375" i="162"/>
  <c r="AO375" i="162"/>
  <c r="BF375" i="162"/>
  <c r="BE375" i="162"/>
  <c r="AN375" i="162"/>
  <c r="AU383" i="162"/>
  <c r="AT383" i="162"/>
  <c r="AS383" i="162"/>
  <c r="AR383" i="162"/>
  <c r="AO383" i="162"/>
  <c r="BC383" i="162"/>
  <c r="BA383" i="162"/>
  <c r="BF383" i="162"/>
  <c r="BE383" i="162"/>
  <c r="BD383" i="162"/>
  <c r="BB383" i="162"/>
  <c r="AZ383" i="162"/>
  <c r="AY383" i="162"/>
  <c r="AP383" i="162"/>
  <c r="AN383" i="162"/>
  <c r="AX383" i="162"/>
  <c r="AW383" i="162"/>
  <c r="AQ383" i="162"/>
  <c r="AV383" i="162"/>
  <c r="AU374" i="162"/>
  <c r="AT374" i="162"/>
  <c r="AS374" i="162"/>
  <c r="AR374" i="162"/>
  <c r="AO374" i="162"/>
  <c r="BF374" i="162"/>
  <c r="BE374" i="162"/>
  <c r="BB374" i="162"/>
  <c r="AZ374" i="162"/>
  <c r="BD374" i="162"/>
  <c r="BC374" i="162"/>
  <c r="BA374" i="162"/>
  <c r="AY374" i="162"/>
  <c r="AX374" i="162"/>
  <c r="AW374" i="162"/>
  <c r="AV374" i="162"/>
  <c r="AQ374" i="162"/>
  <c r="AP374" i="162"/>
  <c r="AN374" i="162"/>
  <c r="BF369" i="162"/>
  <c r="BE369" i="162"/>
  <c r="BD369" i="162"/>
  <c r="BA369" i="162"/>
  <c r="AV369" i="162"/>
  <c r="AU369" i="162"/>
  <c r="AQ369" i="162"/>
  <c r="AN369" i="162"/>
  <c r="AO369" i="162"/>
  <c r="AT369" i="162"/>
  <c r="AS369" i="162"/>
  <c r="AR369" i="162"/>
  <c r="AP369" i="162"/>
  <c r="AT385" i="162"/>
  <c r="AS385" i="162"/>
  <c r="AR385" i="162"/>
  <c r="AQ385" i="162"/>
  <c r="AN385" i="162"/>
  <c r="BC385" i="162"/>
  <c r="BB385" i="162"/>
  <c r="AV385" i="162"/>
  <c r="AP385" i="162"/>
  <c r="BA385" i="162"/>
  <c r="AW385" i="162"/>
  <c r="AZ385" i="162"/>
  <c r="AX385" i="162"/>
  <c r="AO385" i="162"/>
  <c r="AY385" i="162"/>
  <c r="AU385" i="162"/>
  <c r="BF385" i="162"/>
  <c r="BD385" i="162"/>
  <c r="BE385" i="162"/>
  <c r="AU381" i="162"/>
  <c r="AT381" i="162"/>
  <c r="AS381" i="162"/>
  <c r="AR381" i="162"/>
  <c r="AO381" i="162"/>
  <c r="AW381" i="162"/>
  <c r="AV381" i="162"/>
  <c r="AQ381" i="162"/>
  <c r="AP381" i="162"/>
  <c r="AN381" i="162"/>
  <c r="AX381" i="162"/>
  <c r="BF381" i="162"/>
  <c r="AY381" i="162"/>
  <c r="BE381" i="162"/>
  <c r="BB381" i="162"/>
  <c r="BD381" i="162"/>
  <c r="BC381" i="162"/>
  <c r="BA381" i="162"/>
  <c r="AZ381" i="162"/>
  <c r="BF380" i="162"/>
  <c r="BE380" i="162"/>
  <c r="BD380" i="162"/>
  <c r="BC380" i="162"/>
  <c r="AZ380" i="162"/>
  <c r="AX380" i="162"/>
  <c r="AW380" i="162"/>
  <c r="AR380" i="162"/>
  <c r="AV380" i="162"/>
  <c r="AP380" i="162"/>
  <c r="AN380" i="162"/>
  <c r="AU380" i="162"/>
  <c r="AQ380" i="162"/>
  <c r="AO380" i="162"/>
  <c r="AT380" i="162"/>
  <c r="AS380" i="162"/>
  <c r="BA380" i="162"/>
  <c r="AY380" i="162"/>
  <c r="BB380" i="162"/>
  <c r="AU372" i="162"/>
  <c r="AT372" i="162"/>
  <c r="AS372" i="162"/>
  <c r="AR372" i="162"/>
  <c r="AO372" i="162"/>
  <c r="AQ372" i="162"/>
  <c r="AP372" i="162"/>
  <c r="AN372" i="162"/>
  <c r="BF372" i="162"/>
  <c r="BD372" i="162"/>
  <c r="BC372" i="162"/>
  <c r="AY372" i="162"/>
  <c r="BB372" i="162"/>
  <c r="AW372" i="162"/>
  <c r="BA372" i="162"/>
  <c r="AZ372" i="162"/>
  <c r="AX372" i="162"/>
  <c r="AV372" i="162"/>
  <c r="BE372" i="162"/>
  <c r="AQ376" i="162"/>
  <c r="AP376" i="162"/>
  <c r="AO376" i="162"/>
  <c r="AN376" i="162"/>
  <c r="BE376" i="162"/>
  <c r="AW376" i="162"/>
  <c r="AV376" i="162"/>
  <c r="AU376" i="162"/>
  <c r="AT376" i="162"/>
  <c r="AR376" i="162"/>
  <c r="AS376" i="162"/>
  <c r="BF376" i="162"/>
  <c r="BA376" i="162"/>
  <c r="AZ376" i="162"/>
  <c r="AX376" i="162"/>
  <c r="AY376" i="162"/>
  <c r="BD376" i="162"/>
  <c r="BC376" i="162"/>
  <c r="BB376" i="162"/>
  <c r="BC386" i="162"/>
  <c r="BB386" i="162"/>
  <c r="BA386" i="162"/>
  <c r="AZ386" i="162"/>
  <c r="AW386" i="162"/>
  <c r="AV386" i="162"/>
  <c r="AX386" i="162"/>
  <c r="AU386" i="162"/>
  <c r="AQ386" i="162"/>
  <c r="AP386" i="162"/>
  <c r="AT386" i="162"/>
  <c r="AO386" i="162"/>
  <c r="AN386" i="162"/>
  <c r="AS386" i="162"/>
  <c r="AR386" i="162"/>
  <c r="BF386" i="162"/>
  <c r="BD386" i="162"/>
  <c r="BE386" i="162"/>
  <c r="AY386" i="162"/>
  <c r="BE371" i="162"/>
  <c r="BD371" i="162"/>
  <c r="BC371" i="162"/>
  <c r="BB371" i="162"/>
  <c r="AY371" i="162"/>
  <c r="AU371" i="162"/>
  <c r="AT371" i="162"/>
  <c r="AS371" i="162"/>
  <c r="AP371" i="162"/>
  <c r="AR371" i="162"/>
  <c r="AQ371" i="162"/>
  <c r="AO371" i="162"/>
  <c r="AN371" i="162"/>
  <c r="AV371" i="162"/>
  <c r="BF371" i="162"/>
  <c r="BA371" i="162"/>
  <c r="AZ371" i="162"/>
  <c r="AX371" i="162"/>
  <c r="AW371" i="162"/>
  <c r="AV370" i="162"/>
  <c r="AU370" i="162"/>
  <c r="AT370" i="162"/>
  <c r="AS370" i="162"/>
  <c r="AP370" i="162"/>
  <c r="BD370" i="162"/>
  <c r="BC370" i="162"/>
  <c r="AZ370" i="162"/>
  <c r="BB370" i="162"/>
  <c r="AX370" i="162"/>
  <c r="BA370" i="162"/>
  <c r="AQ370" i="162"/>
  <c r="AY370" i="162"/>
  <c r="AW370" i="162"/>
  <c r="AR370" i="162"/>
  <c r="BF370" i="162"/>
  <c r="BE370" i="162"/>
  <c r="AO370" i="162"/>
  <c r="AN370" i="162"/>
  <c r="BF378" i="162"/>
  <c r="BE378" i="162"/>
  <c r="BD378" i="162"/>
  <c r="BA378" i="162"/>
  <c r="AZ378" i="162"/>
  <c r="AY378" i="162"/>
  <c r="AX378" i="162"/>
  <c r="BC378" i="162"/>
  <c r="AW378" i="162"/>
  <c r="BB378" i="162"/>
  <c r="AV378" i="162"/>
  <c r="AU378" i="162"/>
  <c r="AT378" i="162"/>
  <c r="AN378" i="162"/>
  <c r="AS378" i="162"/>
  <c r="AR378" i="162"/>
  <c r="AQ378" i="162"/>
  <c r="AP378" i="162"/>
  <c r="AO378" i="162"/>
  <c r="AW379" i="162"/>
  <c r="AV379" i="162"/>
  <c r="AU379" i="162"/>
  <c r="AT379" i="162"/>
  <c r="AQ379" i="162"/>
  <c r="BE379" i="162"/>
  <c r="BD379" i="162"/>
  <c r="AR379" i="162"/>
  <c r="BC379" i="162"/>
  <c r="BB379" i="162"/>
  <c r="AZ379" i="162"/>
  <c r="AY379" i="162"/>
  <c r="BA379" i="162"/>
  <c r="AX379" i="162"/>
  <c r="AP379" i="162"/>
  <c r="AS379" i="162"/>
  <c r="BF379" i="162"/>
  <c r="AO379" i="162"/>
  <c r="AN379" i="162"/>
  <c r="BE384" i="162"/>
  <c r="BD384" i="162"/>
  <c r="BC384" i="162"/>
  <c r="BB384" i="162"/>
  <c r="AY384" i="162"/>
  <c r="AX384" i="162"/>
  <c r="BF384" i="162"/>
  <c r="AW384" i="162"/>
  <c r="BA384" i="162"/>
  <c r="AV384" i="162"/>
  <c r="AU384" i="162"/>
  <c r="AT384" i="162"/>
  <c r="AZ384" i="162"/>
  <c r="AS384" i="162"/>
  <c r="AR384" i="162"/>
  <c r="AN384" i="162"/>
  <c r="AQ384" i="162"/>
  <c r="AP384" i="162"/>
  <c r="AO384" i="162"/>
  <c r="AY377" i="162"/>
  <c r="AX377" i="162"/>
  <c r="AW377" i="162"/>
  <c r="AV377" i="162"/>
  <c r="AS377" i="162"/>
  <c r="AN377" i="162"/>
  <c r="BD377" i="162"/>
  <c r="BE377" i="162"/>
  <c r="BC377" i="162"/>
  <c r="BF377" i="162"/>
  <c r="AQ377" i="162"/>
  <c r="BB377" i="162"/>
  <c r="AP377" i="162"/>
  <c r="AO377" i="162"/>
  <c r="BA377" i="162"/>
  <c r="AZ377" i="162"/>
  <c r="AU377" i="162"/>
  <c r="AT377" i="162"/>
  <c r="AR377" i="162"/>
  <c r="AR387" i="162"/>
  <c r="BF387" i="162"/>
  <c r="BE387" i="162"/>
  <c r="AW387" i="162"/>
  <c r="AV387" i="162"/>
  <c r="AU387" i="162"/>
  <c r="AT387" i="162"/>
  <c r="AS387" i="162"/>
  <c r="BD387" i="162"/>
  <c r="BA387" i="162"/>
  <c r="AY387" i="162"/>
  <c r="AX387" i="162"/>
  <c r="BC387" i="162"/>
  <c r="BB387" i="162"/>
  <c r="AZ387" i="162"/>
  <c r="BE382" i="162"/>
  <c r="BD382" i="162"/>
  <c r="BC382" i="162"/>
  <c r="BB382" i="162"/>
  <c r="AY382" i="162"/>
  <c r="AO382" i="162"/>
  <c r="AN382" i="162"/>
  <c r="BF382" i="162"/>
  <c r="BA382" i="162"/>
  <c r="AZ382" i="162"/>
  <c r="AU382" i="162"/>
  <c r="AT382" i="162"/>
  <c r="AS382" i="162"/>
  <c r="AR382" i="162"/>
  <c r="AQ382" i="162"/>
  <c r="AX382" i="162"/>
  <c r="AW382" i="162"/>
  <c r="AV382" i="162"/>
  <c r="AP382" i="162"/>
  <c r="AH119" i="129"/>
  <c r="AH120" i="129"/>
  <c r="AH121" i="129"/>
  <c r="AH122" i="129"/>
  <c r="AH123" i="129"/>
  <c r="AH124" i="129"/>
  <c r="AH125" i="129"/>
  <c r="AH126" i="129"/>
  <c r="AJ64" i="158"/>
  <c r="AL64" i="158"/>
  <c r="AL119" i="129"/>
  <c r="D47" i="129"/>
  <c r="AN118" i="129"/>
  <c r="J5" i="135"/>
  <c r="C44" i="154" l="1"/>
  <c r="D44" i="154" s="1"/>
  <c r="BB369" i="162"/>
  <c r="AZ369" i="162"/>
  <c r="BC369" i="162"/>
  <c r="AW369" i="162"/>
  <c r="AX369" i="162"/>
  <c r="AA11" i="162"/>
  <c r="D9" i="164"/>
  <c r="AA192" i="162"/>
  <c r="AA374" i="162" s="1"/>
  <c r="AC13" i="158"/>
  <c r="AC44" i="158"/>
  <c r="AC73" i="158"/>
  <c r="BB118" i="129"/>
  <c r="BC118" i="129"/>
  <c r="BD118" i="129"/>
  <c r="BE118" i="129"/>
  <c r="BG118" i="129"/>
  <c r="AO118" i="129"/>
  <c r="AP118" i="129"/>
  <c r="AQ118" i="129"/>
  <c r="AR118" i="129"/>
  <c r="AS118" i="129"/>
  <c r="AT118" i="129"/>
  <c r="AU118" i="129"/>
  <c r="AV118" i="129"/>
  <c r="AW118" i="129"/>
  <c r="AX118" i="129"/>
  <c r="AY118" i="129"/>
  <c r="AZ118" i="129"/>
  <c r="BA118" i="129"/>
  <c r="BF118" i="129"/>
  <c r="BG474" i="162"/>
  <c r="BG501" i="162"/>
  <c r="BG525" i="162"/>
  <c r="BG443" i="162"/>
  <c r="BG517" i="162"/>
  <c r="BG543" i="162"/>
  <c r="BG425" i="162"/>
  <c r="BG396" i="162"/>
  <c r="BG481" i="162"/>
  <c r="BG490" i="162"/>
  <c r="BG433" i="162"/>
  <c r="BG418" i="162"/>
  <c r="BG520" i="162"/>
  <c r="BG528" i="162"/>
  <c r="BG522" i="162"/>
  <c r="BG408" i="162"/>
  <c r="BG518" i="162"/>
  <c r="BG402" i="162"/>
  <c r="BG509" i="162"/>
  <c r="BG407" i="162"/>
  <c r="BG470" i="162"/>
  <c r="BG497" i="162"/>
  <c r="BG411" i="162"/>
  <c r="BG535" i="162"/>
  <c r="BG442" i="162"/>
  <c r="BG403" i="162"/>
  <c r="AF120" i="162"/>
  <c r="AF125" i="162"/>
  <c r="AF108" i="162"/>
  <c r="AF84" i="162"/>
  <c r="AF146" i="162"/>
  <c r="AF95" i="162"/>
  <c r="AF116" i="162"/>
  <c r="AF75" i="162"/>
  <c r="AF59" i="162"/>
  <c r="AF171" i="162"/>
  <c r="AF81" i="162"/>
  <c r="AF89" i="162"/>
  <c r="AF115" i="162"/>
  <c r="AF96" i="162"/>
  <c r="AF117" i="162"/>
  <c r="AF168" i="162"/>
  <c r="AF77" i="162"/>
  <c r="AF154" i="162"/>
  <c r="AF156" i="162"/>
  <c r="AF162" i="162"/>
  <c r="AF157" i="162"/>
  <c r="AF145" i="162"/>
  <c r="AF126" i="162"/>
  <c r="AF160" i="162"/>
  <c r="AF102" i="162"/>
  <c r="AF79" i="162"/>
  <c r="AF67" i="162"/>
  <c r="AF147" i="162"/>
  <c r="AF93" i="162"/>
  <c r="AF66" i="162"/>
  <c r="AF136" i="162"/>
  <c r="AF169" i="162"/>
  <c r="AF73" i="162"/>
  <c r="AF123" i="162"/>
  <c r="AF111" i="162"/>
  <c r="AF85" i="162"/>
  <c r="AF179" i="162"/>
  <c r="AF106" i="162"/>
  <c r="AF131" i="162"/>
  <c r="AF105" i="162"/>
  <c r="AF137" i="162"/>
  <c r="AF134" i="162"/>
  <c r="AF130" i="162"/>
  <c r="AF94" i="162"/>
  <c r="AF72" i="162"/>
  <c r="AF100" i="162"/>
  <c r="AF166" i="162"/>
  <c r="AF65" i="162"/>
  <c r="AF70" i="162"/>
  <c r="AF118" i="162"/>
  <c r="AF62" i="162"/>
  <c r="AF175" i="162"/>
  <c r="AF64" i="162"/>
  <c r="AF133" i="162"/>
  <c r="AF119" i="162"/>
  <c r="AF163" i="162"/>
  <c r="AF71" i="162"/>
  <c r="AF165" i="162"/>
  <c r="AF155" i="162"/>
  <c r="AF138" i="162"/>
  <c r="AF180" i="162"/>
  <c r="AF150" i="162"/>
  <c r="AF158" i="162"/>
  <c r="AF107" i="162"/>
  <c r="AF164" i="162"/>
  <c r="AF177" i="162"/>
  <c r="AF124" i="162"/>
  <c r="AF103" i="162"/>
  <c r="AF178" i="162"/>
  <c r="AF98" i="162"/>
  <c r="AF141" i="162"/>
  <c r="AF140" i="162"/>
  <c r="AF68" i="162"/>
  <c r="AF143" i="162"/>
  <c r="AF74" i="162"/>
  <c r="AF60" i="162"/>
  <c r="AF152" i="162"/>
  <c r="AF176" i="162"/>
  <c r="AF144" i="162"/>
  <c r="AF112" i="162"/>
  <c r="AF170" i="162"/>
  <c r="AF167" i="162"/>
  <c r="AF110" i="162"/>
  <c r="AF82" i="162"/>
  <c r="AF114" i="162"/>
  <c r="AF86" i="162"/>
  <c r="AF99" i="162"/>
  <c r="AF173" i="162"/>
  <c r="AF104" i="162"/>
  <c r="AF78" i="162"/>
  <c r="AF148" i="162"/>
  <c r="AF129" i="162"/>
  <c r="AF135" i="162"/>
  <c r="AF128" i="162"/>
  <c r="AF90" i="162"/>
  <c r="AF109" i="162"/>
  <c r="AF151" i="162"/>
  <c r="AF58" i="162"/>
  <c r="AF91" i="162"/>
  <c r="AF92" i="162"/>
  <c r="AF88" i="162"/>
  <c r="AF149" i="162"/>
  <c r="AF113" i="162"/>
  <c r="AF122" i="162"/>
  <c r="AF121" i="162"/>
  <c r="AF159" i="162"/>
  <c r="AF161" i="162"/>
  <c r="AF174" i="162"/>
  <c r="AF153" i="162"/>
  <c r="AF83" i="162"/>
  <c r="AF101" i="162"/>
  <c r="AF97" i="162"/>
  <c r="AF142" i="162"/>
  <c r="AF61" i="162"/>
  <c r="AF80" i="162"/>
  <c r="AF127" i="162"/>
  <c r="AF87" i="162"/>
  <c r="AF69" i="162"/>
  <c r="AF63" i="162"/>
  <c r="AF132" i="162"/>
  <c r="AF139" i="162"/>
  <c r="AF76" i="162"/>
  <c r="AF172" i="162"/>
  <c r="BG531" i="162"/>
  <c r="BG419" i="162"/>
  <c r="BG516" i="162"/>
  <c r="BG393" i="162"/>
  <c r="BG410" i="162"/>
  <c r="BG459" i="162"/>
  <c r="BG390" i="162"/>
  <c r="BG401" i="162"/>
  <c r="BG496" i="162"/>
  <c r="BG537" i="162"/>
  <c r="BG389" i="162"/>
  <c r="BG487" i="162"/>
  <c r="BG466" i="162"/>
  <c r="BG512" i="162"/>
  <c r="BG524" i="162"/>
  <c r="BG471" i="162"/>
  <c r="BG429" i="162"/>
  <c r="BG445" i="162"/>
  <c r="BG394" i="162"/>
  <c r="BG416" i="162"/>
  <c r="BG420" i="162"/>
  <c r="BG400" i="162"/>
  <c r="BG507" i="162"/>
  <c r="BG465" i="162"/>
  <c r="BG478" i="162"/>
  <c r="BG540" i="162"/>
  <c r="BG502" i="162"/>
  <c r="BG521" i="162"/>
  <c r="BG413" i="162"/>
  <c r="BG526" i="162"/>
  <c r="BG476" i="162"/>
  <c r="BG495" i="162"/>
  <c r="BG498" i="162"/>
  <c r="BG539" i="162"/>
  <c r="BG436" i="162"/>
  <c r="BG452" i="162"/>
  <c r="BG448" i="162"/>
  <c r="BG414" i="162"/>
  <c r="BG457" i="162"/>
  <c r="BG421" i="162"/>
  <c r="BG423" i="162"/>
  <c r="BG473" i="162"/>
  <c r="BG467" i="162"/>
  <c r="BG431" i="162"/>
  <c r="BG456" i="162"/>
  <c r="BG397" i="162"/>
  <c r="BG511" i="162"/>
  <c r="BG399" i="162"/>
  <c r="BG424" i="162"/>
  <c r="BG491" i="162"/>
  <c r="BG458" i="162"/>
  <c r="BG460" i="162"/>
  <c r="BG493" i="162"/>
  <c r="BG533" i="162"/>
  <c r="BG451" i="162"/>
  <c r="BG453" i="162"/>
  <c r="BG506" i="162"/>
  <c r="BG469" i="162"/>
  <c r="BG480" i="162"/>
  <c r="BG527" i="162"/>
  <c r="BG417" i="162"/>
  <c r="BG504" i="162"/>
  <c r="BG505" i="162"/>
  <c r="BG519" i="162"/>
  <c r="BG430" i="162"/>
  <c r="BG461" i="162"/>
  <c r="BG449" i="162"/>
  <c r="BG438" i="162"/>
  <c r="BG485" i="162"/>
  <c r="BG532" i="162"/>
  <c r="BG477" i="162"/>
  <c r="BG492" i="162"/>
  <c r="BG483" i="162"/>
  <c r="BG427" i="162"/>
  <c r="BG409" i="162"/>
  <c r="BG446" i="162"/>
  <c r="BG479" i="162"/>
  <c r="BG444" i="162"/>
  <c r="BG500" i="162"/>
  <c r="BG508" i="162"/>
  <c r="BG455" i="162"/>
  <c r="BG499" i="162"/>
  <c r="BG404" i="162"/>
  <c r="BG435" i="162"/>
  <c r="BG503" i="162"/>
  <c r="BG434" i="162"/>
  <c r="BG464" i="162"/>
  <c r="BG475" i="162"/>
  <c r="BG462" i="162"/>
  <c r="BG463" i="162"/>
  <c r="BG391" i="162"/>
  <c r="BG536" i="162"/>
  <c r="BG398" i="162"/>
  <c r="BG488" i="162"/>
  <c r="BG440" i="162"/>
  <c r="BG513" i="162"/>
  <c r="BG468" i="162"/>
  <c r="BG405" i="162"/>
  <c r="BG432" i="162"/>
  <c r="BG529" i="162"/>
  <c r="BG426" i="162"/>
  <c r="BG395" i="162"/>
  <c r="BG489" i="162"/>
  <c r="BG437" i="162"/>
  <c r="BG412" i="162"/>
  <c r="BG454" i="162"/>
  <c r="BG542" i="162"/>
  <c r="BG544" i="162"/>
  <c r="BG486" i="162"/>
  <c r="BG450" i="162"/>
  <c r="BG515" i="162"/>
  <c r="BG538" i="162"/>
  <c r="BG406" i="162"/>
  <c r="BG472" i="162"/>
  <c r="BG447" i="162"/>
  <c r="BG541" i="162"/>
  <c r="BG494" i="162"/>
  <c r="BG422" i="162"/>
  <c r="BG514" i="162"/>
  <c r="BG530" i="162"/>
  <c r="BG482" i="162"/>
  <c r="BG388" i="162"/>
  <c r="BG510" i="162"/>
  <c r="BG439" i="162"/>
  <c r="BG484" i="162"/>
  <c r="BG523" i="162"/>
  <c r="BG441" i="162"/>
  <c r="BG415" i="162"/>
  <c r="BG392" i="162"/>
  <c r="BG534" i="162"/>
  <c r="BG428" i="162"/>
  <c r="AF18" i="162"/>
  <c r="AF51" i="162"/>
  <c r="AF27" i="162"/>
  <c r="AF57" i="162"/>
  <c r="AF39" i="162"/>
  <c r="AF35" i="162"/>
  <c r="AF34" i="162"/>
  <c r="AF38" i="162"/>
  <c r="AF41" i="162"/>
  <c r="AF37" i="162"/>
  <c r="AF44" i="162"/>
  <c r="AF46" i="162"/>
  <c r="AF45" i="162"/>
  <c r="AF55" i="162"/>
  <c r="AF54" i="162"/>
  <c r="AF24" i="162"/>
  <c r="AF36" i="162"/>
  <c r="AF48" i="162"/>
  <c r="AF32" i="162"/>
  <c r="AF43" i="162"/>
  <c r="AF53" i="162"/>
  <c r="AF56" i="162"/>
  <c r="AF52" i="162"/>
  <c r="AF33" i="162"/>
  <c r="AF42" i="162"/>
  <c r="AF26" i="162"/>
  <c r="AF40" i="162"/>
  <c r="AF50" i="162"/>
  <c r="AF47" i="162"/>
  <c r="AF28" i="162"/>
  <c r="AF25" i="162"/>
  <c r="AF29" i="162"/>
  <c r="AF30" i="162"/>
  <c r="AF31" i="162"/>
  <c r="AF49" i="162"/>
  <c r="AF22" i="162"/>
  <c r="AF10" i="162"/>
  <c r="AI10" i="162" s="1"/>
  <c r="AF11" i="162"/>
  <c r="AI11" i="162" s="1"/>
  <c r="AF19" i="162"/>
  <c r="AF4" i="162"/>
  <c r="AE4" i="162" s="1"/>
  <c r="AK4" i="162" s="1"/>
  <c r="AF21" i="162"/>
  <c r="AF5" i="162"/>
  <c r="AI5" i="162" s="1"/>
  <c r="AJ4" i="162"/>
  <c r="H44" i="154"/>
  <c r="I44" i="154" s="1"/>
  <c r="B105" i="154"/>
  <c r="B82" i="155"/>
  <c r="BG376" i="162"/>
  <c r="BG377" i="162"/>
  <c r="BG375" i="162"/>
  <c r="BG378" i="162"/>
  <c r="BG383" i="162"/>
  <c r="BG382" i="162"/>
  <c r="BG387" i="162"/>
  <c r="AF7" i="162"/>
  <c r="AI7" i="162" s="1"/>
  <c r="BG380" i="162"/>
  <c r="BG371" i="162"/>
  <c r="BG386" i="162"/>
  <c r="AF16" i="162"/>
  <c r="BG384" i="162"/>
  <c r="BG374" i="162"/>
  <c r="AF20" i="162"/>
  <c r="BG370" i="162"/>
  <c r="AF8" i="162"/>
  <c r="AI8" i="162" s="1"/>
  <c r="BG369" i="162"/>
  <c r="AG5" i="162" s="1"/>
  <c r="BG385" i="162"/>
  <c r="AF12" i="162"/>
  <c r="BG379" i="162"/>
  <c r="AF23" i="162"/>
  <c r="AF13" i="162"/>
  <c r="AF14" i="162"/>
  <c r="AF9" i="162"/>
  <c r="AI9" i="162" s="1"/>
  <c r="BG381" i="162"/>
  <c r="AF15" i="162"/>
  <c r="BG372" i="162"/>
  <c r="BG373" i="162"/>
  <c r="AI6" i="162"/>
  <c r="AF63" i="129"/>
  <c r="AF119" i="129" s="1"/>
  <c r="AD3" i="129"/>
  <c r="AE3" i="129"/>
  <c r="AC3" i="129"/>
  <c r="AB3" i="129"/>
  <c r="AL65" i="158"/>
  <c r="AL66" i="158"/>
  <c r="AL67" i="158"/>
  <c r="AL68" i="158"/>
  <c r="AL69" i="158"/>
  <c r="AL70" i="158"/>
  <c r="AL71" i="158"/>
  <c r="AL72" i="158"/>
  <c r="AF64" i="158"/>
  <c r="AE64" i="158"/>
  <c r="AK34" i="158"/>
  <c r="AI73" i="158"/>
  <c r="AG73" i="158"/>
  <c r="AK73" i="158" s="1"/>
  <c r="AF73" i="158"/>
  <c r="AE73" i="158"/>
  <c r="AJ72" i="158"/>
  <c r="AI72" i="158"/>
  <c r="AG72" i="158"/>
  <c r="AF72" i="158"/>
  <c r="AE72" i="158"/>
  <c r="AJ71" i="158"/>
  <c r="AI71" i="158"/>
  <c r="AG71" i="158"/>
  <c r="AK71" i="158" s="1"/>
  <c r="AF71" i="158"/>
  <c r="AE71" i="158"/>
  <c r="AJ70" i="158"/>
  <c r="AI70" i="158"/>
  <c r="AG70" i="158"/>
  <c r="AK70" i="158" s="1"/>
  <c r="AF70" i="158"/>
  <c r="AE70" i="158"/>
  <c r="AJ69" i="158"/>
  <c r="AI69" i="158"/>
  <c r="AG69" i="158"/>
  <c r="AK69" i="158" s="1"/>
  <c r="AF69" i="158"/>
  <c r="AE69" i="158"/>
  <c r="AJ68" i="158"/>
  <c r="AI68" i="158"/>
  <c r="AG68" i="158"/>
  <c r="AF68" i="158"/>
  <c r="AE68" i="158"/>
  <c r="AJ67" i="158"/>
  <c r="AI67" i="158"/>
  <c r="AG67" i="158"/>
  <c r="AF67" i="158"/>
  <c r="AE67" i="158"/>
  <c r="AJ66" i="158"/>
  <c r="AI66" i="158"/>
  <c r="AG66" i="158"/>
  <c r="AF66" i="158"/>
  <c r="AE66" i="158"/>
  <c r="AJ65" i="158"/>
  <c r="AI65" i="158"/>
  <c r="AG65" i="158"/>
  <c r="AF65" i="158"/>
  <c r="AE65" i="158"/>
  <c r="AI64" i="158"/>
  <c r="AG64" i="158"/>
  <c r="AK64" i="158" s="1"/>
  <c r="AK43" i="158"/>
  <c r="AH73" i="158"/>
  <c r="AK42" i="158"/>
  <c r="AH72" i="158"/>
  <c r="AK41" i="158"/>
  <c r="AH71" i="158"/>
  <c r="AK40" i="158"/>
  <c r="AH70" i="158"/>
  <c r="AK39" i="158"/>
  <c r="AH69" i="158"/>
  <c r="AK38" i="158"/>
  <c r="AH68" i="158"/>
  <c r="AK37" i="158"/>
  <c r="AH67" i="158"/>
  <c r="AK36" i="158"/>
  <c r="AH66" i="158"/>
  <c r="AH35" i="158"/>
  <c r="AH65" i="158" s="1"/>
  <c r="AH34" i="158"/>
  <c r="AH64" i="158" s="1"/>
  <c r="AJ120" i="129"/>
  <c r="AJ121" i="129"/>
  <c r="AJ122" i="129"/>
  <c r="AJ123" i="129"/>
  <c r="AJ124" i="129"/>
  <c r="AJ125" i="129"/>
  <c r="AJ126" i="129"/>
  <c r="AC118" i="129"/>
  <c r="AF118" i="129"/>
  <c r="AG118" i="129"/>
  <c r="AK63" i="129"/>
  <c r="AI63" i="129"/>
  <c r="AK119" i="129" s="1"/>
  <c r="AB5" i="129"/>
  <c r="G4" i="164" s="1"/>
  <c r="AB4" i="129"/>
  <c r="G3" i="164" s="1"/>
  <c r="AC126" i="129"/>
  <c r="AC125" i="129"/>
  <c r="AC124" i="129"/>
  <c r="AC123" i="129"/>
  <c r="AC122" i="129"/>
  <c r="AC121" i="129"/>
  <c r="AC120" i="129"/>
  <c r="AC119" i="129"/>
  <c r="AI64" i="129"/>
  <c r="AK120" i="129" s="1"/>
  <c r="AJ63" i="129"/>
  <c r="AJ119" i="129" s="1"/>
  <c r="D48" i="129"/>
  <c r="D51" i="129" s="1"/>
  <c r="D46" i="129"/>
  <c r="D45" i="129"/>
  <c r="D50" i="129" s="1"/>
  <c r="B38" i="129"/>
  <c r="B37" i="129"/>
  <c r="B36" i="129"/>
  <c r="B35" i="129"/>
  <c r="D35" i="129" s="1"/>
  <c r="D28" i="129"/>
  <c r="D31" i="129" s="1"/>
  <c r="D27" i="129"/>
  <c r="D26" i="129"/>
  <c r="D25" i="129"/>
  <c r="AA12" i="162" l="1"/>
  <c r="D10" i="164"/>
  <c r="AA193" i="162"/>
  <c r="AA375" i="162" s="1"/>
  <c r="AK72" i="158"/>
  <c r="AK66" i="158"/>
  <c r="AK67" i="158"/>
  <c r="AK68" i="158"/>
  <c r="AN73" i="158"/>
  <c r="BB73" i="158" s="1"/>
  <c r="AK65" i="158"/>
  <c r="AC14" i="158"/>
  <c r="AC45" i="158"/>
  <c r="AC74" i="158"/>
  <c r="BG73" i="158"/>
  <c r="AS73" i="158"/>
  <c r="AQ73" i="158"/>
  <c r="AR73" i="158"/>
  <c r="AP73" i="158"/>
  <c r="AT73" i="158"/>
  <c r="AU73" i="158"/>
  <c r="AV73" i="158"/>
  <c r="AW73" i="158"/>
  <c r="AX73" i="158"/>
  <c r="AY73" i="158"/>
  <c r="AL84" i="129"/>
  <c r="AL140" i="129" s="1"/>
  <c r="AN140" i="129" s="1"/>
  <c r="AL104" i="129"/>
  <c r="AL160" i="129" s="1"/>
  <c r="AN160" i="129" s="1"/>
  <c r="AL109" i="129"/>
  <c r="AL165" i="129" s="1"/>
  <c r="AN165" i="129" s="1"/>
  <c r="AL114" i="129"/>
  <c r="AL170" i="129" s="1"/>
  <c r="AN170" i="129" s="1"/>
  <c r="AL85" i="129"/>
  <c r="AL141" i="129" s="1"/>
  <c r="AN141" i="129" s="1"/>
  <c r="AL90" i="129"/>
  <c r="AL146" i="129" s="1"/>
  <c r="AN146" i="129" s="1"/>
  <c r="AL95" i="129"/>
  <c r="AL151" i="129" s="1"/>
  <c r="AN151" i="129" s="1"/>
  <c r="AL100" i="129"/>
  <c r="AL156" i="129" s="1"/>
  <c r="AN156" i="129" s="1"/>
  <c r="AL110" i="129"/>
  <c r="AL166" i="129" s="1"/>
  <c r="AN166" i="129" s="1"/>
  <c r="AL86" i="129"/>
  <c r="AL142" i="129" s="1"/>
  <c r="AN142" i="129" s="1"/>
  <c r="AL91" i="129"/>
  <c r="AL147" i="129" s="1"/>
  <c r="AN147" i="129" s="1"/>
  <c r="AL96" i="129"/>
  <c r="AL152" i="129" s="1"/>
  <c r="AN152" i="129" s="1"/>
  <c r="AL101" i="129"/>
  <c r="AL157" i="129" s="1"/>
  <c r="AN157" i="129" s="1"/>
  <c r="AL106" i="129"/>
  <c r="AL162" i="129" s="1"/>
  <c r="AN162" i="129" s="1"/>
  <c r="AL111" i="129"/>
  <c r="AL167" i="129" s="1"/>
  <c r="AN167" i="129" s="1"/>
  <c r="AL87" i="129"/>
  <c r="AL143" i="129" s="1"/>
  <c r="AN143" i="129" s="1"/>
  <c r="AL97" i="129"/>
  <c r="AL153" i="129" s="1"/>
  <c r="AN153" i="129" s="1"/>
  <c r="AL102" i="129"/>
  <c r="AL158" i="129" s="1"/>
  <c r="AN158" i="129" s="1"/>
  <c r="AL107" i="129"/>
  <c r="AL163" i="129" s="1"/>
  <c r="AN163" i="129" s="1"/>
  <c r="AL112" i="129"/>
  <c r="AL168" i="129" s="1"/>
  <c r="AN168" i="129" s="1"/>
  <c r="AL99" i="129"/>
  <c r="AL155" i="129" s="1"/>
  <c r="AN155" i="129" s="1"/>
  <c r="AL89" i="129"/>
  <c r="AL145" i="129" s="1"/>
  <c r="AN145" i="129" s="1"/>
  <c r="AL105" i="129"/>
  <c r="AL161" i="129" s="1"/>
  <c r="AN161" i="129" s="1"/>
  <c r="AL92" i="129"/>
  <c r="AL148" i="129" s="1"/>
  <c r="AN148" i="129" s="1"/>
  <c r="AL83" i="129"/>
  <c r="AL139" i="129" s="1"/>
  <c r="AN139" i="129" s="1"/>
  <c r="AL88" i="129"/>
  <c r="AL144" i="129" s="1"/>
  <c r="AN144" i="129" s="1"/>
  <c r="AL93" i="129"/>
  <c r="AL149" i="129" s="1"/>
  <c r="AN149" i="129" s="1"/>
  <c r="AL98" i="129"/>
  <c r="AL154" i="129" s="1"/>
  <c r="AN154" i="129" s="1"/>
  <c r="AL103" i="129"/>
  <c r="AL159" i="129" s="1"/>
  <c r="AN159" i="129" s="1"/>
  <c r="AL108" i="129"/>
  <c r="AL164" i="129" s="1"/>
  <c r="AN164" i="129" s="1"/>
  <c r="AL113" i="129"/>
  <c r="AL169" i="129" s="1"/>
  <c r="AN169" i="129" s="1"/>
  <c r="AL94" i="129"/>
  <c r="AL150" i="129" s="1"/>
  <c r="AN150" i="129" s="1"/>
  <c r="BH118" i="129"/>
  <c r="AB63" i="129"/>
  <c r="AB7" i="129"/>
  <c r="G6" i="164" s="1"/>
  <c r="AB119" i="129"/>
  <c r="AK4" i="129"/>
  <c r="AB120" i="129"/>
  <c r="AB64" i="129"/>
  <c r="AI4" i="162"/>
  <c r="AH4" i="162" s="1"/>
  <c r="E3" i="164" s="1"/>
  <c r="AN70" i="158"/>
  <c r="AN66" i="158"/>
  <c r="AN67" i="158"/>
  <c r="AN71" i="158"/>
  <c r="AN72" i="158"/>
  <c r="AN68" i="158"/>
  <c r="AN65" i="158"/>
  <c r="AN69" i="158"/>
  <c r="AN64" i="158"/>
  <c r="AE5" i="162"/>
  <c r="AK5" i="162" s="1"/>
  <c r="AJ5" i="162"/>
  <c r="AH5" i="162" s="1"/>
  <c r="E4" i="164" s="1"/>
  <c r="AL74" i="129"/>
  <c r="AL130" i="129" s="1"/>
  <c r="AN130" i="129" s="1"/>
  <c r="AL79" i="129"/>
  <c r="AL135" i="129" s="1"/>
  <c r="AN135" i="129" s="1"/>
  <c r="AL80" i="129"/>
  <c r="AL136" i="129" s="1"/>
  <c r="AN136" i="129" s="1"/>
  <c r="AL71" i="129"/>
  <c r="AL127" i="129" s="1"/>
  <c r="AN127" i="129" s="1"/>
  <c r="AL81" i="129"/>
  <c r="AL137" i="129" s="1"/>
  <c r="AN137" i="129" s="1"/>
  <c r="AL72" i="129"/>
  <c r="AL128" i="129" s="1"/>
  <c r="AN128" i="129" s="1"/>
  <c r="AL82" i="129"/>
  <c r="AL138" i="129" s="1"/>
  <c r="AN138" i="129" s="1"/>
  <c r="AL73" i="129"/>
  <c r="AL129" i="129" s="1"/>
  <c r="AN129" i="129" s="1"/>
  <c r="AL75" i="129"/>
  <c r="AL131" i="129" s="1"/>
  <c r="AN131" i="129" s="1"/>
  <c r="AL76" i="129"/>
  <c r="AL132" i="129" s="1"/>
  <c r="AN132" i="129" s="1"/>
  <c r="AL77" i="129"/>
  <c r="AL133" i="129" s="1"/>
  <c r="AN133" i="129" s="1"/>
  <c r="AL78" i="129"/>
  <c r="AL134" i="129" s="1"/>
  <c r="AN134" i="129" s="1"/>
  <c r="AL67" i="129"/>
  <c r="AL123" i="129" s="1"/>
  <c r="AL66" i="129"/>
  <c r="AL122" i="129" s="1"/>
  <c r="AL68" i="129"/>
  <c r="AL124" i="129" s="1"/>
  <c r="AL69" i="129"/>
  <c r="AL125" i="129" s="1"/>
  <c r="AL70" i="129"/>
  <c r="AL126" i="129" s="1"/>
  <c r="AL64" i="129"/>
  <c r="AL120" i="129" s="1"/>
  <c r="AL65" i="129"/>
  <c r="AL121" i="129" s="1"/>
  <c r="AI120" i="129"/>
  <c r="AG63" i="129"/>
  <c r="AG119" i="129" s="1"/>
  <c r="AG6" i="162"/>
  <c r="AE6" i="162" s="1"/>
  <c r="AF64" i="129"/>
  <c r="AF120" i="129" s="1"/>
  <c r="AN119" i="129"/>
  <c r="AI119" i="129"/>
  <c r="D30" i="129"/>
  <c r="AG65" i="129"/>
  <c r="AG121" i="129" s="1"/>
  <c r="AF121" i="129"/>
  <c r="AF122" i="129"/>
  <c r="AG66" i="129"/>
  <c r="AG122" i="129" s="1"/>
  <c r="D37" i="129"/>
  <c r="D38" i="129"/>
  <c r="D41" i="129" s="1"/>
  <c r="D36" i="129"/>
  <c r="D40" i="129" s="1"/>
  <c r="AA13" i="162" l="1"/>
  <c r="D11" i="164"/>
  <c r="AA194" i="162"/>
  <c r="AA376" i="162" s="1"/>
  <c r="BF73" i="158"/>
  <c r="BE73" i="158"/>
  <c r="AO73" i="158"/>
  <c r="BD73" i="158"/>
  <c r="BA73" i="158"/>
  <c r="BC73" i="158"/>
  <c r="AZ73" i="158"/>
  <c r="AC46" i="158"/>
  <c r="AC15" i="158"/>
  <c r="AC75" i="158"/>
  <c r="AS66" i="158"/>
  <c r="AT66" i="158"/>
  <c r="AZ66" i="158"/>
  <c r="AU66" i="158"/>
  <c r="AV66" i="158"/>
  <c r="AW66" i="158"/>
  <c r="AX66" i="158"/>
  <c r="AY66" i="158"/>
  <c r="AP66" i="158"/>
  <c r="AR66" i="158"/>
  <c r="AQ66" i="158"/>
  <c r="BA66" i="158"/>
  <c r="BB66" i="158"/>
  <c r="BD66" i="158"/>
  <c r="BE66" i="158"/>
  <c r="BG66" i="158"/>
  <c r="BC66" i="158"/>
  <c r="BF66" i="158"/>
  <c r="BC71" i="158"/>
  <c r="BD71" i="158"/>
  <c r="BG71" i="158"/>
  <c r="AP71" i="158"/>
  <c r="BE71" i="158"/>
  <c r="BF71" i="158"/>
  <c r="AQ71" i="158"/>
  <c r="AW71" i="158"/>
  <c r="AR71" i="158"/>
  <c r="AT71" i="158"/>
  <c r="AY71" i="158"/>
  <c r="AZ71" i="158"/>
  <c r="AS71" i="158"/>
  <c r="AU71" i="158"/>
  <c r="AV71" i="158"/>
  <c r="AX71" i="158"/>
  <c r="BA71" i="158"/>
  <c r="BB71" i="158"/>
  <c r="AU67" i="158"/>
  <c r="BB67" i="158"/>
  <c r="AV67" i="158"/>
  <c r="AY67" i="158"/>
  <c r="AZ67" i="158"/>
  <c r="BA67" i="158"/>
  <c r="AW67" i="158"/>
  <c r="AX67" i="158"/>
  <c r="AQ67" i="158"/>
  <c r="BD67" i="158"/>
  <c r="AR67" i="158"/>
  <c r="AT67" i="158"/>
  <c r="BC67" i="158"/>
  <c r="AS67" i="158"/>
  <c r="BE67" i="158"/>
  <c r="BF67" i="158"/>
  <c r="BG67" i="158"/>
  <c r="AP67" i="158"/>
  <c r="BA70" i="158"/>
  <c r="BB70" i="158"/>
  <c r="BC70" i="158"/>
  <c r="BD70" i="158"/>
  <c r="BE70" i="158"/>
  <c r="BF70" i="158"/>
  <c r="BG70" i="158"/>
  <c r="AQ70" i="158"/>
  <c r="AR70" i="158"/>
  <c r="AP70" i="158"/>
  <c r="AW70" i="158"/>
  <c r="AU70" i="158"/>
  <c r="AX70" i="158"/>
  <c r="AZ70" i="158"/>
  <c r="AS70" i="158"/>
  <c r="AV70" i="158"/>
  <c r="AY70" i="158"/>
  <c r="AT70" i="158"/>
  <c r="BE72" i="158"/>
  <c r="AR72" i="158"/>
  <c r="BF72" i="158"/>
  <c r="AP72" i="158"/>
  <c r="AQ72" i="158"/>
  <c r="BG72" i="158"/>
  <c r="BA72" i="158"/>
  <c r="BB72" i="158"/>
  <c r="BC72" i="158"/>
  <c r="BD72" i="158"/>
  <c r="AT72" i="158"/>
  <c r="AW72" i="158"/>
  <c r="AS72" i="158"/>
  <c r="AU72" i="158"/>
  <c r="AX72" i="158"/>
  <c r="AY72" i="158"/>
  <c r="AV72" i="158"/>
  <c r="AZ72" i="158"/>
  <c r="AP64" i="158"/>
  <c r="AT64" i="158"/>
  <c r="AU64" i="158"/>
  <c r="AQ64" i="158"/>
  <c r="AR64" i="158"/>
  <c r="AS64" i="158"/>
  <c r="AV64" i="158"/>
  <c r="AW64" i="158"/>
  <c r="AY64" i="158"/>
  <c r="AZ64" i="158"/>
  <c r="AX64" i="158"/>
  <c r="BA64" i="158"/>
  <c r="BC64" i="158"/>
  <c r="BD64" i="158"/>
  <c r="BE64" i="158"/>
  <c r="BF64" i="158"/>
  <c r="BG64" i="158"/>
  <c r="BB64" i="158"/>
  <c r="AY69" i="158"/>
  <c r="BD69" i="158"/>
  <c r="BF69" i="158"/>
  <c r="AZ69" i="158"/>
  <c r="BE69" i="158"/>
  <c r="BA69" i="158"/>
  <c r="BB69" i="158"/>
  <c r="BC69" i="158"/>
  <c r="AQ69" i="158"/>
  <c r="AU69" i="158"/>
  <c r="AV69" i="158"/>
  <c r="AR69" i="158"/>
  <c r="AT69" i="158"/>
  <c r="AW69" i="158"/>
  <c r="AX69" i="158"/>
  <c r="BG69" i="158"/>
  <c r="AS69" i="158"/>
  <c r="AP69" i="158"/>
  <c r="AQ65" i="158"/>
  <c r="AU65" i="158"/>
  <c r="AV65" i="158"/>
  <c r="AW65" i="158"/>
  <c r="AX65" i="158"/>
  <c r="AR65" i="158"/>
  <c r="AT65" i="158"/>
  <c r="AS65" i="158"/>
  <c r="AY65" i="158"/>
  <c r="BE65" i="158"/>
  <c r="AZ65" i="158"/>
  <c r="BB65" i="158"/>
  <c r="BD65" i="158"/>
  <c r="BF65" i="158"/>
  <c r="BA65" i="158"/>
  <c r="BC65" i="158"/>
  <c r="BG65" i="158"/>
  <c r="AP65" i="158"/>
  <c r="AW68" i="158"/>
  <c r="BC68" i="158"/>
  <c r="AX68" i="158"/>
  <c r="BB68" i="158"/>
  <c r="AY68" i="158"/>
  <c r="AZ68" i="158"/>
  <c r="BA68" i="158"/>
  <c r="BD68" i="158"/>
  <c r="AQ68" i="158"/>
  <c r="AR68" i="158"/>
  <c r="AP68" i="158"/>
  <c r="AS68" i="158"/>
  <c r="AT68" i="158"/>
  <c r="BE68" i="158"/>
  <c r="BF68" i="158"/>
  <c r="AU68" i="158"/>
  <c r="AV68" i="158"/>
  <c r="BG68" i="158"/>
  <c r="BH74" i="158"/>
  <c r="AQ143" i="129"/>
  <c r="AV143" i="129"/>
  <c r="AR143" i="129"/>
  <c r="AS143" i="129"/>
  <c r="AT143" i="129"/>
  <c r="AU143" i="129"/>
  <c r="AW143" i="129"/>
  <c r="AX143" i="129"/>
  <c r="AY143" i="129"/>
  <c r="AP143" i="129"/>
  <c r="AO143" i="129"/>
  <c r="BA143" i="129"/>
  <c r="BB143" i="129"/>
  <c r="BC143" i="129"/>
  <c r="BD143" i="129"/>
  <c r="BE143" i="129"/>
  <c r="BF143" i="129"/>
  <c r="BG143" i="129"/>
  <c r="AZ143" i="129"/>
  <c r="AY167" i="129"/>
  <c r="BD167" i="129"/>
  <c r="AO167" i="129"/>
  <c r="AZ167" i="129"/>
  <c r="BA167" i="129"/>
  <c r="BB167" i="129"/>
  <c r="BC167" i="129"/>
  <c r="BE167" i="129"/>
  <c r="BF167" i="129"/>
  <c r="AP167" i="129"/>
  <c r="AU167" i="129"/>
  <c r="AQ167" i="129"/>
  <c r="AR167" i="129"/>
  <c r="AS167" i="129"/>
  <c r="AT167" i="129"/>
  <c r="AV167" i="129"/>
  <c r="AW167" i="129"/>
  <c r="AX167" i="129"/>
  <c r="BG167" i="129"/>
  <c r="AO162" i="129"/>
  <c r="AT162" i="129"/>
  <c r="AP162" i="129"/>
  <c r="AQ162" i="129"/>
  <c r="AR162" i="129"/>
  <c r="AS162" i="129"/>
  <c r="AU162" i="129"/>
  <c r="AV162" i="129"/>
  <c r="BC162" i="129"/>
  <c r="BD162" i="129"/>
  <c r="BE162" i="129"/>
  <c r="BF162" i="129"/>
  <c r="BG162" i="129"/>
  <c r="BA162" i="129"/>
  <c r="BB162" i="129"/>
  <c r="AW162" i="129"/>
  <c r="AX162" i="129"/>
  <c r="AY162" i="129"/>
  <c r="AZ162" i="129"/>
  <c r="AQ163" i="129"/>
  <c r="AV163" i="129"/>
  <c r="AR163" i="129"/>
  <c r="AO163" i="129"/>
  <c r="AS163" i="129"/>
  <c r="AT163" i="129"/>
  <c r="AU163" i="129"/>
  <c r="AW163" i="129"/>
  <c r="AX163" i="129"/>
  <c r="AP163" i="129"/>
  <c r="AY163" i="129"/>
  <c r="AZ163" i="129"/>
  <c r="BA163" i="129"/>
  <c r="BB163" i="129"/>
  <c r="BC163" i="129"/>
  <c r="BG163" i="129"/>
  <c r="BD163" i="129"/>
  <c r="BE163" i="129"/>
  <c r="BF163" i="129"/>
  <c r="AY147" i="129"/>
  <c r="BD147" i="129"/>
  <c r="AO147" i="129"/>
  <c r="AZ147" i="129"/>
  <c r="BA147" i="129"/>
  <c r="BB147" i="129"/>
  <c r="BC147" i="129"/>
  <c r="BE147" i="129"/>
  <c r="BF147" i="129"/>
  <c r="AQ147" i="129"/>
  <c r="AR147" i="129"/>
  <c r="AP147" i="129"/>
  <c r="AT147" i="129"/>
  <c r="AU147" i="129"/>
  <c r="AX147" i="129"/>
  <c r="AS147" i="129"/>
  <c r="AV147" i="129"/>
  <c r="BG147" i="129"/>
  <c r="AW147" i="129"/>
  <c r="BC159" i="129"/>
  <c r="BD159" i="129"/>
  <c r="BE159" i="129"/>
  <c r="BF159" i="129"/>
  <c r="BG159" i="129"/>
  <c r="AP159" i="129"/>
  <c r="AS159" i="129"/>
  <c r="AX159" i="129"/>
  <c r="AT159" i="129"/>
  <c r="AU159" i="129"/>
  <c r="AV159" i="129"/>
  <c r="AW159" i="129"/>
  <c r="AY159" i="129"/>
  <c r="AZ159" i="129"/>
  <c r="BA159" i="129"/>
  <c r="BB159" i="129"/>
  <c r="AO159" i="129"/>
  <c r="AQ159" i="129"/>
  <c r="AR159" i="129"/>
  <c r="BC149" i="129"/>
  <c r="BD149" i="129"/>
  <c r="BE149" i="129"/>
  <c r="BF149" i="129"/>
  <c r="BG149" i="129"/>
  <c r="AP149" i="129"/>
  <c r="AO149" i="129"/>
  <c r="BA149" i="129"/>
  <c r="AR149" i="129"/>
  <c r="BB149" i="129"/>
  <c r="AQ149" i="129"/>
  <c r="AW149" i="129"/>
  <c r="AX149" i="129"/>
  <c r="AY149" i="129"/>
  <c r="AZ149" i="129"/>
  <c r="AS149" i="129"/>
  <c r="AT149" i="129"/>
  <c r="AU149" i="129"/>
  <c r="AV149" i="129"/>
  <c r="BA148" i="129"/>
  <c r="BF148" i="129"/>
  <c r="BB148" i="129"/>
  <c r="BC148" i="129"/>
  <c r="BD148" i="129"/>
  <c r="BE148" i="129"/>
  <c r="BG148" i="129"/>
  <c r="AO148" i="129"/>
  <c r="AQ148" i="129"/>
  <c r="AV148" i="129"/>
  <c r="AZ148" i="129"/>
  <c r="AR148" i="129"/>
  <c r="AS148" i="129"/>
  <c r="AT148" i="129"/>
  <c r="AU148" i="129"/>
  <c r="AW148" i="129"/>
  <c r="AX148" i="129"/>
  <c r="AY148" i="129"/>
  <c r="AP148" i="129"/>
  <c r="BE170" i="129"/>
  <c r="AP170" i="129"/>
  <c r="BF170" i="129"/>
  <c r="BG170" i="129"/>
  <c r="AQ170" i="129"/>
  <c r="AR170" i="129"/>
  <c r="AU170" i="129"/>
  <c r="AZ170" i="129"/>
  <c r="AV170" i="129"/>
  <c r="AW170" i="129"/>
  <c r="AO170" i="129"/>
  <c r="AX170" i="129"/>
  <c r="AY170" i="129"/>
  <c r="BA170" i="129"/>
  <c r="BB170" i="129"/>
  <c r="BC170" i="129"/>
  <c r="BD170" i="129"/>
  <c r="AS170" i="129"/>
  <c r="AT170" i="129"/>
  <c r="BA158" i="129"/>
  <c r="BF158" i="129"/>
  <c r="BB158" i="129"/>
  <c r="BC158" i="129"/>
  <c r="BD158" i="129"/>
  <c r="BE158" i="129"/>
  <c r="BG158" i="129"/>
  <c r="AS158" i="129"/>
  <c r="AP158" i="129"/>
  <c r="AQ158" i="129"/>
  <c r="AR158" i="129"/>
  <c r="AX158" i="129"/>
  <c r="AO158" i="129"/>
  <c r="BH158" i="129" s="1"/>
  <c r="AY158" i="129"/>
  <c r="AZ158" i="129"/>
  <c r="AT158" i="129"/>
  <c r="AU158" i="129"/>
  <c r="AV158" i="129"/>
  <c r="AW158" i="129"/>
  <c r="AY157" i="129"/>
  <c r="BD157" i="129"/>
  <c r="AZ157" i="129"/>
  <c r="BA157" i="129"/>
  <c r="BB157" i="129"/>
  <c r="BC157" i="129"/>
  <c r="BE157" i="129"/>
  <c r="BF157" i="129"/>
  <c r="AS157" i="129"/>
  <c r="AX157" i="129"/>
  <c r="AT157" i="129"/>
  <c r="AU157" i="129"/>
  <c r="AV157" i="129"/>
  <c r="AW157" i="129"/>
  <c r="BG157" i="129"/>
  <c r="AO157" i="129"/>
  <c r="AQ157" i="129"/>
  <c r="AR157" i="129"/>
  <c r="AP157" i="129"/>
  <c r="AS164" i="129"/>
  <c r="AX164" i="129"/>
  <c r="AT164" i="129"/>
  <c r="AU164" i="129"/>
  <c r="AO164" i="129"/>
  <c r="AV164" i="129"/>
  <c r="AW164" i="129"/>
  <c r="AY164" i="129"/>
  <c r="AZ164" i="129"/>
  <c r="BC164" i="129"/>
  <c r="BD164" i="129"/>
  <c r="BE164" i="129"/>
  <c r="BF164" i="129"/>
  <c r="BG164" i="129"/>
  <c r="AP164" i="129"/>
  <c r="AQ164" i="129"/>
  <c r="AR164" i="129"/>
  <c r="BA164" i="129"/>
  <c r="BB164" i="129"/>
  <c r="AS154" i="129"/>
  <c r="AX154" i="129"/>
  <c r="AT154" i="129"/>
  <c r="AU154" i="129"/>
  <c r="AV154" i="129"/>
  <c r="AW154" i="129"/>
  <c r="AY154" i="129"/>
  <c r="AZ154" i="129"/>
  <c r="BB154" i="129"/>
  <c r="BA154" i="129"/>
  <c r="AP154" i="129"/>
  <c r="AQ154" i="129"/>
  <c r="AR154" i="129"/>
  <c r="BC154" i="129"/>
  <c r="BD154" i="129"/>
  <c r="AO154" i="129"/>
  <c r="BH154" i="129" s="1"/>
  <c r="BE154" i="129"/>
  <c r="BF154" i="129"/>
  <c r="BG154" i="129"/>
  <c r="AS144" i="129"/>
  <c r="AX144" i="129"/>
  <c r="AT144" i="129"/>
  <c r="AU144" i="129"/>
  <c r="AV144" i="129"/>
  <c r="AW144" i="129"/>
  <c r="AY144" i="129"/>
  <c r="AZ144" i="129"/>
  <c r="BA144" i="129"/>
  <c r="AP144" i="129"/>
  <c r="BD144" i="129"/>
  <c r="AQ144" i="129"/>
  <c r="AR144" i="129"/>
  <c r="BG144" i="129"/>
  <c r="BB144" i="129"/>
  <c r="BC144" i="129"/>
  <c r="BE144" i="129"/>
  <c r="BF144" i="129"/>
  <c r="AO144" i="129"/>
  <c r="BG161" i="129"/>
  <c r="AR161" i="129"/>
  <c r="AP161" i="129"/>
  <c r="AQ161" i="129"/>
  <c r="AS161" i="129"/>
  <c r="AT161" i="129"/>
  <c r="AX161" i="129"/>
  <c r="BB161" i="129"/>
  <c r="BC161" i="129"/>
  <c r="AO161" i="129"/>
  <c r="AU161" i="129"/>
  <c r="AV161" i="129"/>
  <c r="AW161" i="129"/>
  <c r="AY161" i="129"/>
  <c r="AZ161" i="129"/>
  <c r="BA161" i="129"/>
  <c r="BE161" i="129"/>
  <c r="BF161" i="129"/>
  <c r="BD161" i="129"/>
  <c r="AU165" i="129"/>
  <c r="AZ165" i="129"/>
  <c r="AV165" i="129"/>
  <c r="AW165" i="129"/>
  <c r="AX165" i="129"/>
  <c r="AO165" i="129"/>
  <c r="AY165" i="129"/>
  <c r="BA165" i="129"/>
  <c r="BB165" i="129"/>
  <c r="AP165" i="129"/>
  <c r="BC165" i="129"/>
  <c r="AQ165" i="129"/>
  <c r="AR165" i="129"/>
  <c r="AS165" i="129"/>
  <c r="AT165" i="129"/>
  <c r="BD165" i="129"/>
  <c r="BE165" i="129"/>
  <c r="BF165" i="129"/>
  <c r="BG165" i="129"/>
  <c r="BC169" i="129"/>
  <c r="BD169" i="129"/>
  <c r="BE169" i="129"/>
  <c r="BF169" i="129"/>
  <c r="BG169" i="129"/>
  <c r="AP169" i="129"/>
  <c r="AO169" i="129"/>
  <c r="AT169" i="129"/>
  <c r="AU169" i="129"/>
  <c r="AQ169" i="129"/>
  <c r="AR169" i="129"/>
  <c r="AS169" i="129"/>
  <c r="AV169" i="129"/>
  <c r="AW169" i="129"/>
  <c r="AX169" i="129"/>
  <c r="BA169" i="129"/>
  <c r="BB169" i="129"/>
  <c r="AY169" i="129"/>
  <c r="AZ169" i="129"/>
  <c r="AW166" i="129"/>
  <c r="BB166" i="129"/>
  <c r="AX166" i="129"/>
  <c r="AY166" i="129"/>
  <c r="AZ166" i="129"/>
  <c r="BA166" i="129"/>
  <c r="AO166" i="129"/>
  <c r="BC166" i="129"/>
  <c r="BD166" i="129"/>
  <c r="AU166" i="129"/>
  <c r="AV166" i="129"/>
  <c r="BE166" i="129"/>
  <c r="BF166" i="129"/>
  <c r="BG166" i="129"/>
  <c r="AP166" i="129"/>
  <c r="AQ166" i="129"/>
  <c r="AR166" i="129"/>
  <c r="AS166" i="129"/>
  <c r="AT166" i="129"/>
  <c r="BG151" i="129"/>
  <c r="AR151" i="129"/>
  <c r="AP151" i="129"/>
  <c r="AQ151" i="129"/>
  <c r="AS151" i="129"/>
  <c r="AT151" i="129"/>
  <c r="BA151" i="129"/>
  <c r="BF151" i="129"/>
  <c r="BB151" i="129"/>
  <c r="BC151" i="129"/>
  <c r="BD151" i="129"/>
  <c r="BE151" i="129"/>
  <c r="AV151" i="129"/>
  <c r="AY151" i="129"/>
  <c r="AU151" i="129"/>
  <c r="AX151" i="129"/>
  <c r="AW151" i="129"/>
  <c r="AO151" i="129"/>
  <c r="AZ151" i="129"/>
  <c r="BG141" i="129"/>
  <c r="AR141" i="129"/>
  <c r="AP141" i="129"/>
  <c r="AQ141" i="129"/>
  <c r="AS141" i="129"/>
  <c r="AT141" i="129"/>
  <c r="AU141" i="129"/>
  <c r="BF141" i="129"/>
  <c r="AO141" i="129"/>
  <c r="AW141" i="129"/>
  <c r="AV141" i="129"/>
  <c r="AY141" i="129"/>
  <c r="BA141" i="129"/>
  <c r="BC141" i="129"/>
  <c r="BE141" i="129"/>
  <c r="AZ141" i="129"/>
  <c r="BB141" i="129"/>
  <c r="AX141" i="129"/>
  <c r="BD141" i="129"/>
  <c r="AU145" i="129"/>
  <c r="AZ145" i="129"/>
  <c r="AV145" i="129"/>
  <c r="AW145" i="129"/>
  <c r="AX145" i="129"/>
  <c r="AO145" i="129"/>
  <c r="AY145" i="129"/>
  <c r="BA145" i="129"/>
  <c r="BB145" i="129"/>
  <c r="AP145" i="129"/>
  <c r="AQ145" i="129"/>
  <c r="AR145" i="129"/>
  <c r="AS145" i="129"/>
  <c r="AT145" i="129"/>
  <c r="BF145" i="129"/>
  <c r="BC145" i="129"/>
  <c r="BD145" i="129"/>
  <c r="BG145" i="129"/>
  <c r="BE145" i="129"/>
  <c r="BE160" i="129"/>
  <c r="AP160" i="129"/>
  <c r="BF160" i="129"/>
  <c r="BG160" i="129"/>
  <c r="AQ160" i="129"/>
  <c r="AR160" i="129"/>
  <c r="BC160" i="129"/>
  <c r="AO160" i="129"/>
  <c r="AS160" i="129"/>
  <c r="AT160" i="129"/>
  <c r="BD160" i="129"/>
  <c r="AU160" i="129"/>
  <c r="AV160" i="129"/>
  <c r="AW160" i="129"/>
  <c r="AX160" i="129"/>
  <c r="AZ160" i="129"/>
  <c r="BA160" i="129"/>
  <c r="AY160" i="129"/>
  <c r="BB160" i="129"/>
  <c r="AQ153" i="129"/>
  <c r="AV153" i="129"/>
  <c r="AR153" i="129"/>
  <c r="AS153" i="129"/>
  <c r="AT153" i="129"/>
  <c r="AU153" i="129"/>
  <c r="AW153" i="129"/>
  <c r="AX153" i="129"/>
  <c r="BA153" i="129"/>
  <c r="BF153" i="129"/>
  <c r="BB153" i="129"/>
  <c r="BC153" i="129"/>
  <c r="BD153" i="129"/>
  <c r="BE153" i="129"/>
  <c r="BG153" i="129"/>
  <c r="AO153" i="129"/>
  <c r="AP153" i="129"/>
  <c r="AY153" i="129"/>
  <c r="AZ153" i="129"/>
  <c r="AO138" i="129"/>
  <c r="AR138" i="129"/>
  <c r="AP138" i="129"/>
  <c r="AQ138" i="129"/>
  <c r="AS138" i="129"/>
  <c r="AT138" i="129"/>
  <c r="BE140" i="129"/>
  <c r="AP140" i="129"/>
  <c r="BF140" i="129"/>
  <c r="BG140" i="129"/>
  <c r="AQ140" i="129"/>
  <c r="AR140" i="129"/>
  <c r="AU140" i="129"/>
  <c r="AV140" i="129"/>
  <c r="AW140" i="129"/>
  <c r="AZ140" i="129"/>
  <c r="AX140" i="129"/>
  <c r="BC140" i="129"/>
  <c r="AY140" i="129"/>
  <c r="BA140" i="129"/>
  <c r="BB140" i="129"/>
  <c r="BD140" i="129"/>
  <c r="AO140" i="129"/>
  <c r="AS140" i="129"/>
  <c r="AT140" i="129"/>
  <c r="BE150" i="129"/>
  <c r="AP150" i="129"/>
  <c r="BF150" i="129"/>
  <c r="BG150" i="129"/>
  <c r="AQ150" i="129"/>
  <c r="AR150" i="129"/>
  <c r="AV150" i="129"/>
  <c r="BA150" i="129"/>
  <c r="AO150" i="129"/>
  <c r="BB150" i="129"/>
  <c r="AS150" i="129"/>
  <c r="AT150" i="129"/>
  <c r="AU150" i="129"/>
  <c r="AW150" i="129"/>
  <c r="AX150" i="129"/>
  <c r="AY150" i="129"/>
  <c r="AZ150" i="129"/>
  <c r="BD150" i="129"/>
  <c r="BC150" i="129"/>
  <c r="AT152" i="129"/>
  <c r="AP152" i="129"/>
  <c r="AQ152" i="129"/>
  <c r="AR152" i="129"/>
  <c r="AS152" i="129"/>
  <c r="AU152" i="129"/>
  <c r="AV152" i="129"/>
  <c r="AZ152" i="129"/>
  <c r="BA152" i="129"/>
  <c r="BB152" i="129"/>
  <c r="AW152" i="129"/>
  <c r="AX152" i="129"/>
  <c r="AY152" i="129"/>
  <c r="BC152" i="129"/>
  <c r="BE152" i="129"/>
  <c r="BF152" i="129"/>
  <c r="BG152" i="129"/>
  <c r="AO152" i="129"/>
  <c r="BD152" i="129"/>
  <c r="AT142" i="129"/>
  <c r="AP142" i="129"/>
  <c r="AQ142" i="129"/>
  <c r="AR142" i="129"/>
  <c r="AS142" i="129"/>
  <c r="AU142" i="129"/>
  <c r="AV142" i="129"/>
  <c r="AW142" i="129"/>
  <c r="BF142" i="129"/>
  <c r="BG142" i="129"/>
  <c r="AX142" i="129"/>
  <c r="AY142" i="129"/>
  <c r="AZ142" i="129"/>
  <c r="BB142" i="129"/>
  <c r="BA142" i="129"/>
  <c r="BE142" i="129"/>
  <c r="BC142" i="129"/>
  <c r="BD142" i="129"/>
  <c r="AO142" i="129"/>
  <c r="AW156" i="129"/>
  <c r="BB156" i="129"/>
  <c r="AX156" i="129"/>
  <c r="AY156" i="129"/>
  <c r="AZ156" i="129"/>
  <c r="BA156" i="129"/>
  <c r="BC156" i="129"/>
  <c r="BD156" i="129"/>
  <c r="AR156" i="129"/>
  <c r="AS156" i="129"/>
  <c r="AT156" i="129"/>
  <c r="AP156" i="129"/>
  <c r="AQ156" i="129"/>
  <c r="AV156" i="129"/>
  <c r="BE156" i="129"/>
  <c r="AU156" i="129"/>
  <c r="AO156" i="129"/>
  <c r="BF156" i="129"/>
  <c r="BG156" i="129"/>
  <c r="AW146" i="129"/>
  <c r="BB146" i="129"/>
  <c r="AX146" i="129"/>
  <c r="AY146" i="129"/>
  <c r="AZ146" i="129"/>
  <c r="BA146" i="129"/>
  <c r="AO146" i="129"/>
  <c r="BC146" i="129"/>
  <c r="BD146" i="129"/>
  <c r="AQ146" i="129"/>
  <c r="AV146" i="129"/>
  <c r="AR146" i="129"/>
  <c r="AS146" i="129"/>
  <c r="AT146" i="129"/>
  <c r="AU146" i="129"/>
  <c r="BE146" i="129"/>
  <c r="BF146" i="129"/>
  <c r="BG146" i="129"/>
  <c r="AP146" i="129"/>
  <c r="BC139" i="129"/>
  <c r="BD139" i="129"/>
  <c r="BE139" i="129"/>
  <c r="BF139" i="129"/>
  <c r="BG139" i="129"/>
  <c r="AP139" i="129"/>
  <c r="AO139" i="129"/>
  <c r="BH139" i="129" s="1"/>
  <c r="AT139" i="129"/>
  <c r="AV139" i="129"/>
  <c r="AS139" i="129"/>
  <c r="AU139" i="129"/>
  <c r="AQ139" i="129"/>
  <c r="AR139" i="129"/>
  <c r="BA139" i="129"/>
  <c r="BB139" i="129"/>
  <c r="AW139" i="129"/>
  <c r="AX139" i="129"/>
  <c r="AY139" i="129"/>
  <c r="AZ139" i="129"/>
  <c r="AU155" i="129"/>
  <c r="AZ155" i="129"/>
  <c r="AV155" i="129"/>
  <c r="AW155" i="129"/>
  <c r="AX155" i="129"/>
  <c r="AY155" i="129"/>
  <c r="BA155" i="129"/>
  <c r="BB155" i="129"/>
  <c r="AS155" i="129"/>
  <c r="BF155" i="129"/>
  <c r="AT155" i="129"/>
  <c r="BC155" i="129"/>
  <c r="BD155" i="129"/>
  <c r="BE155" i="129"/>
  <c r="BG155" i="129"/>
  <c r="AR155" i="129"/>
  <c r="AO155" i="129"/>
  <c r="AP155" i="129"/>
  <c r="AQ155" i="129"/>
  <c r="BA168" i="129"/>
  <c r="BF168" i="129"/>
  <c r="BB168" i="129"/>
  <c r="BC168" i="129"/>
  <c r="BD168" i="129"/>
  <c r="BE168" i="129"/>
  <c r="BG168" i="129"/>
  <c r="AO168" i="129"/>
  <c r="AU168" i="129"/>
  <c r="AZ168" i="129"/>
  <c r="AV168" i="129"/>
  <c r="AW168" i="129"/>
  <c r="AX168" i="129"/>
  <c r="AY168" i="129"/>
  <c r="AQ168" i="129"/>
  <c r="AR168" i="129"/>
  <c r="AS168" i="129"/>
  <c r="AT168" i="129"/>
  <c r="AP168" i="129"/>
  <c r="AB8" i="129"/>
  <c r="G7" i="164" s="1"/>
  <c r="AB66" i="129"/>
  <c r="AB122" i="129"/>
  <c r="AI12" i="162"/>
  <c r="AI13" i="162"/>
  <c r="AK6" i="162"/>
  <c r="AP119" i="129"/>
  <c r="AO119" i="129"/>
  <c r="AU119" i="129"/>
  <c r="AQ119" i="129"/>
  <c r="AR119" i="129"/>
  <c r="AS119" i="129"/>
  <c r="AT119" i="129"/>
  <c r="AV119" i="129"/>
  <c r="AW119" i="129"/>
  <c r="AX119" i="129"/>
  <c r="AY119" i="129"/>
  <c r="AZ119" i="129"/>
  <c r="BA119" i="129"/>
  <c r="BB119" i="129"/>
  <c r="BC119" i="129"/>
  <c r="BF119" i="129"/>
  <c r="BD119" i="129"/>
  <c r="BE119" i="129"/>
  <c r="BG119" i="129"/>
  <c r="AU138" i="129"/>
  <c r="AV138" i="129"/>
  <c r="AW138" i="129"/>
  <c r="BA138" i="129"/>
  <c r="AX138" i="129"/>
  <c r="AY138" i="129"/>
  <c r="AZ138" i="129"/>
  <c r="BB138" i="129"/>
  <c r="BG138" i="129"/>
  <c r="BC138" i="129"/>
  <c r="BE138" i="129"/>
  <c r="BF138" i="129"/>
  <c r="BD138" i="129"/>
  <c r="BF127" i="129"/>
  <c r="AP127" i="129"/>
  <c r="AQ127" i="129"/>
  <c r="BG127" i="129"/>
  <c r="AR127" i="129"/>
  <c r="AS127" i="129"/>
  <c r="AT127" i="129"/>
  <c r="AU127" i="129"/>
  <c r="AV127" i="129"/>
  <c r="AX127" i="129"/>
  <c r="AZ127" i="129"/>
  <c r="BD127" i="129"/>
  <c r="BB127" i="129"/>
  <c r="AO127" i="129"/>
  <c r="BA127" i="129"/>
  <c r="AW127" i="129"/>
  <c r="AY127" i="129"/>
  <c r="BC127" i="129"/>
  <c r="BE127" i="129"/>
  <c r="BB135" i="129"/>
  <c r="BG135" i="129"/>
  <c r="BC135" i="129"/>
  <c r="BF135" i="129"/>
  <c r="BD135" i="129"/>
  <c r="BE135" i="129"/>
  <c r="AO135" i="129"/>
  <c r="AP135" i="129"/>
  <c r="AQ135" i="129"/>
  <c r="AR135" i="129"/>
  <c r="BA135" i="129"/>
  <c r="AS135" i="129"/>
  <c r="AT135" i="129"/>
  <c r="AU135" i="129"/>
  <c r="AX135" i="129"/>
  <c r="AY135" i="129"/>
  <c r="AW135" i="129"/>
  <c r="AV135" i="129"/>
  <c r="AZ135" i="129"/>
  <c r="AX133" i="129"/>
  <c r="AY133" i="129"/>
  <c r="AZ133" i="129"/>
  <c r="BC133" i="129"/>
  <c r="BA133" i="129"/>
  <c r="BB133" i="129"/>
  <c r="AO133" i="129"/>
  <c r="BD133" i="129"/>
  <c r="BE133" i="129"/>
  <c r="BF133" i="129"/>
  <c r="BG133" i="129"/>
  <c r="AU133" i="129"/>
  <c r="AW133" i="129"/>
  <c r="AP133" i="129"/>
  <c r="AT133" i="129"/>
  <c r="AQ133" i="129"/>
  <c r="AV133" i="129"/>
  <c r="AR133" i="129"/>
  <c r="AS133" i="129"/>
  <c r="AP129" i="129"/>
  <c r="AQ129" i="129"/>
  <c r="AT129" i="129"/>
  <c r="AR129" i="129"/>
  <c r="AU129" i="129"/>
  <c r="AS129" i="129"/>
  <c r="AV129" i="129"/>
  <c r="AW129" i="129"/>
  <c r="AX129" i="129"/>
  <c r="AY129" i="129"/>
  <c r="AO129" i="129"/>
  <c r="AZ129" i="129"/>
  <c r="BA129" i="129"/>
  <c r="BB129" i="129"/>
  <c r="BG129" i="129"/>
  <c r="BC129" i="129"/>
  <c r="BD129" i="129"/>
  <c r="BE129" i="129"/>
  <c r="BF129" i="129"/>
  <c r="AS128" i="129"/>
  <c r="AP128" i="129"/>
  <c r="AQ128" i="129"/>
  <c r="AR128" i="129"/>
  <c r="AT128" i="129"/>
  <c r="AU128" i="129"/>
  <c r="AV128" i="129"/>
  <c r="AW128" i="129"/>
  <c r="AX128" i="129"/>
  <c r="BD128" i="129"/>
  <c r="BB128" i="129"/>
  <c r="BE128" i="129"/>
  <c r="AO128" i="129"/>
  <c r="BF128" i="129"/>
  <c r="BC128" i="129"/>
  <c r="BG128" i="129"/>
  <c r="AY128" i="129"/>
  <c r="AZ128" i="129"/>
  <c r="BA128" i="129"/>
  <c r="AR130" i="129"/>
  <c r="AV130" i="129"/>
  <c r="AS130" i="129"/>
  <c r="AT130" i="129"/>
  <c r="AU130" i="129"/>
  <c r="AW130" i="129"/>
  <c r="AX130" i="129"/>
  <c r="AY130" i="129"/>
  <c r="AZ130" i="129"/>
  <c r="AO130" i="129"/>
  <c r="BA130" i="129"/>
  <c r="BB130" i="129"/>
  <c r="BG130" i="129"/>
  <c r="BE130" i="129"/>
  <c r="BF130" i="129"/>
  <c r="BD130" i="129"/>
  <c r="AQ130" i="129"/>
  <c r="AP130" i="129"/>
  <c r="BC130" i="129"/>
  <c r="AZ134" i="129"/>
  <c r="BD134" i="129"/>
  <c r="BA134" i="129"/>
  <c r="AO134" i="129"/>
  <c r="BB134" i="129"/>
  <c r="BC134" i="129"/>
  <c r="BE134" i="129"/>
  <c r="BF134" i="129"/>
  <c r="BG134" i="129"/>
  <c r="AP134" i="129"/>
  <c r="AQ134" i="129"/>
  <c r="AR134" i="129"/>
  <c r="AY134" i="129"/>
  <c r="AS134" i="129"/>
  <c r="AV134" i="129"/>
  <c r="AT134" i="129"/>
  <c r="AU134" i="129"/>
  <c r="AW134" i="129"/>
  <c r="AX134" i="129"/>
  <c r="AT131" i="129"/>
  <c r="AY131" i="129"/>
  <c r="AU131" i="129"/>
  <c r="AV131" i="129"/>
  <c r="AX131" i="129"/>
  <c r="AW131" i="129"/>
  <c r="AZ131" i="129"/>
  <c r="BA131" i="129"/>
  <c r="AO131" i="129"/>
  <c r="BB131" i="129"/>
  <c r="BC131" i="129"/>
  <c r="BD131" i="129"/>
  <c r="AR131" i="129"/>
  <c r="AS131" i="129"/>
  <c r="AP131" i="129"/>
  <c r="BE131" i="129"/>
  <c r="BG131" i="129"/>
  <c r="BF131" i="129"/>
  <c r="AQ131" i="129"/>
  <c r="BF137" i="129"/>
  <c r="BG137" i="129"/>
  <c r="AO137" i="129"/>
  <c r="AQ137" i="129"/>
  <c r="AP137" i="129"/>
  <c r="AR137" i="129"/>
  <c r="AS137" i="129"/>
  <c r="AT137" i="129"/>
  <c r="AU137" i="129"/>
  <c r="BB137" i="129"/>
  <c r="AV137" i="129"/>
  <c r="AX137" i="129"/>
  <c r="BA137" i="129"/>
  <c r="BC137" i="129"/>
  <c r="BE137" i="129"/>
  <c r="AY137" i="129"/>
  <c r="AZ137" i="129"/>
  <c r="AW137" i="129"/>
  <c r="BD137" i="129"/>
  <c r="BD136" i="129"/>
  <c r="BE136" i="129"/>
  <c r="BF136" i="129"/>
  <c r="AO136" i="129"/>
  <c r="BG136" i="129"/>
  <c r="AP136" i="129"/>
  <c r="AQ136" i="129"/>
  <c r="AR136" i="129"/>
  <c r="AS136" i="129"/>
  <c r="AT136" i="129"/>
  <c r="AW136" i="129"/>
  <c r="AV136" i="129"/>
  <c r="AX136" i="129"/>
  <c r="BA136" i="129"/>
  <c r="BB136" i="129"/>
  <c r="AY136" i="129"/>
  <c r="BC136" i="129"/>
  <c r="AZ136" i="129"/>
  <c r="AU136" i="129"/>
  <c r="AV132" i="129"/>
  <c r="AW132" i="129"/>
  <c r="AZ132" i="129"/>
  <c r="BA132" i="129"/>
  <c r="AX132" i="129"/>
  <c r="AY132" i="129"/>
  <c r="BB132" i="129"/>
  <c r="AO132" i="129"/>
  <c r="BC132" i="129"/>
  <c r="BD132" i="129"/>
  <c r="BE132" i="129"/>
  <c r="BF132" i="129"/>
  <c r="AQ132" i="129"/>
  <c r="AS132" i="129"/>
  <c r="BG132" i="129"/>
  <c r="AP132" i="129"/>
  <c r="AR132" i="129"/>
  <c r="AT132" i="129"/>
  <c r="AU132" i="129"/>
  <c r="AJ6" i="162"/>
  <c r="AH6" i="162" s="1"/>
  <c r="E5" i="164" s="1"/>
  <c r="AG7" i="162"/>
  <c r="AG8" i="162" s="1"/>
  <c r="AG64" i="129"/>
  <c r="AG120" i="129" s="1"/>
  <c r="AO68" i="158"/>
  <c r="AO69" i="158"/>
  <c r="AO67" i="158"/>
  <c r="AO66" i="158"/>
  <c r="AO65" i="158"/>
  <c r="AO70" i="158"/>
  <c r="AO64" i="158"/>
  <c r="AO71" i="158"/>
  <c r="AO72" i="158"/>
  <c r="AN120" i="129"/>
  <c r="AF123" i="129"/>
  <c r="AG67" i="129"/>
  <c r="AG123" i="129" s="1"/>
  <c r="AI65" i="129"/>
  <c r="AK121" i="129" s="1"/>
  <c r="BH160" i="129" l="1"/>
  <c r="BH157" i="129"/>
  <c r="BH167" i="129"/>
  <c r="BH147" i="129"/>
  <c r="BH163" i="129"/>
  <c r="BH148" i="129"/>
  <c r="BH161" i="129"/>
  <c r="BH155" i="129"/>
  <c r="BH150" i="129"/>
  <c r="BH149" i="129"/>
  <c r="BH141" i="129"/>
  <c r="BH156" i="129"/>
  <c r="BH145" i="129"/>
  <c r="BH144" i="129"/>
  <c r="BH170" i="129"/>
  <c r="BH146" i="129"/>
  <c r="BH142" i="129"/>
  <c r="BH168" i="129"/>
  <c r="BH140" i="129"/>
  <c r="BH151" i="129"/>
  <c r="BH152" i="129"/>
  <c r="BH153" i="129"/>
  <c r="BH164" i="129"/>
  <c r="BH159" i="129"/>
  <c r="BH143" i="129"/>
  <c r="BH169" i="129"/>
  <c r="BH165" i="129"/>
  <c r="BH162" i="129"/>
  <c r="BH166" i="129"/>
  <c r="AA14" i="162"/>
  <c r="D12" i="164"/>
  <c r="AA195" i="162"/>
  <c r="AA377" i="162" s="1"/>
  <c r="AC16" i="158"/>
  <c r="AC47" i="158"/>
  <c r="AC76" i="158"/>
  <c r="AB123" i="129"/>
  <c r="AB67" i="129"/>
  <c r="AB9" i="129"/>
  <c r="G8" i="164" s="1"/>
  <c r="AI14" i="162"/>
  <c r="BH134" i="129"/>
  <c r="BH64" i="158"/>
  <c r="AR120" i="129"/>
  <c r="AS120" i="129"/>
  <c r="BA120" i="129"/>
  <c r="AT120" i="129"/>
  <c r="AV120" i="129"/>
  <c r="AU120" i="129"/>
  <c r="AW120" i="129"/>
  <c r="AX120" i="129"/>
  <c r="AY120" i="129"/>
  <c r="AZ120" i="129"/>
  <c r="AQ120" i="129"/>
  <c r="BE120" i="129"/>
  <c r="AO120" i="129"/>
  <c r="BC120" i="129"/>
  <c r="BF120" i="129"/>
  <c r="AP120" i="129"/>
  <c r="BG120" i="129"/>
  <c r="BB120" i="129"/>
  <c r="BD120" i="129"/>
  <c r="BH132" i="129"/>
  <c r="BH129" i="129"/>
  <c r="BH137" i="129"/>
  <c r="BH136" i="129"/>
  <c r="BH130" i="129"/>
  <c r="BH131" i="129"/>
  <c r="BH127" i="129"/>
  <c r="BH138" i="129"/>
  <c r="BH128" i="129"/>
  <c r="BH135" i="129"/>
  <c r="BH133" i="129"/>
  <c r="AJ7" i="162"/>
  <c r="AH7" i="162" s="1"/>
  <c r="E6" i="164" s="1"/>
  <c r="AE7" i="162"/>
  <c r="AK7" i="162" s="1"/>
  <c r="BH119" i="129"/>
  <c r="AJ8" i="162"/>
  <c r="AH8" i="162" s="1"/>
  <c r="E7" i="164" s="1"/>
  <c r="AG9" i="162"/>
  <c r="AE8" i="162"/>
  <c r="BH67" i="158"/>
  <c r="BH65" i="158"/>
  <c r="AG5" i="158" s="1"/>
  <c r="BH66" i="158"/>
  <c r="BH73" i="158"/>
  <c r="BH69" i="158"/>
  <c r="BH72" i="158"/>
  <c r="BH71" i="158"/>
  <c r="BH68" i="158"/>
  <c r="BH70" i="158"/>
  <c r="AI121" i="129"/>
  <c r="AF124" i="129"/>
  <c r="AG68" i="129"/>
  <c r="AG124" i="129" s="1"/>
  <c r="AI66" i="129"/>
  <c r="AK122" i="129" s="1"/>
  <c r="AN121" i="129"/>
  <c r="AA15" i="162" l="1"/>
  <c r="D13" i="164"/>
  <c r="AA196" i="162"/>
  <c r="AA378" i="162" s="1"/>
  <c r="AG6" i="158"/>
  <c r="AG7" i="158" s="1"/>
  <c r="AG8" i="158" s="1"/>
  <c r="AJ5" i="158"/>
  <c r="AF4" i="158"/>
  <c r="AF16" i="158"/>
  <c r="AF8" i="158"/>
  <c r="AF10" i="158"/>
  <c r="AF14" i="158"/>
  <c r="AF17" i="158"/>
  <c r="AF19" i="158"/>
  <c r="AF5" i="158"/>
  <c r="AE5" i="158" s="1"/>
  <c r="AF6" i="158"/>
  <c r="AE6" i="158" s="1"/>
  <c r="AF28" i="158"/>
  <c r="AF12" i="158"/>
  <c r="AF24" i="158"/>
  <c r="AF18" i="158"/>
  <c r="AF13" i="158"/>
  <c r="AF26" i="158"/>
  <c r="AF20" i="158"/>
  <c r="AF9" i="158"/>
  <c r="AF23" i="158"/>
  <c r="AF25" i="158"/>
  <c r="AF7" i="158"/>
  <c r="AF22" i="158"/>
  <c r="AF21" i="158"/>
  <c r="AF11" i="158"/>
  <c r="AF15" i="158"/>
  <c r="AF27" i="158"/>
  <c r="AC48" i="158"/>
  <c r="AC77" i="158"/>
  <c r="AC17" i="158"/>
  <c r="AG45" i="129"/>
  <c r="AG46" i="129"/>
  <c r="AG44" i="129"/>
  <c r="AG26" i="129"/>
  <c r="AG27" i="129"/>
  <c r="AG30" i="129"/>
  <c r="AG43" i="129"/>
  <c r="AG55" i="129"/>
  <c r="AG31" i="129"/>
  <c r="AG47" i="129"/>
  <c r="AG48" i="129"/>
  <c r="AG52" i="129"/>
  <c r="AG51" i="129"/>
  <c r="AG35" i="129"/>
  <c r="AG25" i="129"/>
  <c r="AG40" i="129"/>
  <c r="AG53" i="129"/>
  <c r="AG37" i="129"/>
  <c r="AG41" i="129"/>
  <c r="AG54" i="129"/>
  <c r="AG49" i="129"/>
  <c r="AG24" i="129"/>
  <c r="AG33" i="129"/>
  <c r="AG50" i="129"/>
  <c r="AG42" i="129"/>
  <c r="AG39" i="129"/>
  <c r="AG32" i="129"/>
  <c r="AG29" i="129"/>
  <c r="AG34" i="129"/>
  <c r="AG38" i="129"/>
  <c r="AG36" i="129"/>
  <c r="AG28" i="129"/>
  <c r="AB124" i="129"/>
  <c r="AB68" i="129"/>
  <c r="AB10" i="129"/>
  <c r="G9" i="164" s="1"/>
  <c r="AI15" i="162"/>
  <c r="AI17" i="158"/>
  <c r="AI27" i="158"/>
  <c r="AI14" i="158"/>
  <c r="AI22" i="158"/>
  <c r="AI24" i="158"/>
  <c r="AI28" i="158"/>
  <c r="AI15" i="158"/>
  <c r="AI16" i="158"/>
  <c r="AI18" i="158"/>
  <c r="AI21" i="158"/>
  <c r="AG4" i="129"/>
  <c r="AF4" i="129" s="1"/>
  <c r="AL4" i="129" s="1"/>
  <c r="AG7" i="129"/>
  <c r="AJ7" i="129" s="1"/>
  <c r="AG8" i="129"/>
  <c r="AJ8" i="129" s="1"/>
  <c r="AG9" i="129"/>
  <c r="AJ9" i="129" s="1"/>
  <c r="AG18" i="129"/>
  <c r="AG20" i="129"/>
  <c r="AG22" i="129"/>
  <c r="AG23" i="129"/>
  <c r="AG10" i="129"/>
  <c r="AG11" i="129"/>
  <c r="AG12" i="129"/>
  <c r="AG13" i="129"/>
  <c r="AG14" i="129"/>
  <c r="AG15" i="129"/>
  <c r="AG16" i="129"/>
  <c r="AG17" i="129"/>
  <c r="AG19" i="129"/>
  <c r="AG21" i="129"/>
  <c r="AG5" i="129"/>
  <c r="AJ5" i="129" s="1"/>
  <c r="AG6" i="129"/>
  <c r="AJ6" i="129" s="1"/>
  <c r="AI8" i="158"/>
  <c r="AI6" i="158"/>
  <c r="AI10" i="158"/>
  <c r="AI11" i="158"/>
  <c r="AI12" i="158"/>
  <c r="AT121" i="129"/>
  <c r="BD121" i="129"/>
  <c r="AU121" i="129"/>
  <c r="AX121" i="129"/>
  <c r="AY121" i="129"/>
  <c r="AV121" i="129"/>
  <c r="BC121" i="129"/>
  <c r="AW121" i="129"/>
  <c r="AZ121" i="129"/>
  <c r="BA121" i="129"/>
  <c r="BB121" i="129"/>
  <c r="BF121" i="129"/>
  <c r="AQ121" i="129"/>
  <c r="AR121" i="129"/>
  <c r="BE121" i="129"/>
  <c r="BG121" i="129"/>
  <c r="AO121" i="129"/>
  <c r="AP121" i="129"/>
  <c r="AS121" i="129"/>
  <c r="AK8" i="162"/>
  <c r="AG10" i="162"/>
  <c r="AJ9" i="162"/>
  <c r="AH9" i="162" s="1"/>
  <c r="E8" i="164" s="1"/>
  <c r="AE9" i="162"/>
  <c r="AK9" i="162" s="1"/>
  <c r="BH120" i="129"/>
  <c r="AH5" i="129" s="1"/>
  <c r="AI122" i="129"/>
  <c r="AN122" i="129"/>
  <c r="AG69" i="129"/>
  <c r="AG125" i="129" s="1"/>
  <c r="AF125" i="129"/>
  <c r="AI67" i="129"/>
  <c r="AK123" i="129" s="1"/>
  <c r="A134" i="155"/>
  <c r="A133" i="155"/>
  <c r="A132" i="155"/>
  <c r="A131" i="155"/>
  <c r="A130" i="155"/>
  <c r="A129" i="155"/>
  <c r="A128" i="155"/>
  <c r="C126" i="155"/>
  <c r="B126" i="155"/>
  <c r="A126" i="155"/>
  <c r="A122" i="155"/>
  <c r="A121" i="155"/>
  <c r="A120" i="155"/>
  <c r="A119" i="155"/>
  <c r="A118" i="155"/>
  <c r="A117" i="155"/>
  <c r="A116" i="155"/>
  <c r="C114" i="155"/>
  <c r="B114" i="155"/>
  <c r="A114" i="155"/>
  <c r="A100" i="155"/>
  <c r="A99" i="155"/>
  <c r="A98" i="155"/>
  <c r="A97" i="155"/>
  <c r="A96" i="155"/>
  <c r="A95" i="155"/>
  <c r="A94" i="155"/>
  <c r="C92" i="155"/>
  <c r="B92" i="155"/>
  <c r="A92" i="155"/>
  <c r="A88" i="155"/>
  <c r="A87" i="155"/>
  <c r="A86" i="155"/>
  <c r="A85" i="155"/>
  <c r="A84" i="155"/>
  <c r="A83" i="155"/>
  <c r="A82" i="155"/>
  <c r="B80" i="155"/>
  <c r="A80" i="155"/>
  <c r="D94" i="155" l="1"/>
  <c r="D128" i="155"/>
  <c r="D95" i="155"/>
  <c r="D129" i="155"/>
  <c r="D98" i="155"/>
  <c r="D132" i="155"/>
  <c r="D96" i="155"/>
  <c r="D130" i="155"/>
  <c r="D99" i="155"/>
  <c r="D133" i="155"/>
  <c r="D82" i="155"/>
  <c r="D116" i="155"/>
  <c r="D97" i="155"/>
  <c r="D131" i="155"/>
  <c r="AA16" i="162"/>
  <c r="D14" i="164"/>
  <c r="AA197" i="162"/>
  <c r="AA379" i="162" s="1"/>
  <c r="AE8" i="158"/>
  <c r="AE7" i="158"/>
  <c r="AI7" i="158"/>
  <c r="AI13" i="158"/>
  <c r="AI23" i="158"/>
  <c r="AI5" i="158"/>
  <c r="AH5" i="158" s="1"/>
  <c r="AI20" i="158"/>
  <c r="AI9" i="158"/>
  <c r="AI26" i="158"/>
  <c r="AI25" i="158"/>
  <c r="AI19" i="158"/>
  <c r="AI4" i="158"/>
  <c r="AH4" i="158" s="1"/>
  <c r="AE4" i="158"/>
  <c r="AK4" i="158" s="1"/>
  <c r="AJ7" i="158"/>
  <c r="AH7" i="158" s="1"/>
  <c r="AJ6" i="158"/>
  <c r="AH6" i="158" s="1"/>
  <c r="AC49" i="158"/>
  <c r="AC78" i="158"/>
  <c r="AC18" i="158"/>
  <c r="AJ10" i="129"/>
  <c r="AK5" i="129"/>
  <c r="AI5" i="129" s="1"/>
  <c r="H4" i="164" s="1"/>
  <c r="AB69" i="129"/>
  <c r="AB125" i="129"/>
  <c r="AB11" i="129"/>
  <c r="AJ4" i="129"/>
  <c r="AI4" i="129" s="1"/>
  <c r="H3" i="164" s="1"/>
  <c r="AI16" i="162"/>
  <c r="AV122" i="129"/>
  <c r="AZ122" i="129"/>
  <c r="BE122" i="129"/>
  <c r="AW122" i="129"/>
  <c r="AX122" i="129"/>
  <c r="BA122" i="129"/>
  <c r="AY122" i="129"/>
  <c r="BB122" i="129"/>
  <c r="BC122" i="129"/>
  <c r="BD122" i="129"/>
  <c r="AS122" i="129"/>
  <c r="AT122" i="129"/>
  <c r="AP122" i="129"/>
  <c r="AR122" i="129"/>
  <c r="AU122" i="129"/>
  <c r="BF122" i="129"/>
  <c r="BG122" i="129"/>
  <c r="AQ122" i="129"/>
  <c r="AO122" i="129"/>
  <c r="AF5" i="129"/>
  <c r="AL5" i="129" s="1"/>
  <c r="AJ10" i="162"/>
  <c r="AH10" i="162" s="1"/>
  <c r="E9" i="164" s="1"/>
  <c r="AG11" i="162"/>
  <c r="AE10" i="162"/>
  <c r="AK10" i="162" s="1"/>
  <c r="BH121" i="129"/>
  <c r="AH6" i="129" s="1"/>
  <c r="AI123" i="129"/>
  <c r="AN123" i="129"/>
  <c r="AF126" i="129"/>
  <c r="AG70" i="129"/>
  <c r="AG126" i="129" s="1"/>
  <c r="AI68" i="129"/>
  <c r="AK124" i="129" s="1"/>
  <c r="AJ11" i="129" l="1"/>
  <c r="G10" i="164"/>
  <c r="AA17" i="162"/>
  <c r="D15" i="164"/>
  <c r="AA198" i="162"/>
  <c r="AA380" i="162" s="1"/>
  <c r="AK5" i="158"/>
  <c r="AK6" i="158"/>
  <c r="AK7" i="158"/>
  <c r="AJ8" i="158"/>
  <c r="AH8" i="158" s="1"/>
  <c r="AC79" i="158"/>
  <c r="AC50" i="158"/>
  <c r="AC19" i="158"/>
  <c r="AK6" i="129"/>
  <c r="AI6" i="129" s="1"/>
  <c r="H5" i="164" s="1"/>
  <c r="AB70" i="129"/>
  <c r="AB126" i="129"/>
  <c r="AB12" i="129"/>
  <c r="AI17" i="162"/>
  <c r="AX123" i="129"/>
  <c r="BB123" i="129"/>
  <c r="AY123" i="129"/>
  <c r="BC123" i="129"/>
  <c r="AZ123" i="129"/>
  <c r="BA123" i="129"/>
  <c r="BG123" i="129"/>
  <c r="BD123" i="129"/>
  <c r="BE123" i="129"/>
  <c r="BF123" i="129"/>
  <c r="AT123" i="129"/>
  <c r="AU123" i="129"/>
  <c r="AW123" i="129"/>
  <c r="AQ123" i="129"/>
  <c r="AR123" i="129"/>
  <c r="AO123" i="129"/>
  <c r="AV123" i="129"/>
  <c r="AP123" i="129"/>
  <c r="AS123" i="129"/>
  <c r="AG12" i="162"/>
  <c r="AJ11" i="162"/>
  <c r="AH11" i="162" s="1"/>
  <c r="E10" i="164" s="1"/>
  <c r="AE11" i="162"/>
  <c r="AK11" i="162" s="1"/>
  <c r="BH122" i="129"/>
  <c r="AH7" i="129" s="1"/>
  <c r="AI124" i="129"/>
  <c r="AI69" i="129"/>
  <c r="AK125" i="129" s="1"/>
  <c r="AJ12" i="129" l="1"/>
  <c r="G11" i="164"/>
  <c r="AA18" i="162"/>
  <c r="D16" i="164"/>
  <c r="AA199" i="162"/>
  <c r="AA381" i="162" s="1"/>
  <c r="AG9" i="158"/>
  <c r="AG10" i="158" s="1"/>
  <c r="AC80" i="158"/>
  <c r="AC51" i="158"/>
  <c r="AC20" i="158"/>
  <c r="AK7" i="129"/>
  <c r="AI7" i="129" s="1"/>
  <c r="H6" i="164" s="1"/>
  <c r="AB127" i="129"/>
  <c r="AB13" i="129"/>
  <c r="AB71" i="129"/>
  <c r="AI18" i="162"/>
  <c r="AF6" i="129"/>
  <c r="AL6" i="129" s="1"/>
  <c r="AK8" i="158"/>
  <c r="AJ12" i="162"/>
  <c r="AH12" i="162" s="1"/>
  <c r="E11" i="164" s="1"/>
  <c r="AG13" i="162"/>
  <c r="AE12" i="162"/>
  <c r="AK12" i="162" s="1"/>
  <c r="BH123" i="129"/>
  <c r="AH8" i="129" s="1"/>
  <c r="AN124" i="129"/>
  <c r="AI125" i="129"/>
  <c r="AN125" i="129"/>
  <c r="AI70" i="129"/>
  <c r="AK126" i="129" s="1"/>
  <c r="A157" i="154"/>
  <c r="A156" i="154"/>
  <c r="A155" i="154"/>
  <c r="A154" i="154"/>
  <c r="A153" i="154"/>
  <c r="A152" i="154"/>
  <c r="A151" i="154"/>
  <c r="A145" i="154"/>
  <c r="A144" i="154"/>
  <c r="A143" i="154"/>
  <c r="A142" i="154"/>
  <c r="A141" i="154"/>
  <c r="A140" i="154"/>
  <c r="A139" i="154"/>
  <c r="A123" i="154"/>
  <c r="A122" i="154"/>
  <c r="A121" i="154"/>
  <c r="A120" i="154"/>
  <c r="A119" i="154"/>
  <c r="A118" i="154"/>
  <c r="A117" i="154"/>
  <c r="A111" i="154"/>
  <c r="A110" i="154"/>
  <c r="A109" i="154"/>
  <c r="A108" i="154"/>
  <c r="A107" i="154"/>
  <c r="A106" i="154"/>
  <c r="A105" i="154"/>
  <c r="A103" i="154"/>
  <c r="AJ13" i="129" l="1"/>
  <c r="G12" i="164"/>
  <c r="AA19" i="162"/>
  <c r="D17" i="164"/>
  <c r="AA200" i="162"/>
  <c r="AA382" i="162" s="1"/>
  <c r="AJ10" i="158"/>
  <c r="AH10" i="158" s="1"/>
  <c r="AE10" i="158"/>
  <c r="AJ9" i="158"/>
  <c r="AH9" i="158" s="1"/>
  <c r="AE9" i="158"/>
  <c r="AK9" i="158" s="1"/>
  <c r="AC81" i="158"/>
  <c r="AC52" i="158"/>
  <c r="AC21" i="158"/>
  <c r="AG11" i="158"/>
  <c r="AK8" i="129"/>
  <c r="AI8" i="129" s="1"/>
  <c r="H7" i="164" s="1"/>
  <c r="AB128" i="129"/>
  <c r="AB72" i="129"/>
  <c r="AB14" i="129"/>
  <c r="AF7" i="129"/>
  <c r="AL7" i="129" s="1"/>
  <c r="AI19" i="162"/>
  <c r="BB125" i="129"/>
  <c r="BC125" i="129"/>
  <c r="BD125" i="129"/>
  <c r="BF125" i="129"/>
  <c r="BE125" i="129"/>
  <c r="BG125" i="129"/>
  <c r="AP125" i="129"/>
  <c r="AQ125" i="129"/>
  <c r="AR125" i="129"/>
  <c r="AU125" i="129"/>
  <c r="AV125" i="129"/>
  <c r="AO125" i="129"/>
  <c r="AW125" i="129"/>
  <c r="AY125" i="129"/>
  <c r="AZ125" i="129"/>
  <c r="BA125" i="129"/>
  <c r="AS125" i="129"/>
  <c r="AT125" i="129"/>
  <c r="AX125" i="129"/>
  <c r="AZ124" i="129"/>
  <c r="BA124" i="129"/>
  <c r="BD124" i="129"/>
  <c r="BB124" i="129"/>
  <c r="BE124" i="129"/>
  <c r="BC124" i="129"/>
  <c r="BF124" i="129"/>
  <c r="BG124" i="129"/>
  <c r="AR124" i="129"/>
  <c r="AS124" i="129"/>
  <c r="AV124" i="129"/>
  <c r="AT124" i="129"/>
  <c r="AX124" i="129"/>
  <c r="AP124" i="129"/>
  <c r="AU124" i="129"/>
  <c r="AW124" i="129"/>
  <c r="AQ124" i="129"/>
  <c r="AY124" i="129"/>
  <c r="AO124" i="129"/>
  <c r="AG14" i="162"/>
  <c r="AJ13" i="162"/>
  <c r="AH13" i="162" s="1"/>
  <c r="E12" i="164" s="1"/>
  <c r="AE13" i="162"/>
  <c r="AK13" i="162" s="1"/>
  <c r="AI126" i="129"/>
  <c r="AJ14" i="129" l="1"/>
  <c r="G13" i="164"/>
  <c r="AA20" i="162"/>
  <c r="D18" i="164"/>
  <c r="AA201" i="162"/>
  <c r="AA383" i="162" s="1"/>
  <c r="AJ11" i="158"/>
  <c r="AH11" i="158" s="1"/>
  <c r="AE11" i="158"/>
  <c r="AC82" i="158"/>
  <c r="AC53" i="158"/>
  <c r="AC22" i="158"/>
  <c r="AG12" i="158"/>
  <c r="AB73" i="129"/>
  <c r="AB129" i="129"/>
  <c r="AB15" i="129"/>
  <c r="AF8" i="129"/>
  <c r="AL8" i="129" s="1"/>
  <c r="AI20" i="162"/>
  <c r="AK10" i="158"/>
  <c r="AG15" i="162"/>
  <c r="AJ14" i="162"/>
  <c r="AH14" i="162" s="1"/>
  <c r="E13" i="164" s="1"/>
  <c r="AE14" i="162"/>
  <c r="AK14" i="162" s="1"/>
  <c r="BH125" i="129"/>
  <c r="BH124" i="129"/>
  <c r="AH9" i="129" s="1"/>
  <c r="AN126" i="129"/>
  <c r="AJ15" i="129" l="1"/>
  <c r="G14" i="164"/>
  <c r="AA21" i="162"/>
  <c r="D19" i="164"/>
  <c r="AA202" i="162"/>
  <c r="AA384" i="162" s="1"/>
  <c r="AJ12" i="158"/>
  <c r="AH12" i="158" s="1"/>
  <c r="AE12" i="158"/>
  <c r="AC83" i="158"/>
  <c r="AC54" i="158"/>
  <c r="AC23" i="158"/>
  <c r="AG13" i="158"/>
  <c r="AH10" i="129"/>
  <c r="AF10" i="129" s="1"/>
  <c r="AK9" i="129"/>
  <c r="AI9" i="129" s="1"/>
  <c r="H8" i="164" s="1"/>
  <c r="AB74" i="129"/>
  <c r="AB16" i="129"/>
  <c r="AB130" i="129"/>
  <c r="AI21" i="162"/>
  <c r="AK11" i="158"/>
  <c r="BD126" i="129"/>
  <c r="BE126" i="129"/>
  <c r="BF126" i="129"/>
  <c r="BG126" i="129"/>
  <c r="AP126" i="129"/>
  <c r="AQ126" i="129"/>
  <c r="AR126" i="129"/>
  <c r="AS126" i="129"/>
  <c r="AT126" i="129"/>
  <c r="AX126" i="129"/>
  <c r="AY126" i="129"/>
  <c r="AV126" i="129"/>
  <c r="AW126" i="129"/>
  <c r="AZ126" i="129"/>
  <c r="BC126" i="129"/>
  <c r="AU126" i="129"/>
  <c r="BA126" i="129"/>
  <c r="BB126" i="129"/>
  <c r="AO126" i="129"/>
  <c r="AG16" i="162"/>
  <c r="AJ15" i="162"/>
  <c r="AH15" i="162" s="1"/>
  <c r="E14" i="164" s="1"/>
  <c r="AE15" i="162"/>
  <c r="AK15" i="162" s="1"/>
  <c r="AF9" i="129"/>
  <c r="AL9" i="129" s="1"/>
  <c r="AJ16" i="129" l="1"/>
  <c r="G15" i="164"/>
  <c r="AA22" i="162"/>
  <c r="D20" i="164"/>
  <c r="AA203" i="162"/>
  <c r="AA385" i="162" s="1"/>
  <c r="AJ13" i="158"/>
  <c r="AH13" i="158" s="1"/>
  <c r="AE13" i="158"/>
  <c r="AC84" i="158"/>
  <c r="AC55" i="158"/>
  <c r="AC24" i="158"/>
  <c r="AG14" i="158"/>
  <c r="AK10" i="129"/>
  <c r="AI10" i="129" s="1"/>
  <c r="H9" i="164" s="1"/>
  <c r="AB75" i="129"/>
  <c r="AB17" i="129"/>
  <c r="AB131" i="129"/>
  <c r="AI22" i="162"/>
  <c r="AK12" i="158"/>
  <c r="AG17" i="162"/>
  <c r="AJ16" i="162"/>
  <c r="AH16" i="162" s="1"/>
  <c r="E15" i="164" s="1"/>
  <c r="AE16" i="162"/>
  <c r="AK16" i="162" s="1"/>
  <c r="AL10" i="129"/>
  <c r="BH126" i="129"/>
  <c r="AH11" i="129" s="1"/>
  <c r="W5" i="135"/>
  <c r="W9" i="135"/>
  <c r="W12" i="135"/>
  <c r="Y12" i="135" s="1"/>
  <c r="W8" i="135"/>
  <c r="W10" i="135"/>
  <c r="W6" i="135"/>
  <c r="W7" i="135"/>
  <c r="D134" i="155" l="1"/>
  <c r="D100" i="155"/>
  <c r="AJ17" i="129"/>
  <c r="G16" i="164"/>
  <c r="AA23" i="162"/>
  <c r="D21" i="164"/>
  <c r="AA204" i="162"/>
  <c r="AA386" i="162" s="1"/>
  <c r="AJ14" i="158"/>
  <c r="AH14" i="158" s="1"/>
  <c r="AE14" i="158"/>
  <c r="AC56" i="158"/>
  <c r="AC25" i="158"/>
  <c r="AC85" i="158"/>
  <c r="AG15" i="158"/>
  <c r="AH12" i="129"/>
  <c r="AK11" i="129"/>
  <c r="AI11" i="129" s="1"/>
  <c r="H10" i="164" s="1"/>
  <c r="AB18" i="129"/>
  <c r="AB76" i="129"/>
  <c r="AB132" i="129"/>
  <c r="AI23" i="162"/>
  <c r="AK14" i="158"/>
  <c r="H49" i="154"/>
  <c r="I49" i="154" s="1"/>
  <c r="H45" i="154"/>
  <c r="I45" i="154" s="1"/>
  <c r="Y18" i="135"/>
  <c r="H46" i="154"/>
  <c r="I46" i="154" s="1"/>
  <c r="H47" i="154"/>
  <c r="I47" i="154" s="1"/>
  <c r="H48" i="154"/>
  <c r="I48" i="154" s="1"/>
  <c r="I50" i="154"/>
  <c r="AK13" i="158"/>
  <c r="AG18" i="162"/>
  <c r="AJ17" i="162"/>
  <c r="AH17" i="162" s="1"/>
  <c r="E16" i="164" s="1"/>
  <c r="AE17" i="162"/>
  <c r="AK17" i="162" s="1"/>
  <c r="AF11" i="129"/>
  <c r="B134" i="155"/>
  <c r="B100" i="155"/>
  <c r="B130" i="155"/>
  <c r="B96" i="155"/>
  <c r="B128" i="155"/>
  <c r="B94" i="155"/>
  <c r="B95" i="155"/>
  <c r="B129" i="155"/>
  <c r="B132" i="155"/>
  <c r="B98" i="155"/>
  <c r="B130" i="154"/>
  <c r="B107" i="155"/>
  <c r="B97" i="155"/>
  <c r="B131" i="155"/>
  <c r="B99" i="155"/>
  <c r="B133" i="155"/>
  <c r="B116" i="155"/>
  <c r="J10" i="135"/>
  <c r="L10" i="135" s="1"/>
  <c r="J7" i="135"/>
  <c r="L7" i="135" s="1"/>
  <c r="J9" i="135"/>
  <c r="L9" i="135" s="1"/>
  <c r="J12" i="135"/>
  <c r="L12" i="135" s="1"/>
  <c r="J8" i="135"/>
  <c r="L8" i="135" s="1"/>
  <c r="J6" i="135"/>
  <c r="L6" i="135" s="1"/>
  <c r="J11" i="135"/>
  <c r="L11" i="135" s="1"/>
  <c r="C50" i="154" s="1"/>
  <c r="D50" i="154" s="1"/>
  <c r="B155" i="154"/>
  <c r="B121" i="154"/>
  <c r="B119" i="154"/>
  <c r="B153" i="154"/>
  <c r="B156" i="154"/>
  <c r="B122" i="154"/>
  <c r="B152" i="154"/>
  <c r="B118" i="154"/>
  <c r="B151" i="154"/>
  <c r="B117" i="154"/>
  <c r="B154" i="154"/>
  <c r="B120" i="154"/>
  <c r="B123" i="154"/>
  <c r="B157" i="154"/>
  <c r="W15" i="135"/>
  <c r="X13" i="135" s="1"/>
  <c r="C47" i="154" l="1"/>
  <c r="D47" i="154" s="1"/>
  <c r="D85" i="155"/>
  <c r="D119" i="155"/>
  <c r="C48" i="154"/>
  <c r="D48" i="154" s="1"/>
  <c r="D120" i="155"/>
  <c r="D86" i="155"/>
  <c r="C45" i="154"/>
  <c r="D45" i="154" s="1"/>
  <c r="L15" i="135"/>
  <c r="D117" i="155"/>
  <c r="D83" i="155"/>
  <c r="C46" i="154"/>
  <c r="D46" i="154" s="1"/>
  <c r="D118" i="155"/>
  <c r="D84" i="155"/>
  <c r="D122" i="155"/>
  <c r="D88" i="155"/>
  <c r="C49" i="154"/>
  <c r="D49" i="154" s="1"/>
  <c r="D87" i="155"/>
  <c r="D121" i="155"/>
  <c r="AJ18" i="129"/>
  <c r="G17" i="164"/>
  <c r="AA24" i="162"/>
  <c r="D22" i="164"/>
  <c r="AA205" i="162"/>
  <c r="AA387" i="162" s="1"/>
  <c r="AJ15" i="158"/>
  <c r="AH15" i="158" s="1"/>
  <c r="AE15" i="158"/>
  <c r="AC26" i="158"/>
  <c r="AC57" i="158"/>
  <c r="AC86" i="158"/>
  <c r="AG16" i="158"/>
  <c r="AH13" i="129"/>
  <c r="AK12" i="129"/>
  <c r="AI12" i="129" s="1"/>
  <c r="H11" i="164" s="1"/>
  <c r="AB133" i="129"/>
  <c r="AB19" i="129"/>
  <c r="AB77" i="129"/>
  <c r="AK15" i="158"/>
  <c r="X5" i="135"/>
  <c r="J15" i="135"/>
  <c r="K13" i="135" s="1"/>
  <c r="L17" i="135"/>
  <c r="L18" i="135"/>
  <c r="AF12" i="129"/>
  <c r="AL12" i="129" s="1"/>
  <c r="AL11" i="129"/>
  <c r="AG19" i="162"/>
  <c r="AJ18" i="162"/>
  <c r="AH18" i="162" s="1"/>
  <c r="E17" i="164" s="1"/>
  <c r="AE18" i="162"/>
  <c r="AK18" i="162" s="1"/>
  <c r="B101" i="155"/>
  <c r="C94" i="155" s="1"/>
  <c r="B135" i="155"/>
  <c r="D101" i="155"/>
  <c r="B57" i="155" s="1"/>
  <c r="D135" i="155"/>
  <c r="B60" i="155" s="1"/>
  <c r="B84" i="155"/>
  <c r="B118" i="155"/>
  <c r="B88" i="155"/>
  <c r="B122" i="155"/>
  <c r="B86" i="155"/>
  <c r="B120" i="155"/>
  <c r="B117" i="155"/>
  <c r="B83" i="155"/>
  <c r="B129" i="154"/>
  <c r="B131" i="154" s="1"/>
  <c r="B106" i="155"/>
  <c r="B87" i="155"/>
  <c r="B121" i="155"/>
  <c r="B119" i="155"/>
  <c r="B85" i="155"/>
  <c r="B107" i="154"/>
  <c r="B141" i="154"/>
  <c r="B111" i="154"/>
  <c r="B145" i="154"/>
  <c r="B143" i="154"/>
  <c r="B109" i="154"/>
  <c r="B110" i="154"/>
  <c r="B144" i="154"/>
  <c r="B142" i="154"/>
  <c r="B108" i="154"/>
  <c r="B106" i="154"/>
  <c r="B140" i="154"/>
  <c r="B139" i="154"/>
  <c r="B124" i="154"/>
  <c r="C155" i="154" s="1"/>
  <c r="B158" i="154"/>
  <c r="X7" i="135"/>
  <c r="X11" i="135"/>
  <c r="X9" i="135"/>
  <c r="X6" i="135"/>
  <c r="X8" i="135"/>
  <c r="X10" i="135"/>
  <c r="X12" i="135"/>
  <c r="B123" i="155" l="1"/>
  <c r="AJ19" i="129"/>
  <c r="G18" i="164"/>
  <c r="D23" i="164"/>
  <c r="AA206" i="162"/>
  <c r="AA388" i="162" s="1"/>
  <c r="AA25" i="162"/>
  <c r="AI24" i="162"/>
  <c r="AJ16" i="158"/>
  <c r="AH16" i="158" s="1"/>
  <c r="AE16" i="158"/>
  <c r="AC87" i="158"/>
  <c r="AC58" i="158"/>
  <c r="AC27" i="158"/>
  <c r="AG17" i="158"/>
  <c r="AH14" i="129"/>
  <c r="AK13" i="129"/>
  <c r="AI13" i="129" s="1"/>
  <c r="H12" i="164" s="1"/>
  <c r="AB20" i="129"/>
  <c r="AB134" i="129"/>
  <c r="AB78" i="129"/>
  <c r="AK16" i="158"/>
  <c r="C99" i="155"/>
  <c r="C133" i="155"/>
  <c r="C95" i="155"/>
  <c r="C100" i="155"/>
  <c r="K5" i="135"/>
  <c r="E5" i="163"/>
  <c r="B5" i="163"/>
  <c r="C130" i="155"/>
  <c r="C97" i="155"/>
  <c r="C131" i="155"/>
  <c r="AF13" i="129"/>
  <c r="AL13" i="129" s="1"/>
  <c r="AG20" i="162"/>
  <c r="AJ19" i="162"/>
  <c r="AH19" i="162" s="1"/>
  <c r="E18" i="164" s="1"/>
  <c r="AE19" i="162"/>
  <c r="AK19" i="162" s="1"/>
  <c r="C129" i="154"/>
  <c r="C129" i="155"/>
  <c r="C96" i="155"/>
  <c r="C128" i="155"/>
  <c r="C134" i="155"/>
  <c r="C98" i="155"/>
  <c r="C132" i="155"/>
  <c r="D123" i="155"/>
  <c r="B59" i="155" s="1"/>
  <c r="C130" i="154"/>
  <c r="D108" i="155"/>
  <c r="B58" i="155" s="1"/>
  <c r="D89" i="155"/>
  <c r="B56" i="155" s="1"/>
  <c r="B108" i="155"/>
  <c r="B89" i="155"/>
  <c r="C82" i="155" s="1"/>
  <c r="B112" i="154"/>
  <c r="C111" i="154" s="1"/>
  <c r="K10" i="135"/>
  <c r="K9" i="135"/>
  <c r="B146" i="154"/>
  <c r="C145" i="154" s="1"/>
  <c r="K12" i="135"/>
  <c r="K7" i="135"/>
  <c r="K6" i="135"/>
  <c r="K11" i="135"/>
  <c r="K8" i="135"/>
  <c r="C117" i="154"/>
  <c r="C157" i="154"/>
  <c r="C121" i="154"/>
  <c r="C154" i="154"/>
  <c r="C120" i="154"/>
  <c r="C118" i="154"/>
  <c r="C153" i="154"/>
  <c r="C152" i="154"/>
  <c r="C156" i="154"/>
  <c r="C151" i="154"/>
  <c r="C119" i="154"/>
  <c r="C123" i="154"/>
  <c r="C122" i="154"/>
  <c r="G129" i="154" l="1"/>
  <c r="H130" i="154"/>
  <c r="I130" i="154"/>
  <c r="AJ20" i="129"/>
  <c r="G19" i="164"/>
  <c r="D24" i="164"/>
  <c r="AA207" i="162"/>
  <c r="AA389" i="162" s="1"/>
  <c r="AA26" i="162"/>
  <c r="AI25" i="162"/>
  <c r="AJ17" i="158"/>
  <c r="AH17" i="158" s="1"/>
  <c r="AE17" i="158"/>
  <c r="AC88" i="158"/>
  <c r="AC28" i="158"/>
  <c r="AG18" i="158"/>
  <c r="AH15" i="129"/>
  <c r="AK14" i="129"/>
  <c r="AI14" i="129" s="1"/>
  <c r="H13" i="164" s="1"/>
  <c r="AB135" i="129"/>
  <c r="AB79" i="129"/>
  <c r="AB21" i="129"/>
  <c r="AK17" i="158"/>
  <c r="K15" i="135"/>
  <c r="C5" i="163"/>
  <c r="I7" i="163" s="1"/>
  <c r="A5" i="163"/>
  <c r="D5" i="163"/>
  <c r="AF14" i="129"/>
  <c r="AL14" i="129" s="1"/>
  <c r="AG21" i="162"/>
  <c r="AJ20" i="162"/>
  <c r="AH20" i="162" s="1"/>
  <c r="E19" i="164" s="1"/>
  <c r="AE20" i="162"/>
  <c r="AK20" i="162" s="1"/>
  <c r="C131" i="154"/>
  <c r="B61" i="155"/>
  <c r="C101" i="155"/>
  <c r="C135" i="155"/>
  <c r="C119" i="155"/>
  <c r="C118" i="155"/>
  <c r="C116" i="155"/>
  <c r="C121" i="155"/>
  <c r="C122" i="155"/>
  <c r="C120" i="155"/>
  <c r="C117" i="155"/>
  <c r="C87" i="155"/>
  <c r="H129" i="154"/>
  <c r="C86" i="155"/>
  <c r="C85" i="155"/>
  <c r="C88" i="155"/>
  <c r="C84" i="155"/>
  <c r="C83" i="155"/>
  <c r="C107" i="155"/>
  <c r="C106" i="155"/>
  <c r="C141" i="154"/>
  <c r="C140" i="154"/>
  <c r="H110" i="154"/>
  <c r="C108" i="154"/>
  <c r="C110" i="154"/>
  <c r="I108" i="154"/>
  <c r="C107" i="154"/>
  <c r="C105" i="154"/>
  <c r="C106" i="154"/>
  <c r="C109" i="154"/>
  <c r="C139" i="154"/>
  <c r="C144" i="154"/>
  <c r="C143" i="154"/>
  <c r="C142" i="154"/>
  <c r="C124" i="154"/>
  <c r="C158" i="154"/>
  <c r="D13" i="163" l="1"/>
  <c r="I13" i="163" s="1" a="1"/>
  <c r="I13" i="163" s="1"/>
  <c r="D18" i="163"/>
  <c r="I18" i="163" s="1" a="1"/>
  <c r="I18" i="163" s="1"/>
  <c r="D12" i="163"/>
  <c r="I12" i="163" s="1" a="1"/>
  <c r="I12" i="163" s="1"/>
  <c r="D11" i="163"/>
  <c r="I11" i="163" s="1" a="1"/>
  <c r="I11" i="163" s="1"/>
  <c r="D16" i="163"/>
  <c r="I16" i="163" s="1" a="1"/>
  <c r="I16" i="163" s="1"/>
  <c r="D17" i="163"/>
  <c r="I17" i="163" s="1" a="1"/>
  <c r="I17" i="163" s="1"/>
  <c r="D14" i="163"/>
  <c r="I14" i="163" s="1" a="1"/>
  <c r="I14" i="163" s="1"/>
  <c r="D15" i="163"/>
  <c r="I15" i="163" s="1" a="1"/>
  <c r="I15" i="163" s="1"/>
  <c r="I6" i="163"/>
  <c r="I5" i="163"/>
  <c r="H123" i="154"/>
  <c r="I118" i="154"/>
  <c r="H120" i="154"/>
  <c r="H122" i="154"/>
  <c r="H121" i="154"/>
  <c r="I123" i="154"/>
  <c r="I120" i="154"/>
  <c r="I119" i="154"/>
  <c r="I122" i="154"/>
  <c r="I121" i="154"/>
  <c r="I117" i="154"/>
  <c r="G121" i="154"/>
  <c r="G118" i="154"/>
  <c r="G120" i="154"/>
  <c r="G122" i="154"/>
  <c r="G130" i="154"/>
  <c r="G117" i="154"/>
  <c r="G119" i="154"/>
  <c r="I129" i="154"/>
  <c r="G123" i="154"/>
  <c r="H119" i="154"/>
  <c r="H117" i="154"/>
  <c r="H118" i="154"/>
  <c r="AJ21" i="129"/>
  <c r="G20" i="164"/>
  <c r="D25" i="164"/>
  <c r="AA208" i="162"/>
  <c r="AA390" i="162" s="1"/>
  <c r="AA27" i="162"/>
  <c r="AI26" i="162"/>
  <c r="AJ18" i="158"/>
  <c r="AH18" i="158" s="1"/>
  <c r="AE18" i="158"/>
  <c r="AG19" i="158"/>
  <c r="AH16" i="129"/>
  <c r="AK15" i="129"/>
  <c r="AI15" i="129" s="1"/>
  <c r="H14" i="164" s="1"/>
  <c r="AB136" i="129"/>
  <c r="AB22" i="129"/>
  <c r="AB80" i="129"/>
  <c r="AK18" i="158"/>
  <c r="AF15" i="129"/>
  <c r="AL15" i="129" s="1"/>
  <c r="AJ21" i="162"/>
  <c r="AH21" i="162" s="1"/>
  <c r="E20" i="164" s="1"/>
  <c r="AG22" i="162"/>
  <c r="AE21" i="162"/>
  <c r="AK21" i="162" s="1"/>
  <c r="G109" i="154"/>
  <c r="G105" i="154"/>
  <c r="E131" i="154"/>
  <c r="C123" i="155"/>
  <c r="F131" i="154"/>
  <c r="D131" i="154"/>
  <c r="C108" i="155"/>
  <c r="C89" i="155"/>
  <c r="H107" i="154"/>
  <c r="H106" i="154"/>
  <c r="H105" i="154"/>
  <c r="H108" i="154"/>
  <c r="G108" i="154"/>
  <c r="G110" i="154"/>
  <c r="G111" i="154"/>
  <c r="H111" i="154"/>
  <c r="H109" i="154"/>
  <c r="C112" i="154"/>
  <c r="I110" i="154"/>
  <c r="I111" i="154"/>
  <c r="G107" i="154"/>
  <c r="G106" i="154"/>
  <c r="I109" i="154"/>
  <c r="I105" i="154"/>
  <c r="I106" i="154"/>
  <c r="I107" i="154"/>
  <c r="C146" i="154"/>
  <c r="D124" i="154"/>
  <c r="E124" i="154"/>
  <c r="B15" i="163" l="1"/>
  <c r="G15" i="163" s="1" a="1"/>
  <c r="G15" i="163" s="1"/>
  <c r="L15" i="163" s="1"/>
  <c r="B18" i="163"/>
  <c r="G18" i="163" s="1" a="1"/>
  <c r="G18" i="163" s="1"/>
  <c r="B16" i="163"/>
  <c r="G16" i="163" s="1" a="1"/>
  <c r="G16" i="163" s="1"/>
  <c r="L16" i="163" s="1"/>
  <c r="B14" i="163"/>
  <c r="B13" i="163"/>
  <c r="G13" i="163" s="1" a="1"/>
  <c r="G13" i="163" s="1"/>
  <c r="L13" i="163" s="1"/>
  <c r="B11" i="163"/>
  <c r="B17" i="163"/>
  <c r="G17" i="163" s="1" a="1"/>
  <c r="G17" i="163" s="1"/>
  <c r="B12" i="163"/>
  <c r="G12" i="163" s="1" a="1"/>
  <c r="G12" i="163" s="1"/>
  <c r="L12" i="163" s="1"/>
  <c r="C15" i="163"/>
  <c r="H15" i="163" s="1" a="1"/>
  <c r="H15" i="163" s="1"/>
  <c r="C17" i="163"/>
  <c r="H17" i="163" s="1" a="1"/>
  <c r="H17" i="163" s="1"/>
  <c r="C14" i="163"/>
  <c r="H14" i="163" s="1" a="1"/>
  <c r="H14" i="163" s="1"/>
  <c r="M13" i="163" s="1"/>
  <c r="C11" i="163"/>
  <c r="H11" i="163" s="1" a="1"/>
  <c r="H11" i="163" s="1"/>
  <c r="C16" i="163"/>
  <c r="H16" i="163" s="1" a="1"/>
  <c r="H16" i="163" s="1"/>
  <c r="C18" i="163"/>
  <c r="H18" i="163" s="1" a="1"/>
  <c r="H18" i="163" s="1"/>
  <c r="C13" i="163"/>
  <c r="H13" i="163" s="1" a="1"/>
  <c r="H13" i="163" s="1"/>
  <c r="C12" i="163"/>
  <c r="H12" i="163" s="1" a="1"/>
  <c r="H12" i="163" s="1"/>
  <c r="M11" i="163" s="1"/>
  <c r="I131" i="154"/>
  <c r="D81" i="154" s="1"/>
  <c r="E29" i="163" s="1"/>
  <c r="G131" i="154"/>
  <c r="B81" i="154" s="1"/>
  <c r="C29" i="163" s="1"/>
  <c r="AJ22" i="129"/>
  <c r="G21" i="164"/>
  <c r="D26" i="164"/>
  <c r="AA209" i="162"/>
  <c r="AA391" i="162" s="1"/>
  <c r="AA28" i="162"/>
  <c r="AI27" i="162"/>
  <c r="AJ19" i="158"/>
  <c r="AH19" i="158" s="1"/>
  <c r="AE19" i="158"/>
  <c r="AG20" i="158"/>
  <c r="AK19" i="158"/>
  <c r="AH17" i="129"/>
  <c r="AK16" i="129"/>
  <c r="AI16" i="129" s="1"/>
  <c r="H15" i="164" s="1"/>
  <c r="AB137" i="129"/>
  <c r="AB81" i="129"/>
  <c r="AB23" i="129"/>
  <c r="G22" i="164" s="1"/>
  <c r="G14" i="163" a="1"/>
  <c r="G14" i="163" s="1"/>
  <c r="L14" i="163" s="1"/>
  <c r="B47" i="155" s="1"/>
  <c r="AF16" i="129"/>
  <c r="AL16" i="129" s="1"/>
  <c r="AG23" i="162"/>
  <c r="AG24" i="162" s="1"/>
  <c r="AJ22" i="162"/>
  <c r="AH22" i="162" s="1"/>
  <c r="E21" i="164" s="1"/>
  <c r="AE22" i="162"/>
  <c r="AK22" i="162" s="1"/>
  <c r="H131" i="154"/>
  <c r="C81" i="154" s="1"/>
  <c r="E112" i="154"/>
  <c r="F146" i="154"/>
  <c r="F112" i="154"/>
  <c r="D112" i="154"/>
  <c r="F158" i="154"/>
  <c r="E146" i="154"/>
  <c r="D158" i="154"/>
  <c r="D146" i="154"/>
  <c r="E158" i="154"/>
  <c r="G146" i="154"/>
  <c r="B82" i="154" s="1"/>
  <c r="C30" i="163" s="1"/>
  <c r="I124" i="154"/>
  <c r="D80" i="154" s="1"/>
  <c r="E28" i="163" s="1"/>
  <c r="G124" i="154"/>
  <c r="B80" i="154" s="1"/>
  <c r="C28" i="163" s="1"/>
  <c r="H112" i="154"/>
  <c r="C79" i="154" s="1"/>
  <c r="H124" i="154"/>
  <c r="C80" i="154" s="1"/>
  <c r="H146" i="154"/>
  <c r="C82" i="154" s="1"/>
  <c r="M16" i="163" l="1"/>
  <c r="M15" i="163"/>
  <c r="M14" i="163"/>
  <c r="G11" i="163" a="1"/>
  <c r="G11" i="163" s="1"/>
  <c r="L11" i="163" s="1"/>
  <c r="M12" i="163"/>
  <c r="H158" i="154"/>
  <c r="C83" i="154" s="1"/>
  <c r="D31" i="163" s="1"/>
  <c r="G158" i="154"/>
  <c r="B83" i="154" s="1"/>
  <c r="C31" i="163" s="1"/>
  <c r="H28" i="163" s="1"/>
  <c r="D27" i="164"/>
  <c r="AA210" i="162"/>
  <c r="AA392" i="162" s="1"/>
  <c r="AA29" i="162"/>
  <c r="AI28" i="162"/>
  <c r="D30" i="163"/>
  <c r="D29" i="163"/>
  <c r="D28" i="163"/>
  <c r="D27" i="163"/>
  <c r="I26" i="163" s="1"/>
  <c r="C37" i="163" s="1"/>
  <c r="H37" i="163" s="1" a="1"/>
  <c r="H37" i="163" s="1"/>
  <c r="AJ20" i="158"/>
  <c r="AH20" i="158" s="1"/>
  <c r="AE20" i="158"/>
  <c r="AG21" i="158"/>
  <c r="AK20" i="158"/>
  <c r="AB24" i="129"/>
  <c r="G23" i="164" s="1"/>
  <c r="AJ23" i="129"/>
  <c r="AH18" i="129"/>
  <c r="AK17" i="129"/>
  <c r="AI17" i="129" s="1"/>
  <c r="H16" i="164" s="1"/>
  <c r="AB25" i="129"/>
  <c r="G24" i="164" s="1"/>
  <c r="AB82" i="129"/>
  <c r="AB138" i="129"/>
  <c r="AJ24" i="162"/>
  <c r="AH24" i="162" s="1"/>
  <c r="E23" i="164" s="1"/>
  <c r="AG25" i="162"/>
  <c r="AE24" i="162"/>
  <c r="AF17" i="129"/>
  <c r="AL17" i="129" s="1"/>
  <c r="AJ23" i="162"/>
  <c r="AH23" i="162" s="1"/>
  <c r="E22" i="164" s="1"/>
  <c r="AE23" i="162"/>
  <c r="G112" i="154"/>
  <c r="B79" i="154" s="1"/>
  <c r="C27" i="163" s="1"/>
  <c r="H26" i="163" s="1"/>
  <c r="B37" i="163" s="1"/>
  <c r="G37" i="163" s="1" a="1"/>
  <c r="G37" i="163" s="1"/>
  <c r="I146" i="154"/>
  <c r="D82" i="154" s="1"/>
  <c r="E30" i="163" s="1"/>
  <c r="I158" i="154"/>
  <c r="D83" i="154" s="1"/>
  <c r="E31" i="163" s="1"/>
  <c r="J28" i="163" s="1"/>
  <c r="I112" i="154"/>
  <c r="D79" i="154" s="1"/>
  <c r="E27" i="163" s="1"/>
  <c r="J26" i="163" l="1"/>
  <c r="D37" i="163" s="1"/>
  <c r="I27" i="163"/>
  <c r="I28" i="163"/>
  <c r="J27" i="163"/>
  <c r="H27" i="163"/>
  <c r="C84" i="154"/>
  <c r="D28" i="164"/>
  <c r="AA211" i="162"/>
  <c r="AA393" i="162" s="1"/>
  <c r="AA30" i="162"/>
  <c r="AI29" i="162"/>
  <c r="C32" i="163"/>
  <c r="E32" i="163"/>
  <c r="D32" i="163"/>
  <c r="AJ21" i="158"/>
  <c r="AH21" i="158" s="1"/>
  <c r="AE21" i="158"/>
  <c r="AG22" i="158"/>
  <c r="AK21" i="158"/>
  <c r="AH19" i="129"/>
  <c r="AK18" i="129"/>
  <c r="AI18" i="129" s="1"/>
  <c r="H17" i="164" s="1"/>
  <c r="AB84" i="129"/>
  <c r="AB140" i="129"/>
  <c r="AJ25" i="129"/>
  <c r="AB83" i="129"/>
  <c r="AB139" i="129" s="1"/>
  <c r="AJ24" i="129"/>
  <c r="AB26" i="129"/>
  <c r="G25" i="164" s="1"/>
  <c r="AK24" i="162"/>
  <c r="AG26" i="162"/>
  <c r="AJ25" i="162"/>
  <c r="AH25" i="162" s="1"/>
  <c r="E24" i="164" s="1"/>
  <c r="AE25" i="162"/>
  <c r="AK25" i="162" s="1"/>
  <c r="AF18" i="129"/>
  <c r="AL18" i="129" s="1"/>
  <c r="AK23" i="162"/>
  <c r="B84" i="154"/>
  <c r="D84" i="154"/>
  <c r="B54" i="163" l="1"/>
  <c r="B61" i="163"/>
  <c r="G61" i="163" s="1" a="1"/>
  <c r="G61" i="163" s="1"/>
  <c r="L61" i="163" s="1"/>
  <c r="B62" i="163"/>
  <c r="G62" i="163" s="1" a="1"/>
  <c r="G62" i="163" s="1"/>
  <c r="B65" i="163"/>
  <c r="G65" i="163" s="1" a="1"/>
  <c r="G65" i="163" s="1"/>
  <c r="B55" i="163"/>
  <c r="B52" i="163"/>
  <c r="B51" i="163"/>
  <c r="B53" i="163"/>
  <c r="B49" i="163"/>
  <c r="B64" i="163"/>
  <c r="G64" i="163" s="1" a="1"/>
  <c r="G64" i="163" s="1"/>
  <c r="B59" i="163"/>
  <c r="G59" i="163" s="1" a="1"/>
  <c r="G59" i="163" s="1"/>
  <c r="L59" i="163" s="1"/>
  <c r="B50" i="163"/>
  <c r="B66" i="163"/>
  <c r="G66" i="163" s="1" a="1"/>
  <c r="G66" i="163" s="1"/>
  <c r="B60" i="163"/>
  <c r="G60" i="163" s="1" a="1"/>
  <c r="G60" i="163" s="1"/>
  <c r="L60" i="163" s="1"/>
  <c r="B63" i="163"/>
  <c r="G63" i="163" s="1" a="1"/>
  <c r="G63" i="163" s="1"/>
  <c r="L63" i="163" s="1"/>
  <c r="B48" i="163"/>
  <c r="G48" i="163" s="1" a="1"/>
  <c r="G48" i="163" s="1"/>
  <c r="D52" i="163"/>
  <c r="D55" i="163"/>
  <c r="D60" i="163"/>
  <c r="I60" i="163" s="1" a="1"/>
  <c r="I60" i="163" s="1"/>
  <c r="D59" i="163"/>
  <c r="I59" i="163" s="1" a="1"/>
  <c r="I59" i="163" s="1"/>
  <c r="D53" i="163"/>
  <c r="D62" i="163"/>
  <c r="I62" i="163" s="1" a="1"/>
  <c r="I62" i="163" s="1"/>
  <c r="N62" i="163" s="1"/>
  <c r="D54" i="163"/>
  <c r="D50" i="163"/>
  <c r="D51" i="163"/>
  <c r="D63" i="163"/>
  <c r="I63" i="163" s="1" a="1"/>
  <c r="I63" i="163" s="1"/>
  <c r="D65" i="163"/>
  <c r="I65" i="163" s="1" a="1"/>
  <c r="I65" i="163" s="1"/>
  <c r="D49" i="163"/>
  <c r="D61" i="163"/>
  <c r="I61" i="163" s="1" a="1"/>
  <c r="I61" i="163" s="1"/>
  <c r="D48" i="163"/>
  <c r="D66" i="163"/>
  <c r="I66" i="163" s="1" a="1"/>
  <c r="I66" i="163" s="1"/>
  <c r="D64" i="163"/>
  <c r="I64" i="163" s="1" a="1"/>
  <c r="I64" i="163" s="1"/>
  <c r="N64" i="163" s="1"/>
  <c r="C51" i="163"/>
  <c r="C59" i="163"/>
  <c r="H59" i="163" s="1" a="1"/>
  <c r="H59" i="163" s="1"/>
  <c r="C64" i="163"/>
  <c r="H64" i="163" s="1" a="1"/>
  <c r="H64" i="163" s="1"/>
  <c r="C61" i="163"/>
  <c r="H61" i="163" s="1" a="1"/>
  <c r="H61" i="163" s="1"/>
  <c r="C54" i="163"/>
  <c r="C48" i="163"/>
  <c r="C55" i="163"/>
  <c r="C53" i="163"/>
  <c r="C62" i="163"/>
  <c r="H62" i="163" s="1" a="1"/>
  <c r="H62" i="163" s="1"/>
  <c r="C60" i="163"/>
  <c r="H60" i="163" s="1" a="1"/>
  <c r="H60" i="163" s="1"/>
  <c r="C52" i="163"/>
  <c r="C50" i="163"/>
  <c r="C63" i="163"/>
  <c r="H63" i="163" s="1" a="1"/>
  <c r="H63" i="163" s="1"/>
  <c r="M63" i="163" s="1"/>
  <c r="C49" i="163"/>
  <c r="C66" i="163"/>
  <c r="H66" i="163" s="1" a="1"/>
  <c r="H66" i="163" s="1"/>
  <c r="C65" i="163"/>
  <c r="H65" i="163" s="1" a="1"/>
  <c r="H65" i="163" s="1"/>
  <c r="D29" i="164"/>
  <c r="AA212" i="162"/>
  <c r="AA394" i="162" s="1"/>
  <c r="AA31" i="162"/>
  <c r="AI30" i="162"/>
  <c r="D38" i="163"/>
  <c r="I38" i="163" s="1" a="1"/>
  <c r="I38" i="163" s="1"/>
  <c r="S37" i="163" s="1"/>
  <c r="D43" i="163"/>
  <c r="I43" i="163" s="1" a="1"/>
  <c r="I43" i="163" s="1"/>
  <c r="S42" i="163" s="1"/>
  <c r="D71" i="154" s="1"/>
  <c r="D41" i="163"/>
  <c r="I41" i="163" s="1" a="1"/>
  <c r="I41" i="163" s="1"/>
  <c r="S40" i="163" s="1"/>
  <c r="D44" i="163"/>
  <c r="I44" i="163" s="1" a="1"/>
  <c r="I44" i="163" s="1"/>
  <c r="D40" i="163"/>
  <c r="I40" i="163" s="1" a="1"/>
  <c r="I40" i="163" s="1"/>
  <c r="S39" i="163" s="1"/>
  <c r="D42" i="163"/>
  <c r="I42" i="163" s="1" a="1"/>
  <c r="I42" i="163" s="1"/>
  <c r="S41" i="163" s="1"/>
  <c r="D39" i="163"/>
  <c r="I39" i="163" s="1" a="1"/>
  <c r="I39" i="163" s="1"/>
  <c r="S38" i="163" s="1"/>
  <c r="I37" i="163" a="1"/>
  <c r="I37" i="163" s="1"/>
  <c r="B44" i="163"/>
  <c r="G44" i="163" s="1" a="1"/>
  <c r="G44" i="163" s="1"/>
  <c r="B42" i="163"/>
  <c r="G42" i="163" s="1" a="1"/>
  <c r="G42" i="163" s="1"/>
  <c r="Q41" i="163" s="1"/>
  <c r="B41" i="163"/>
  <c r="G41" i="163" s="1" a="1"/>
  <c r="G41" i="163" s="1"/>
  <c r="Q40" i="163" s="1"/>
  <c r="B43" i="163"/>
  <c r="G43" i="163" s="1" a="1"/>
  <c r="G43" i="163" s="1"/>
  <c r="Q42" i="163" s="1"/>
  <c r="B71" i="154" s="1"/>
  <c r="J105" i="154" s="1"/>
  <c r="B38" i="163"/>
  <c r="G38" i="163" s="1" a="1"/>
  <c r="G38" i="163" s="1"/>
  <c r="Q37" i="163" s="1"/>
  <c r="B40" i="163"/>
  <c r="G40" i="163" s="1" a="1"/>
  <c r="G40" i="163" s="1"/>
  <c r="Q39" i="163" s="1"/>
  <c r="B39" i="163"/>
  <c r="G39" i="163" s="1" a="1"/>
  <c r="G39" i="163" s="1"/>
  <c r="Q38" i="163" s="1"/>
  <c r="C39" i="163"/>
  <c r="H39" i="163" s="1" a="1"/>
  <c r="H39" i="163" s="1"/>
  <c r="R38" i="163" s="1"/>
  <c r="C44" i="163"/>
  <c r="H44" i="163" s="1" a="1"/>
  <c r="H44" i="163" s="1"/>
  <c r="C41" i="163"/>
  <c r="H41" i="163" s="1" a="1"/>
  <c r="H41" i="163" s="1"/>
  <c r="R40" i="163" s="1"/>
  <c r="C40" i="163"/>
  <c r="H40" i="163" s="1" a="1"/>
  <c r="H40" i="163" s="1"/>
  <c r="R39" i="163" s="1"/>
  <c r="C43" i="163"/>
  <c r="H43" i="163" s="1" a="1"/>
  <c r="H43" i="163" s="1"/>
  <c r="R42" i="163" s="1"/>
  <c r="C71" i="154" s="1"/>
  <c r="C42" i="163"/>
  <c r="H42" i="163" s="1" a="1"/>
  <c r="H42" i="163" s="1"/>
  <c r="R41" i="163" s="1"/>
  <c r="C38" i="163"/>
  <c r="H38" i="163" s="1" a="1"/>
  <c r="H38" i="163" s="1"/>
  <c r="R37" i="163" s="1"/>
  <c r="AJ22" i="158"/>
  <c r="AH22" i="158" s="1"/>
  <c r="AE22" i="158"/>
  <c r="AG23" i="158"/>
  <c r="AK22" i="158"/>
  <c r="AB85" i="129"/>
  <c r="AB141" i="129"/>
  <c r="AJ26" i="129"/>
  <c r="AH20" i="129"/>
  <c r="AK19" i="129"/>
  <c r="AI19" i="129" s="1"/>
  <c r="AB27" i="129"/>
  <c r="G26" i="164" s="1"/>
  <c r="AJ26" i="162"/>
  <c r="AH26" i="162" s="1"/>
  <c r="AG27" i="162"/>
  <c r="AE26" i="162"/>
  <c r="AK26" i="162" s="1"/>
  <c r="AF19" i="129"/>
  <c r="AL19" i="129" s="1"/>
  <c r="H18" i="164" l="1"/>
  <c r="E25" i="164"/>
  <c r="D30" i="164"/>
  <c r="AA213" i="162"/>
  <c r="AA395" i="162" s="1"/>
  <c r="AA32" i="162"/>
  <c r="AI31" i="162"/>
  <c r="K110" i="154"/>
  <c r="L108" i="154"/>
  <c r="K108" i="154"/>
  <c r="J107" i="154"/>
  <c r="L111" i="154"/>
  <c r="K111" i="154"/>
  <c r="L109" i="154"/>
  <c r="J111" i="154"/>
  <c r="L105" i="154"/>
  <c r="K105" i="154"/>
  <c r="K106" i="154"/>
  <c r="L107" i="154"/>
  <c r="J106" i="154"/>
  <c r="K107" i="154"/>
  <c r="L110" i="154"/>
  <c r="K109" i="154"/>
  <c r="J109" i="154"/>
  <c r="J110" i="154"/>
  <c r="J108" i="154"/>
  <c r="L106" i="154"/>
  <c r="AJ23" i="158"/>
  <c r="AE23" i="158"/>
  <c r="AG24" i="158"/>
  <c r="AH23" i="158"/>
  <c r="AK23" i="158"/>
  <c r="AH21" i="129"/>
  <c r="AK20" i="129"/>
  <c r="AI20" i="129" s="1"/>
  <c r="AB86" i="129"/>
  <c r="AB142" i="129"/>
  <c r="AJ27" i="129"/>
  <c r="AB28" i="129"/>
  <c r="G27" i="164" s="1"/>
  <c r="AG28" i="162"/>
  <c r="AJ27" i="162"/>
  <c r="AH27" i="162" s="1"/>
  <c r="AE27" i="162"/>
  <c r="AK27" i="162" s="1"/>
  <c r="AF20" i="129"/>
  <c r="AL20" i="129" s="1"/>
  <c r="H19" i="164" l="1"/>
  <c r="E26" i="164"/>
  <c r="D31" i="164"/>
  <c r="AA214" i="162"/>
  <c r="AA396" i="162" s="1"/>
  <c r="AA33" i="162"/>
  <c r="AI32" i="162"/>
  <c r="L146" i="154"/>
  <c r="D94" i="154" s="1"/>
  <c r="K146" i="154"/>
  <c r="C94" i="154" s="1"/>
  <c r="J146" i="154"/>
  <c r="B94" i="154" s="1"/>
  <c r="K112" i="154"/>
  <c r="C91" i="154" s="1"/>
  <c r="L112" i="154"/>
  <c r="D91" i="154" s="1"/>
  <c r="J112" i="154"/>
  <c r="B91" i="154" s="1"/>
  <c r="AJ24" i="158"/>
  <c r="AH24" i="158" s="1"/>
  <c r="AE24" i="158"/>
  <c r="AG25" i="158"/>
  <c r="AK24" i="158"/>
  <c r="AB87" i="129"/>
  <c r="AB143" i="129"/>
  <c r="AJ28" i="129"/>
  <c r="AH22" i="129"/>
  <c r="AK21" i="129"/>
  <c r="AI21" i="129" s="1"/>
  <c r="AB29" i="129"/>
  <c r="G28" i="164" s="1"/>
  <c r="AJ28" i="162"/>
  <c r="AH28" i="162" s="1"/>
  <c r="AG29" i="162"/>
  <c r="AE28" i="162"/>
  <c r="AK28" i="162" s="1"/>
  <c r="AF21" i="129"/>
  <c r="AL21" i="129" s="1"/>
  <c r="H20" i="164" l="1"/>
  <c r="D32" i="164"/>
  <c r="AA215" i="162"/>
  <c r="AA397" i="162" s="1"/>
  <c r="AA34" i="162"/>
  <c r="AI33" i="162"/>
  <c r="E27" i="164"/>
  <c r="AJ25" i="158"/>
  <c r="AE25" i="158"/>
  <c r="AG26" i="158"/>
  <c r="AH25" i="158"/>
  <c r="AK25" i="158"/>
  <c r="AB88" i="129"/>
  <c r="AB144" i="129"/>
  <c r="AJ29" i="129"/>
  <c r="AH23" i="129"/>
  <c r="AK22" i="129"/>
  <c r="AI22" i="129" s="1"/>
  <c r="AB30" i="129"/>
  <c r="G29" i="164" s="1"/>
  <c r="AJ29" i="162"/>
  <c r="AH29" i="162" s="1"/>
  <c r="AG30" i="162"/>
  <c r="AE29" i="162"/>
  <c r="AK29" i="162" s="1"/>
  <c r="AF22" i="129"/>
  <c r="AL22" i="129" s="1"/>
  <c r="H21" i="164" l="1"/>
  <c r="D33" i="164"/>
  <c r="AA216" i="162"/>
  <c r="AA398" i="162" s="1"/>
  <c r="AA35" i="162"/>
  <c r="AI34" i="162"/>
  <c r="E28" i="164"/>
  <c r="AJ26" i="158"/>
  <c r="AH26" i="158" s="1"/>
  <c r="AE26" i="158"/>
  <c r="AG27" i="158"/>
  <c r="AK26" i="158"/>
  <c r="AH24" i="129"/>
  <c r="AK23" i="129"/>
  <c r="AI23" i="129" s="1"/>
  <c r="AB89" i="129"/>
  <c r="AB145" i="129"/>
  <c r="AJ30" i="129"/>
  <c r="AF24" i="129"/>
  <c r="AB31" i="129"/>
  <c r="G30" i="164" s="1"/>
  <c r="AJ30" i="162"/>
  <c r="AH30" i="162" s="1"/>
  <c r="AE30" i="162"/>
  <c r="AK30" i="162" s="1"/>
  <c r="AG31" i="162"/>
  <c r="AF23" i="129"/>
  <c r="AL23" i="129" s="1"/>
  <c r="H22" i="164" l="1"/>
  <c r="D34" i="164"/>
  <c r="AA217" i="162"/>
  <c r="AA399" i="162" s="1"/>
  <c r="AA36" i="162"/>
  <c r="AI35" i="162"/>
  <c r="E29" i="164"/>
  <c r="AJ27" i="158"/>
  <c r="AE27" i="158"/>
  <c r="AG28" i="158"/>
  <c r="AH27" i="158"/>
  <c r="AK27" i="158"/>
  <c r="AB90" i="129"/>
  <c r="AB146" i="129"/>
  <c r="AJ31" i="129"/>
  <c r="AH25" i="129"/>
  <c r="AF25" i="129" s="1"/>
  <c r="AL25" i="129" s="1"/>
  <c r="AK24" i="129"/>
  <c r="AI24" i="129" s="1"/>
  <c r="AL24" i="129"/>
  <c r="AB32" i="129"/>
  <c r="G31" i="164" s="1"/>
  <c r="AE31" i="162"/>
  <c r="AK31" i="162" s="1"/>
  <c r="AG32" i="162"/>
  <c r="AJ31" i="162"/>
  <c r="AH31" i="162" s="1"/>
  <c r="H23" i="164" l="1"/>
  <c r="E30" i="164"/>
  <c r="D35" i="164"/>
  <c r="AA218" i="162"/>
  <c r="AA400" i="162" s="1"/>
  <c r="AA37" i="162"/>
  <c r="AI36" i="162"/>
  <c r="AJ28" i="158"/>
  <c r="AH28" i="158" s="1"/>
  <c r="AE28" i="158"/>
  <c r="AK28" i="158"/>
  <c r="AB91" i="129"/>
  <c r="AB147" i="129"/>
  <c r="AJ32" i="129"/>
  <c r="AH26" i="129"/>
  <c r="AK25" i="129"/>
  <c r="AI25" i="129" s="1"/>
  <c r="AF26" i="129"/>
  <c r="AL26" i="129" s="1"/>
  <c r="AB33" i="129"/>
  <c r="G32" i="164" s="1"/>
  <c r="AG33" i="162"/>
  <c r="AJ32" i="162"/>
  <c r="AH32" i="162" s="1"/>
  <c r="AE32" i="162"/>
  <c r="AK32" i="162" s="1"/>
  <c r="H24" i="164" l="1"/>
  <c r="D36" i="164"/>
  <c r="AA219" i="162"/>
  <c r="AA401" i="162" s="1"/>
  <c r="AA38" i="162"/>
  <c r="AI37" i="162"/>
  <c r="E31" i="164"/>
  <c r="AB92" i="129"/>
  <c r="AB148" i="129"/>
  <c r="AJ33" i="129"/>
  <c r="AH27" i="129"/>
  <c r="AF27" i="129" s="1"/>
  <c r="AL27" i="129" s="1"/>
  <c r="AK26" i="129"/>
  <c r="AI26" i="129" s="1"/>
  <c r="AB34" i="129"/>
  <c r="G33" i="164" s="1"/>
  <c r="AJ33" i="162"/>
  <c r="AH33" i="162" s="1"/>
  <c r="AE33" i="162"/>
  <c r="AK33" i="162" s="1"/>
  <c r="AG34" i="162"/>
  <c r="B16" i="1"/>
  <c r="H25" i="164" l="1"/>
  <c r="E32" i="164"/>
  <c r="D37" i="164"/>
  <c r="AA220" i="162"/>
  <c r="AA402" i="162" s="1"/>
  <c r="AA39" i="162"/>
  <c r="AI38" i="162"/>
  <c r="E85" i="155"/>
  <c r="E122" i="155"/>
  <c r="E119" i="155"/>
  <c r="E120" i="155"/>
  <c r="E88" i="155"/>
  <c r="E117" i="155"/>
  <c r="E86" i="155"/>
  <c r="E84" i="155"/>
  <c r="E116" i="155"/>
  <c r="E83" i="155"/>
  <c r="E118" i="155"/>
  <c r="E82" i="155"/>
  <c r="E121" i="155"/>
  <c r="E87" i="155"/>
  <c r="AB93" i="129"/>
  <c r="AB149" i="129"/>
  <c r="AJ34" i="129"/>
  <c r="AH28" i="129"/>
  <c r="AK27" i="129"/>
  <c r="AI27" i="129" s="1"/>
  <c r="AF28" i="129"/>
  <c r="AL28" i="129" s="1"/>
  <c r="AB35" i="129"/>
  <c r="G34" i="164" s="1"/>
  <c r="AG35" i="162"/>
  <c r="AJ34" i="162"/>
  <c r="AH34" i="162" s="1"/>
  <c r="AE34" i="162"/>
  <c r="AK34" i="162" s="1"/>
  <c r="H26" i="164" l="1"/>
  <c r="E33" i="164"/>
  <c r="D38" i="164"/>
  <c r="AA221" i="162"/>
  <c r="AA403" i="162" s="1"/>
  <c r="AA40" i="162"/>
  <c r="AI39" i="162"/>
  <c r="E89" i="155"/>
  <c r="B68" i="155" s="1"/>
  <c r="E123" i="155"/>
  <c r="B71" i="155" s="1"/>
  <c r="AH29" i="129"/>
  <c r="AK28" i="129"/>
  <c r="AI28" i="129" s="1"/>
  <c r="AB94" i="129"/>
  <c r="AB150" i="129"/>
  <c r="AJ35" i="129"/>
  <c r="AF29" i="129"/>
  <c r="AL29" i="129" s="1"/>
  <c r="AB36" i="129"/>
  <c r="G35" i="164" s="1"/>
  <c r="AJ35" i="162"/>
  <c r="AH35" i="162" s="1"/>
  <c r="AG36" i="162"/>
  <c r="AE35" i="162"/>
  <c r="AK35" i="162" s="1"/>
  <c r="X15" i="135"/>
  <c r="H27" i="164" l="1"/>
  <c r="E34" i="164"/>
  <c r="D39" i="164"/>
  <c r="AA222" i="162"/>
  <c r="AA404" i="162" s="1"/>
  <c r="AA41" i="162"/>
  <c r="AI40" i="162"/>
  <c r="AB95" i="129"/>
  <c r="AB151" i="129"/>
  <c r="AJ36" i="129"/>
  <c r="AH30" i="129"/>
  <c r="AK29" i="129"/>
  <c r="AI29" i="129" s="1"/>
  <c r="AF30" i="129"/>
  <c r="AL30" i="129" s="1"/>
  <c r="AB37" i="129"/>
  <c r="G36" i="164" s="1"/>
  <c r="AG37" i="162"/>
  <c r="AJ36" i="162"/>
  <c r="AH36" i="162" s="1"/>
  <c r="AE36" i="162"/>
  <c r="AK36" i="162" s="1"/>
  <c r="H28" i="164" l="1"/>
  <c r="D40" i="164"/>
  <c r="AA223" i="162"/>
  <c r="AA405" i="162" s="1"/>
  <c r="AA42" i="162"/>
  <c r="AI41" i="162"/>
  <c r="E35" i="164"/>
  <c r="AB96" i="129"/>
  <c r="AB152" i="129"/>
  <c r="AJ37" i="129"/>
  <c r="AH31" i="129"/>
  <c r="AK30" i="129"/>
  <c r="AI30" i="129" s="1"/>
  <c r="AF31" i="129"/>
  <c r="AL31" i="129" s="1"/>
  <c r="AB38" i="129"/>
  <c r="G37" i="164" s="1"/>
  <c r="AJ37" i="162"/>
  <c r="AH37" i="162" s="1"/>
  <c r="AG38" i="162"/>
  <c r="AE37" i="162"/>
  <c r="AK37" i="162" s="1"/>
  <c r="H29" i="164" l="1"/>
  <c r="E36" i="164"/>
  <c r="D41" i="164"/>
  <c r="AA224" i="162"/>
  <c r="AA406" i="162" s="1"/>
  <c r="AA43" i="162"/>
  <c r="AI42" i="162"/>
  <c r="AH32" i="129"/>
  <c r="AK31" i="129"/>
  <c r="AI31" i="129" s="1"/>
  <c r="AB97" i="129"/>
  <c r="AB153" i="129"/>
  <c r="AJ38" i="129"/>
  <c r="AF32" i="129"/>
  <c r="AL32" i="129" s="1"/>
  <c r="AB39" i="129"/>
  <c r="G38" i="164" s="1"/>
  <c r="AJ38" i="162"/>
  <c r="AH38" i="162" s="1"/>
  <c r="AG39" i="162"/>
  <c r="AE38" i="162"/>
  <c r="AK38" i="162" s="1"/>
  <c r="H30" i="164" l="1"/>
  <c r="E37" i="164"/>
  <c r="D42" i="164"/>
  <c r="AA225" i="162"/>
  <c r="AA407" i="162" s="1"/>
  <c r="AA44" i="162"/>
  <c r="AI43" i="162"/>
  <c r="AB98" i="129"/>
  <c r="AB154" i="129"/>
  <c r="AJ39" i="129"/>
  <c r="AH33" i="129"/>
  <c r="AK32" i="129"/>
  <c r="AI32" i="129" s="1"/>
  <c r="AF33" i="129"/>
  <c r="AL33" i="129" s="1"/>
  <c r="AB40" i="129"/>
  <c r="G39" i="164" s="1"/>
  <c r="AJ39" i="162"/>
  <c r="AH39" i="162" s="1"/>
  <c r="AG40" i="162"/>
  <c r="AE39" i="162"/>
  <c r="AK39" i="162" s="1"/>
  <c r="H31" i="164" l="1"/>
  <c r="E38" i="164"/>
  <c r="D43" i="164"/>
  <c r="AA226" i="162"/>
  <c r="AA408" i="162" s="1"/>
  <c r="AA45" i="162"/>
  <c r="AI44" i="162"/>
  <c r="AB99" i="129"/>
  <c r="AB155" i="129"/>
  <c r="AJ40" i="129"/>
  <c r="AH34" i="129"/>
  <c r="AK33" i="129"/>
  <c r="AI33" i="129" s="1"/>
  <c r="AF34" i="129"/>
  <c r="AL34" i="129" s="1"/>
  <c r="AB41" i="129"/>
  <c r="G40" i="164" s="1"/>
  <c r="AJ40" i="162"/>
  <c r="AH40" i="162" s="1"/>
  <c r="AG41" i="162"/>
  <c r="AE40" i="162"/>
  <c r="AK40" i="162" s="1"/>
  <c r="H32" i="164" l="1"/>
  <c r="D44" i="164"/>
  <c r="AA227" i="162"/>
  <c r="AA409" i="162" s="1"/>
  <c r="AA46" i="162"/>
  <c r="AI45" i="162"/>
  <c r="E39" i="164"/>
  <c r="AH35" i="129"/>
  <c r="AK34" i="129"/>
  <c r="AI34" i="129" s="1"/>
  <c r="AB100" i="129"/>
  <c r="AB156" i="129"/>
  <c r="AJ41" i="129"/>
  <c r="AF35" i="129"/>
  <c r="AL35" i="129" s="1"/>
  <c r="AB42" i="129"/>
  <c r="G41" i="164" s="1"/>
  <c r="AJ41" i="162"/>
  <c r="AH41" i="162" s="1"/>
  <c r="AG42" i="162"/>
  <c r="AE41" i="162"/>
  <c r="AK41" i="162" s="1"/>
  <c r="H33" i="164" l="1"/>
  <c r="D45" i="164"/>
  <c r="AA228" i="162"/>
  <c r="AA410" i="162" s="1"/>
  <c r="AA47" i="162"/>
  <c r="AI46" i="162"/>
  <c r="E40" i="164"/>
  <c r="AB101" i="129"/>
  <c r="AB157" i="129"/>
  <c r="AJ42" i="129"/>
  <c r="AH36" i="129"/>
  <c r="AK35" i="129"/>
  <c r="AI35" i="129" s="1"/>
  <c r="AF36" i="129"/>
  <c r="AL36" i="129" s="1"/>
  <c r="AB43" i="129"/>
  <c r="G42" i="164" s="1"/>
  <c r="AJ42" i="162"/>
  <c r="AH42" i="162" s="1"/>
  <c r="AG43" i="162"/>
  <c r="AE42" i="162"/>
  <c r="AK42" i="162" s="1"/>
  <c r="H34" i="164" l="1"/>
  <c r="D46" i="164"/>
  <c r="AA229" i="162"/>
  <c r="AA411" i="162" s="1"/>
  <c r="AA48" i="162"/>
  <c r="AI47" i="162"/>
  <c r="E41" i="164"/>
  <c r="AH37" i="129"/>
  <c r="AK36" i="129"/>
  <c r="AI36" i="129" s="1"/>
  <c r="AB102" i="129"/>
  <c r="AB158" i="129"/>
  <c r="AJ43" i="129"/>
  <c r="AF37" i="129"/>
  <c r="AL37" i="129" s="1"/>
  <c r="AB44" i="129"/>
  <c r="G43" i="164" s="1"/>
  <c r="AJ43" i="162"/>
  <c r="AH43" i="162" s="1"/>
  <c r="AG44" i="162"/>
  <c r="AE43" i="162"/>
  <c r="AK43" i="162" s="1"/>
  <c r="H35" i="164" l="1"/>
  <c r="E42" i="164"/>
  <c r="D47" i="164"/>
  <c r="AA230" i="162"/>
  <c r="AA412" i="162" s="1"/>
  <c r="AA49" i="162"/>
  <c r="AI48" i="162"/>
  <c r="AB103" i="129"/>
  <c r="AB159" i="129"/>
  <c r="AJ44" i="129"/>
  <c r="AH38" i="129"/>
  <c r="AK37" i="129"/>
  <c r="AI37" i="129" s="1"/>
  <c r="AF38" i="129"/>
  <c r="AL38" i="129" s="1"/>
  <c r="AB45" i="129"/>
  <c r="G44" i="164" s="1"/>
  <c r="AJ44" i="162"/>
  <c r="AH44" i="162" s="1"/>
  <c r="AG45" i="162"/>
  <c r="AE44" i="162"/>
  <c r="AK44" i="162" s="1"/>
  <c r="H36" i="164" l="1"/>
  <c r="D48" i="164"/>
  <c r="AA231" i="162"/>
  <c r="AA413" i="162" s="1"/>
  <c r="AA50" i="162"/>
  <c r="AI49" i="162"/>
  <c r="E43" i="164"/>
  <c r="AH39" i="129"/>
  <c r="AK38" i="129"/>
  <c r="AI38" i="129" s="1"/>
  <c r="AB104" i="129"/>
  <c r="AB160" i="129" s="1"/>
  <c r="AJ45" i="129"/>
  <c r="AF39" i="129"/>
  <c r="AL39" i="129" s="1"/>
  <c r="AB46" i="129"/>
  <c r="G45" i="164" s="1"/>
  <c r="AJ45" i="162"/>
  <c r="AH45" i="162" s="1"/>
  <c r="AE45" i="162"/>
  <c r="AK45" i="162" s="1"/>
  <c r="AG46" i="162"/>
  <c r="H37" i="164" l="1"/>
  <c r="D49" i="164"/>
  <c r="AA232" i="162"/>
  <c r="AA414" i="162" s="1"/>
  <c r="AA51" i="162"/>
  <c r="AI50" i="162"/>
  <c r="E44" i="164"/>
  <c r="AB105" i="129"/>
  <c r="AB161" i="129"/>
  <c r="AJ46" i="129"/>
  <c r="AH40" i="129"/>
  <c r="AK39" i="129"/>
  <c r="AI39" i="129" s="1"/>
  <c r="AF40" i="129"/>
  <c r="AL40" i="129" s="1"/>
  <c r="AB47" i="129"/>
  <c r="G46" i="164" s="1"/>
  <c r="AG47" i="162"/>
  <c r="AE46" i="162"/>
  <c r="AK46" i="162" s="1"/>
  <c r="AJ46" i="162"/>
  <c r="AH46" i="162" s="1"/>
  <c r="H38" i="164" l="1"/>
  <c r="D50" i="164"/>
  <c r="AA233" i="162"/>
  <c r="AA415" i="162" s="1"/>
  <c r="AA52" i="162"/>
  <c r="AI51" i="162"/>
  <c r="E45" i="164"/>
  <c r="AB106" i="129"/>
  <c r="AB162" i="129"/>
  <c r="AJ47" i="129"/>
  <c r="AH41" i="129"/>
  <c r="AK40" i="129"/>
  <c r="AI40" i="129" s="1"/>
  <c r="AF41" i="129"/>
  <c r="AL41" i="129" s="1"/>
  <c r="AB48" i="129"/>
  <c r="G47" i="164" s="1"/>
  <c r="AE47" i="162"/>
  <c r="AK47" i="162" s="1"/>
  <c r="AG48" i="162"/>
  <c r="AJ47" i="162"/>
  <c r="AH47" i="162" s="1"/>
  <c r="H39" i="164" l="1"/>
  <c r="D51" i="164"/>
  <c r="AA234" i="162"/>
  <c r="AA416" i="162" s="1"/>
  <c r="AA53" i="162"/>
  <c r="AI52" i="162"/>
  <c r="E46" i="164"/>
  <c r="AB107" i="129"/>
  <c r="AB163" i="129"/>
  <c r="AJ48" i="129"/>
  <c r="AH42" i="129"/>
  <c r="AK41" i="129"/>
  <c r="AI41" i="129" s="1"/>
  <c r="AF42" i="129"/>
  <c r="AL42" i="129" s="1"/>
  <c r="AB49" i="129"/>
  <c r="G48" i="164" s="1"/>
  <c r="AJ48" i="162"/>
  <c r="AH48" i="162" s="1"/>
  <c r="AG49" i="162"/>
  <c r="AE48" i="162"/>
  <c r="AK48" i="162" s="1"/>
  <c r="H40" i="164" l="1"/>
  <c r="D52" i="164"/>
  <c r="AA235" i="162"/>
  <c r="AA417" i="162" s="1"/>
  <c r="AA54" i="162"/>
  <c r="AI53" i="162"/>
  <c r="E47" i="164"/>
  <c r="AB108" i="129"/>
  <c r="AB164" i="129"/>
  <c r="AJ49" i="129"/>
  <c r="AH43" i="129"/>
  <c r="AF43" i="129" s="1"/>
  <c r="AL43" i="129" s="1"/>
  <c r="AK42" i="129"/>
  <c r="AI42" i="129" s="1"/>
  <c r="AB50" i="129"/>
  <c r="G49" i="164" s="1"/>
  <c r="AG50" i="162"/>
  <c r="AJ49" i="162"/>
  <c r="AH49" i="162" s="1"/>
  <c r="AE49" i="162"/>
  <c r="AK49" i="162" s="1"/>
  <c r="H41" i="164" l="1"/>
  <c r="D53" i="164"/>
  <c r="AA236" i="162"/>
  <c r="AA418" i="162" s="1"/>
  <c r="AA55" i="162"/>
  <c r="AI54" i="162"/>
  <c r="E48" i="164"/>
  <c r="AH44" i="129"/>
  <c r="AK43" i="129"/>
  <c r="AI43" i="129" s="1"/>
  <c r="AB109" i="129"/>
  <c r="AB165" i="129"/>
  <c r="AJ50" i="129"/>
  <c r="AF44" i="129"/>
  <c r="AL44" i="129" s="1"/>
  <c r="AB51" i="129"/>
  <c r="G50" i="164" s="1"/>
  <c r="AJ50" i="162"/>
  <c r="AH50" i="162" s="1"/>
  <c r="AG51" i="162"/>
  <c r="AE50" i="162"/>
  <c r="AK50" i="162" s="1"/>
  <c r="H42" i="164" l="1"/>
  <c r="E49" i="164"/>
  <c r="D54" i="164"/>
  <c r="AA237" i="162"/>
  <c r="AA419" i="162" s="1"/>
  <c r="AA56" i="162"/>
  <c r="AI55" i="162"/>
  <c r="AB110" i="129"/>
  <c r="AB166" i="129"/>
  <c r="AJ51" i="129"/>
  <c r="AH45" i="129"/>
  <c r="AK44" i="129"/>
  <c r="AI44" i="129" s="1"/>
  <c r="AF45" i="129"/>
  <c r="AL45" i="129" s="1"/>
  <c r="AB52" i="129"/>
  <c r="G51" i="164" s="1"/>
  <c r="AJ51" i="162"/>
  <c r="AH51" i="162" s="1"/>
  <c r="AE51" i="162"/>
  <c r="AK51" i="162" s="1"/>
  <c r="AG52" i="162"/>
  <c r="H43" i="164" l="1"/>
  <c r="D55" i="164"/>
  <c r="AA238" i="162"/>
  <c r="AA420" i="162" s="1"/>
  <c r="AA57" i="162"/>
  <c r="AI56" i="162"/>
  <c r="E50" i="164"/>
  <c r="AB111" i="129"/>
  <c r="AB167" i="129"/>
  <c r="AJ52" i="129"/>
  <c r="AH46" i="129"/>
  <c r="AK45" i="129"/>
  <c r="AI45" i="129" s="1"/>
  <c r="AF46" i="129"/>
  <c r="AL46" i="129" s="1"/>
  <c r="AB53" i="129"/>
  <c r="G52" i="164" s="1"/>
  <c r="AJ52" i="162"/>
  <c r="AH52" i="162" s="1"/>
  <c r="AE52" i="162"/>
  <c r="AK52" i="162" s="1"/>
  <c r="AG53" i="162"/>
  <c r="H44" i="164" l="1"/>
  <c r="E51" i="164"/>
  <c r="D56" i="164"/>
  <c r="AA239" i="162"/>
  <c r="AA421" i="162" s="1"/>
  <c r="AA58" i="162"/>
  <c r="AI57" i="162"/>
  <c r="AB112" i="129"/>
  <c r="AB168" i="129"/>
  <c r="AJ53" i="129"/>
  <c r="AH47" i="129"/>
  <c r="AK46" i="129"/>
  <c r="AI46" i="129" s="1"/>
  <c r="AF47" i="129"/>
  <c r="AL47" i="129" s="1"/>
  <c r="AB54" i="129"/>
  <c r="G53" i="164" s="1"/>
  <c r="AJ53" i="162"/>
  <c r="AH53" i="162" s="1"/>
  <c r="AG54" i="162"/>
  <c r="AE53" i="162"/>
  <c r="AK53" i="162" s="1"/>
  <c r="H45" i="164" l="1"/>
  <c r="E52" i="164"/>
  <c r="D57" i="164"/>
  <c r="AA240" i="162"/>
  <c r="AA422" i="162" s="1"/>
  <c r="AA59" i="162"/>
  <c r="AI58" i="162"/>
  <c r="AB113" i="129"/>
  <c r="AB169" i="129"/>
  <c r="AJ54" i="129"/>
  <c r="AH48" i="129"/>
  <c r="AK47" i="129"/>
  <c r="AI47" i="129" s="1"/>
  <c r="AF48" i="129"/>
  <c r="AL48" i="129" s="1"/>
  <c r="AB55" i="129"/>
  <c r="G54" i="164" s="1"/>
  <c r="AG55" i="162"/>
  <c r="AJ54" i="162"/>
  <c r="AH54" i="162" s="1"/>
  <c r="AE54" i="162"/>
  <c r="AK54" i="162" s="1"/>
  <c r="H46" i="164" l="1"/>
  <c r="D58" i="164"/>
  <c r="AA241" i="162"/>
  <c r="AA423" i="162" s="1"/>
  <c r="AA60" i="162"/>
  <c r="AI59" i="162"/>
  <c r="E53" i="164"/>
  <c r="AB114" i="129"/>
  <c r="AB170" i="129"/>
  <c r="AJ55" i="129"/>
  <c r="AH49" i="129"/>
  <c r="AK48" i="129"/>
  <c r="AI48" i="129" s="1"/>
  <c r="AF49" i="129"/>
  <c r="AL49" i="129" s="1"/>
  <c r="AJ55" i="162"/>
  <c r="AH55" i="162" s="1"/>
  <c r="AG56" i="162"/>
  <c r="AE55" i="162"/>
  <c r="AK55" i="162" s="1"/>
  <c r="H47" i="164" l="1"/>
  <c r="D59" i="164"/>
  <c r="AA242" i="162"/>
  <c r="AA424" i="162" s="1"/>
  <c r="AA61" i="162"/>
  <c r="AI60" i="162"/>
  <c r="E54" i="164"/>
  <c r="AH50" i="129"/>
  <c r="AK49" i="129"/>
  <c r="AI49" i="129" s="1"/>
  <c r="AF50" i="129"/>
  <c r="AL50" i="129" s="1"/>
  <c r="AE56" i="162"/>
  <c r="AK56" i="162" s="1"/>
  <c r="AG57" i="162"/>
  <c r="AG58" i="162" s="1"/>
  <c r="AJ56" i="162"/>
  <c r="AH56" i="162" s="1"/>
  <c r="H48" i="164" l="1"/>
  <c r="E55" i="164"/>
  <c r="D60" i="164"/>
  <c r="AA243" i="162"/>
  <c r="AA425" i="162" s="1"/>
  <c r="AA62" i="162"/>
  <c r="AI61" i="162"/>
  <c r="AH51" i="129"/>
  <c r="AK50" i="129"/>
  <c r="AI50" i="129" s="1"/>
  <c r="AF51" i="129"/>
  <c r="AL51" i="129" s="1"/>
  <c r="AJ58" i="162"/>
  <c r="AH58" i="162" s="1"/>
  <c r="E57" i="164" s="1"/>
  <c r="AG59" i="162"/>
  <c r="AE58" i="162"/>
  <c r="AJ57" i="162"/>
  <c r="AH57" i="162" s="1"/>
  <c r="AE57" i="162"/>
  <c r="AK57" i="162" s="1"/>
  <c r="H49" i="164" l="1"/>
  <c r="E56" i="164"/>
  <c r="D61" i="164"/>
  <c r="AA244" i="162"/>
  <c r="AA426" i="162" s="1"/>
  <c r="AA63" i="162"/>
  <c r="AI62" i="162"/>
  <c r="AH52" i="129"/>
  <c r="AF52" i="129" s="1"/>
  <c r="AL52" i="129" s="1"/>
  <c r="AK51" i="129"/>
  <c r="AI51" i="129" s="1"/>
  <c r="AK58" i="162"/>
  <c r="AG60" i="162"/>
  <c r="AJ59" i="162"/>
  <c r="AH59" i="162" s="1"/>
  <c r="AE59" i="162"/>
  <c r="AK59" i="162" s="1"/>
  <c r="H50" i="164" l="1"/>
  <c r="E58" i="164"/>
  <c r="D62" i="164"/>
  <c r="AA245" i="162"/>
  <c r="AA427" i="162" s="1"/>
  <c r="AA64" i="162"/>
  <c r="AI63" i="162"/>
  <c r="AH53" i="129"/>
  <c r="AF53" i="129" s="1"/>
  <c r="AL53" i="129" s="1"/>
  <c r="AK52" i="129"/>
  <c r="AI52" i="129" s="1"/>
  <c r="AJ60" i="162"/>
  <c r="AH60" i="162" s="1"/>
  <c r="AG61" i="162"/>
  <c r="AE60" i="162"/>
  <c r="AK60" i="162" s="1"/>
  <c r="H51" i="164" l="1"/>
  <c r="D63" i="164"/>
  <c r="AA246" i="162"/>
  <c r="AA428" i="162" s="1"/>
  <c r="AA65" i="162"/>
  <c r="AI64" i="162"/>
  <c r="E59" i="164"/>
  <c r="AH54" i="129"/>
  <c r="AF54" i="129" s="1"/>
  <c r="AL54" i="129" s="1"/>
  <c r="AK53" i="129"/>
  <c r="AI53" i="129" s="1"/>
  <c r="AG62" i="162"/>
  <c r="AJ61" i="162"/>
  <c r="AH61" i="162" s="1"/>
  <c r="AE61" i="162"/>
  <c r="AK61" i="162" s="1"/>
  <c r="H52" i="164" l="1"/>
  <c r="N61" i="163"/>
  <c r="L66" i="163"/>
  <c r="M60" i="163"/>
  <c r="L62" i="163"/>
  <c r="M66" i="163"/>
  <c r="N65" i="163"/>
  <c r="N59" i="163"/>
  <c r="E60" i="164"/>
  <c r="D64" i="164"/>
  <c r="AA247" i="162"/>
  <c r="AA429" i="162" s="1"/>
  <c r="AA66" i="162"/>
  <c r="AI65" i="162"/>
  <c r="AH55" i="129"/>
  <c r="AK55" i="129" s="1"/>
  <c r="AI55" i="129" s="1"/>
  <c r="H54" i="164" s="1"/>
  <c r="AK54" i="129"/>
  <c r="AI54" i="129" s="1"/>
  <c r="AF55" i="129"/>
  <c r="AL55" i="129" s="1"/>
  <c r="AJ62" i="162"/>
  <c r="AH62" i="162" s="1"/>
  <c r="AG63" i="162"/>
  <c r="AE62" i="162"/>
  <c r="AK62" i="162" s="1"/>
  <c r="H53" i="164" l="1"/>
  <c r="M64" i="163"/>
  <c r="M61" i="163"/>
  <c r="N60" i="163"/>
  <c r="M65" i="163"/>
  <c r="L65" i="163"/>
  <c r="N66" i="163"/>
  <c r="M59" i="163"/>
  <c r="L64" i="163"/>
  <c r="M62" i="163"/>
  <c r="N63" i="163"/>
  <c r="E61" i="164"/>
  <c r="D65" i="164"/>
  <c r="AA248" i="162"/>
  <c r="AA430" i="162" s="1"/>
  <c r="AA67" i="162"/>
  <c r="AI66" i="162"/>
  <c r="AG64" i="162"/>
  <c r="AJ63" i="162"/>
  <c r="AH63" i="162" s="1"/>
  <c r="AE63" i="162"/>
  <c r="AK63" i="162" s="1"/>
  <c r="E62" i="164" l="1"/>
  <c r="D66" i="164"/>
  <c r="AA249" i="162"/>
  <c r="AA431" i="162" s="1"/>
  <c r="AA68" i="162"/>
  <c r="AI67" i="162"/>
  <c r="AJ64" i="162"/>
  <c r="AH64" i="162" s="1"/>
  <c r="AG65" i="162"/>
  <c r="AE64" i="162"/>
  <c r="AK64" i="162" s="1"/>
  <c r="E63" i="164" l="1"/>
  <c r="D67" i="164"/>
  <c r="AA250" i="162"/>
  <c r="AA432" i="162" s="1"/>
  <c r="AA69" i="162"/>
  <c r="AI68" i="162"/>
  <c r="AJ65" i="162"/>
  <c r="AH65" i="162" s="1"/>
  <c r="AG66" i="162"/>
  <c r="AE65" i="162"/>
  <c r="AK65" i="162" s="1"/>
  <c r="E64" i="164" l="1"/>
  <c r="D68" i="164"/>
  <c r="AA251" i="162"/>
  <c r="AA433" i="162" s="1"/>
  <c r="AA70" i="162"/>
  <c r="AI69" i="162"/>
  <c r="AE66" i="162"/>
  <c r="AK66" i="162" s="1"/>
  <c r="AJ66" i="162"/>
  <c r="AH66" i="162" s="1"/>
  <c r="AG67" i="162"/>
  <c r="E65" i="164" l="1"/>
  <c r="D69" i="164"/>
  <c r="AA252" i="162"/>
  <c r="AA434" i="162" s="1"/>
  <c r="AA71" i="162"/>
  <c r="AI70" i="162"/>
  <c r="AG68" i="162"/>
  <c r="AJ67" i="162"/>
  <c r="AH67" i="162" s="1"/>
  <c r="AE67" i="162"/>
  <c r="AK67" i="162" s="1"/>
  <c r="E66" i="164" l="1"/>
  <c r="D70" i="164"/>
  <c r="AA253" i="162"/>
  <c r="AA435" i="162" s="1"/>
  <c r="AA72" i="162"/>
  <c r="AI71" i="162"/>
  <c r="AG69" i="162"/>
  <c r="AE68" i="162"/>
  <c r="AK68" i="162" s="1"/>
  <c r="AJ68" i="162"/>
  <c r="AH68" i="162" s="1"/>
  <c r="E67" i="164" l="1"/>
  <c r="D71" i="164"/>
  <c r="AA254" i="162"/>
  <c r="AA436" i="162" s="1"/>
  <c r="AA73" i="162"/>
  <c r="AI72" i="162"/>
  <c r="AJ69" i="162"/>
  <c r="AH69" i="162" s="1"/>
  <c r="AG70" i="162"/>
  <c r="AE69" i="162"/>
  <c r="AK69" i="162" s="1"/>
  <c r="D72" i="164" l="1"/>
  <c r="AA255" i="162"/>
  <c r="AA437" i="162" s="1"/>
  <c r="AA74" i="162"/>
  <c r="AI73" i="162"/>
  <c r="E68" i="164"/>
  <c r="AG71" i="162"/>
  <c r="AJ70" i="162"/>
  <c r="AH70" i="162" s="1"/>
  <c r="AE70" i="162"/>
  <c r="AK70" i="162" s="1"/>
  <c r="D73" i="164" l="1"/>
  <c r="AA256" i="162"/>
  <c r="AA438" i="162" s="1"/>
  <c r="AA75" i="162"/>
  <c r="AI74" i="162"/>
  <c r="E69" i="164"/>
  <c r="AG72" i="162"/>
  <c r="AJ71" i="162"/>
  <c r="AH71" i="162" s="1"/>
  <c r="AE71" i="162"/>
  <c r="AK71" i="162" s="1"/>
  <c r="E70" i="164" l="1"/>
  <c r="D74" i="164"/>
  <c r="AA257" i="162"/>
  <c r="AA439" i="162" s="1"/>
  <c r="AA76" i="162"/>
  <c r="AI75" i="162"/>
  <c r="AG73" i="162"/>
  <c r="AJ72" i="162"/>
  <c r="AH72" i="162" s="1"/>
  <c r="AE72" i="162"/>
  <c r="AK72" i="162" s="1"/>
  <c r="D75" i="164" l="1"/>
  <c r="AA258" i="162"/>
  <c r="AA440" i="162" s="1"/>
  <c r="AA77" i="162"/>
  <c r="AI76" i="162"/>
  <c r="E71" i="164"/>
  <c r="AJ73" i="162"/>
  <c r="AH73" i="162" s="1"/>
  <c r="AE73" i="162"/>
  <c r="AK73" i="162" s="1"/>
  <c r="AG74" i="162"/>
  <c r="E72" i="164" l="1"/>
  <c r="D76" i="164"/>
  <c r="AA259" i="162"/>
  <c r="AA441" i="162" s="1"/>
  <c r="AA78" i="162"/>
  <c r="AI77" i="162"/>
  <c r="AG75" i="162"/>
  <c r="AJ74" i="162"/>
  <c r="AH74" i="162" s="1"/>
  <c r="AE74" i="162"/>
  <c r="AK74" i="162" s="1"/>
  <c r="E73" i="164" l="1"/>
  <c r="D77" i="164"/>
  <c r="AA260" i="162"/>
  <c r="AA442" i="162" s="1"/>
  <c r="AA79" i="162"/>
  <c r="AI78" i="162"/>
  <c r="AJ75" i="162"/>
  <c r="AH75" i="162" s="1"/>
  <c r="AG76" i="162"/>
  <c r="AE75" i="162"/>
  <c r="AK75" i="162" s="1"/>
  <c r="E74" i="164" l="1"/>
  <c r="D78" i="164"/>
  <c r="AA261" i="162"/>
  <c r="AA443" i="162" s="1"/>
  <c r="AA80" i="162"/>
  <c r="AI79" i="162"/>
  <c r="AE76" i="162"/>
  <c r="AK76" i="162" s="1"/>
  <c r="AG77" i="162"/>
  <c r="AJ76" i="162"/>
  <c r="AH76" i="162" s="1"/>
  <c r="D79" i="164" l="1"/>
  <c r="AA262" i="162"/>
  <c r="AA444" i="162" s="1"/>
  <c r="AA81" i="162"/>
  <c r="AI80" i="162"/>
  <c r="E75" i="164"/>
  <c r="AG78" i="162"/>
  <c r="AJ77" i="162"/>
  <c r="AH77" i="162" s="1"/>
  <c r="AE77" i="162"/>
  <c r="AK77" i="162" s="1"/>
  <c r="E76" i="164" l="1"/>
  <c r="D80" i="164"/>
  <c r="AA263" i="162"/>
  <c r="AA445" i="162" s="1"/>
  <c r="AA82" i="162"/>
  <c r="AI81" i="162"/>
  <c r="AE78" i="162"/>
  <c r="AK78" i="162" s="1"/>
  <c r="AJ78" i="162"/>
  <c r="AH78" i="162" s="1"/>
  <c r="AG79" i="162"/>
  <c r="D81" i="164" l="1"/>
  <c r="AA264" i="162"/>
  <c r="AA446" i="162" s="1"/>
  <c r="AA83" i="162"/>
  <c r="AI82" i="162"/>
  <c r="E77" i="164"/>
  <c r="AG80" i="162"/>
  <c r="AJ79" i="162"/>
  <c r="AH79" i="162" s="1"/>
  <c r="AE79" i="162"/>
  <c r="AK79" i="162" s="1"/>
  <c r="E78" i="164" l="1"/>
  <c r="D82" i="164"/>
  <c r="AA265" i="162"/>
  <c r="AA447" i="162" s="1"/>
  <c r="AA84" i="162"/>
  <c r="AI83" i="162"/>
  <c r="AG81" i="162"/>
  <c r="AJ80" i="162"/>
  <c r="AH80" i="162" s="1"/>
  <c r="AE80" i="162"/>
  <c r="AK80" i="162" s="1"/>
  <c r="D83" i="164" l="1"/>
  <c r="AA266" i="162"/>
  <c r="AA448" i="162" s="1"/>
  <c r="AA85" i="162"/>
  <c r="AI84" i="162"/>
  <c r="E79" i="164"/>
  <c r="AG82" i="162"/>
  <c r="AJ81" i="162"/>
  <c r="AH81" i="162" s="1"/>
  <c r="AE81" i="162"/>
  <c r="AK81" i="162" s="1"/>
  <c r="E80" i="164" l="1"/>
  <c r="D84" i="164"/>
  <c r="AA267" i="162"/>
  <c r="AA449" i="162" s="1"/>
  <c r="AA86" i="162"/>
  <c r="AI85" i="162"/>
  <c r="AJ82" i="162"/>
  <c r="AH82" i="162" s="1"/>
  <c r="AG83" i="162"/>
  <c r="AE82" i="162"/>
  <c r="AK82" i="162" s="1"/>
  <c r="D85" i="164" l="1"/>
  <c r="AA268" i="162"/>
  <c r="AA450" i="162" s="1"/>
  <c r="AA87" i="162"/>
  <c r="AI86" i="162"/>
  <c r="E81" i="164"/>
  <c r="AJ83" i="162"/>
  <c r="AH83" i="162" s="1"/>
  <c r="AG84" i="162"/>
  <c r="AE83" i="162"/>
  <c r="AK83" i="162" s="1"/>
  <c r="E82" i="164" l="1"/>
  <c r="D86" i="164"/>
  <c r="AA269" i="162"/>
  <c r="AA451" i="162" s="1"/>
  <c r="AA88" i="162"/>
  <c r="AI87" i="162"/>
  <c r="AJ84" i="162"/>
  <c r="AH84" i="162" s="1"/>
  <c r="AG85" i="162"/>
  <c r="AE84" i="162"/>
  <c r="AK84" i="162" s="1"/>
  <c r="D87" i="164" l="1"/>
  <c r="AA270" i="162"/>
  <c r="AA452" i="162" s="1"/>
  <c r="AA89" i="162"/>
  <c r="AI88" i="162"/>
  <c r="E83" i="164"/>
  <c r="AG86" i="162"/>
  <c r="AJ85" i="162"/>
  <c r="AH85" i="162" s="1"/>
  <c r="AE85" i="162"/>
  <c r="AK85" i="162" s="1"/>
  <c r="E84" i="164" l="1"/>
  <c r="D88" i="164"/>
  <c r="AA271" i="162"/>
  <c r="AA453" i="162" s="1"/>
  <c r="AA90" i="162"/>
  <c r="AI89" i="162"/>
  <c r="AG87" i="162"/>
  <c r="AJ86" i="162"/>
  <c r="AH86" i="162" s="1"/>
  <c r="AE86" i="162"/>
  <c r="AK86" i="162" s="1"/>
  <c r="D89" i="164" l="1"/>
  <c r="AA272" i="162"/>
  <c r="AA454" i="162" s="1"/>
  <c r="AA91" i="162"/>
  <c r="AI90" i="162"/>
  <c r="E85" i="164"/>
  <c r="AJ87" i="162"/>
  <c r="AH87" i="162" s="1"/>
  <c r="AG88" i="162"/>
  <c r="AE87" i="162"/>
  <c r="AK87" i="162" s="1"/>
  <c r="E86" i="164" l="1"/>
  <c r="D90" i="164"/>
  <c r="AA273" i="162"/>
  <c r="AA455" i="162" s="1"/>
  <c r="AA92" i="162"/>
  <c r="AI91" i="162"/>
  <c r="AG89" i="162"/>
  <c r="AJ88" i="162"/>
  <c r="AH88" i="162" s="1"/>
  <c r="AE88" i="162"/>
  <c r="AK88" i="162" s="1"/>
  <c r="D91" i="164" l="1"/>
  <c r="AA274" i="162"/>
  <c r="AA456" i="162" s="1"/>
  <c r="AA93" i="162"/>
  <c r="AI92" i="162"/>
  <c r="E87" i="164"/>
  <c r="AG90" i="162"/>
  <c r="AJ89" i="162"/>
  <c r="AH89" i="162" s="1"/>
  <c r="AE89" i="162"/>
  <c r="AK89" i="162" s="1"/>
  <c r="E88" i="164" l="1"/>
  <c r="D92" i="164"/>
  <c r="AA275" i="162"/>
  <c r="AA457" i="162" s="1"/>
  <c r="AA94" i="162"/>
  <c r="AI93" i="162"/>
  <c r="AG91" i="162"/>
  <c r="AJ90" i="162"/>
  <c r="AH90" i="162" s="1"/>
  <c r="AE90" i="162"/>
  <c r="AK90" i="162" s="1"/>
  <c r="D93" i="164" l="1"/>
  <c r="AA276" i="162"/>
  <c r="AA458" i="162" s="1"/>
  <c r="AA95" i="162"/>
  <c r="AI94" i="162"/>
  <c r="E89" i="164"/>
  <c r="AE91" i="162"/>
  <c r="AK91" i="162" s="1"/>
  <c r="AJ91" i="162"/>
  <c r="AH91" i="162" s="1"/>
  <c r="AG92" i="162"/>
  <c r="E90" i="164" l="1"/>
  <c r="D94" i="164"/>
  <c r="AA277" i="162"/>
  <c r="AA459" i="162" s="1"/>
  <c r="AA96" i="162"/>
  <c r="AI95" i="162"/>
  <c r="AG93" i="162"/>
  <c r="AJ92" i="162"/>
  <c r="AH92" i="162" s="1"/>
  <c r="AE92" i="162"/>
  <c r="AK92" i="162" s="1"/>
  <c r="D95" i="164" l="1"/>
  <c r="AA278" i="162"/>
  <c r="AA460" i="162" s="1"/>
  <c r="AA97" i="162"/>
  <c r="AI96" i="162"/>
  <c r="E91" i="164"/>
  <c r="AJ93" i="162"/>
  <c r="AH93" i="162" s="1"/>
  <c r="AG94" i="162"/>
  <c r="AE93" i="162"/>
  <c r="AK93" i="162" s="1"/>
  <c r="E92" i="164" l="1"/>
  <c r="D96" i="164"/>
  <c r="AA279" i="162"/>
  <c r="AA461" i="162" s="1"/>
  <c r="AA98" i="162"/>
  <c r="AI97" i="162"/>
  <c r="AG95" i="162"/>
  <c r="AJ94" i="162"/>
  <c r="AH94" i="162" s="1"/>
  <c r="AE94" i="162"/>
  <c r="AK94" i="162" s="1"/>
  <c r="D97" i="164" l="1"/>
  <c r="AA280" i="162"/>
  <c r="AA462" i="162" s="1"/>
  <c r="AA99" i="162"/>
  <c r="AI98" i="162"/>
  <c r="E93" i="164"/>
  <c r="AJ95" i="162"/>
  <c r="AH95" i="162" s="1"/>
  <c r="AG96" i="162"/>
  <c r="AE95" i="162"/>
  <c r="AK95" i="162" s="1"/>
  <c r="E94" i="164" l="1"/>
  <c r="D98" i="164"/>
  <c r="AA281" i="162"/>
  <c r="AA463" i="162" s="1"/>
  <c r="AA100" i="162"/>
  <c r="AI99" i="162"/>
  <c r="AJ96" i="162"/>
  <c r="AH96" i="162" s="1"/>
  <c r="AG97" i="162"/>
  <c r="AE96" i="162"/>
  <c r="AK96" i="162" s="1"/>
  <c r="D99" i="164" l="1"/>
  <c r="AA282" i="162"/>
  <c r="AA464" i="162" s="1"/>
  <c r="AA101" i="162"/>
  <c r="AI100" i="162"/>
  <c r="E95" i="164"/>
  <c r="AJ97" i="162"/>
  <c r="AH97" i="162" s="1"/>
  <c r="AG98" i="162"/>
  <c r="AE97" i="162"/>
  <c r="AK97" i="162" s="1"/>
  <c r="E96" i="164" l="1"/>
  <c r="D100" i="164"/>
  <c r="AA283" i="162"/>
  <c r="AA465" i="162" s="1"/>
  <c r="AA102" i="162"/>
  <c r="AI101" i="162"/>
  <c r="AE98" i="162"/>
  <c r="AK98" i="162" s="1"/>
  <c r="AJ98" i="162"/>
  <c r="AH98" i="162" s="1"/>
  <c r="AG99" i="162"/>
  <c r="D101" i="164" l="1"/>
  <c r="AA284" i="162"/>
  <c r="AA466" i="162" s="1"/>
  <c r="AA103" i="162"/>
  <c r="AI102" i="162"/>
  <c r="E97" i="164"/>
  <c r="AG100" i="162"/>
  <c r="AJ99" i="162"/>
  <c r="AH99" i="162" s="1"/>
  <c r="AE99" i="162"/>
  <c r="AK99" i="162" s="1"/>
  <c r="E98" i="164" l="1"/>
  <c r="D102" i="164"/>
  <c r="AA285" i="162"/>
  <c r="AA467" i="162" s="1"/>
  <c r="AA104" i="162"/>
  <c r="AI103" i="162"/>
  <c r="AG101" i="162"/>
  <c r="AJ100" i="162"/>
  <c r="AH100" i="162" s="1"/>
  <c r="AE100" i="162"/>
  <c r="AK100" i="162" s="1"/>
  <c r="E99" i="164" l="1"/>
  <c r="D103" i="164"/>
  <c r="AA286" i="162"/>
  <c r="AA468" i="162" s="1"/>
  <c r="AA105" i="162"/>
  <c r="AI104" i="162"/>
  <c r="AG102" i="162"/>
  <c r="AJ101" i="162"/>
  <c r="AH101" i="162" s="1"/>
  <c r="AE101" i="162"/>
  <c r="AK101" i="162" s="1"/>
  <c r="D104" i="164" l="1"/>
  <c r="AA287" i="162"/>
  <c r="AA469" i="162" s="1"/>
  <c r="AA106" i="162"/>
  <c r="AI105" i="162"/>
  <c r="E100" i="164"/>
  <c r="AJ102" i="162"/>
  <c r="AH102" i="162" s="1"/>
  <c r="AG103" i="162"/>
  <c r="AE102" i="162"/>
  <c r="AK102" i="162" s="1"/>
  <c r="E101" i="164" l="1"/>
  <c r="D105" i="164"/>
  <c r="AA288" i="162"/>
  <c r="AA470" i="162" s="1"/>
  <c r="AA107" i="162"/>
  <c r="AI106" i="162"/>
  <c r="AG104" i="162"/>
  <c r="AJ103" i="162"/>
  <c r="AH103" i="162" s="1"/>
  <c r="AE103" i="162"/>
  <c r="AK103" i="162" s="1"/>
  <c r="E102" i="164" l="1"/>
  <c r="D106" i="164"/>
  <c r="AA289" i="162"/>
  <c r="AA471" i="162" s="1"/>
  <c r="AA108" i="162"/>
  <c r="AI107" i="162"/>
  <c r="AJ104" i="162"/>
  <c r="AH104" i="162" s="1"/>
  <c r="E103" i="164" s="1"/>
  <c r="AG105" i="162"/>
  <c r="AE104" i="162"/>
  <c r="AK104" i="162" s="1"/>
  <c r="D107" i="164" l="1"/>
  <c r="AA290" i="162"/>
  <c r="AA472" i="162" s="1"/>
  <c r="AA109" i="162"/>
  <c r="AI108" i="162"/>
  <c r="AJ105" i="162"/>
  <c r="AH105" i="162" s="1"/>
  <c r="AG106" i="162"/>
  <c r="AE105" i="162"/>
  <c r="AK105" i="162" s="1"/>
  <c r="E104" i="164" l="1"/>
  <c r="D108" i="164"/>
  <c r="AA291" i="162"/>
  <c r="AA473" i="162" s="1"/>
  <c r="AA110" i="162"/>
  <c r="AI109" i="162"/>
  <c r="AJ106" i="162"/>
  <c r="AH106" i="162" s="1"/>
  <c r="AG107" i="162"/>
  <c r="AE106" i="162"/>
  <c r="AK106" i="162" s="1"/>
  <c r="D109" i="164" l="1"/>
  <c r="AA292" i="162"/>
  <c r="AA474" i="162" s="1"/>
  <c r="AA111" i="162"/>
  <c r="AI110" i="162"/>
  <c r="E105" i="164"/>
  <c r="AJ107" i="162"/>
  <c r="AH107" i="162" s="1"/>
  <c r="AG108" i="162"/>
  <c r="AE107" i="162"/>
  <c r="AK107" i="162" s="1"/>
  <c r="E106" i="164" l="1"/>
  <c r="D110" i="164"/>
  <c r="AA293" i="162"/>
  <c r="AA475" i="162" s="1"/>
  <c r="AA112" i="162"/>
  <c r="AI111" i="162"/>
  <c r="AG109" i="162"/>
  <c r="AJ108" i="162"/>
  <c r="AH108" i="162" s="1"/>
  <c r="AE108" i="162"/>
  <c r="AK108" i="162" s="1"/>
  <c r="D111" i="164" l="1"/>
  <c r="AA294" i="162"/>
  <c r="AA476" i="162" s="1"/>
  <c r="AA113" i="162"/>
  <c r="AI112" i="162"/>
  <c r="E107" i="164"/>
  <c r="AJ109" i="162"/>
  <c r="AH109" i="162" s="1"/>
  <c r="AG110" i="162"/>
  <c r="AE109" i="162"/>
  <c r="AK109" i="162" s="1"/>
  <c r="E108" i="164" l="1"/>
  <c r="D112" i="164"/>
  <c r="AA295" i="162"/>
  <c r="AA477" i="162" s="1"/>
  <c r="AA114" i="162"/>
  <c r="AI113" i="162"/>
  <c r="AG111" i="162"/>
  <c r="AJ110" i="162"/>
  <c r="AH110" i="162" s="1"/>
  <c r="AE110" i="162"/>
  <c r="AK110" i="162" s="1"/>
  <c r="D113" i="164" l="1"/>
  <c r="AA296" i="162"/>
  <c r="AA478" i="162" s="1"/>
  <c r="AA115" i="162"/>
  <c r="AI114" i="162"/>
  <c r="E109" i="164"/>
  <c r="AE111" i="162"/>
  <c r="AK111" i="162" s="1"/>
  <c r="AJ111" i="162"/>
  <c r="AH111" i="162" s="1"/>
  <c r="AG112" i="162"/>
  <c r="E110" i="164" l="1"/>
  <c r="D114" i="164"/>
  <c r="AA297" i="162"/>
  <c r="AA479" i="162" s="1"/>
  <c r="AA116" i="162"/>
  <c r="AI115" i="162"/>
  <c r="AG113" i="162"/>
  <c r="AJ112" i="162"/>
  <c r="AH112" i="162" s="1"/>
  <c r="AE112" i="162"/>
  <c r="AK112" i="162" s="1"/>
  <c r="D115" i="164" l="1"/>
  <c r="AA298" i="162"/>
  <c r="AA480" i="162" s="1"/>
  <c r="AA117" i="162"/>
  <c r="AI116" i="162"/>
  <c r="E111" i="164"/>
  <c r="AJ113" i="162"/>
  <c r="AH113" i="162" s="1"/>
  <c r="AG114" i="162"/>
  <c r="AE113" i="162"/>
  <c r="AK113" i="162" s="1"/>
  <c r="E112" i="164" l="1"/>
  <c r="D116" i="164"/>
  <c r="AA299" i="162"/>
  <c r="AA481" i="162" s="1"/>
  <c r="AA118" i="162"/>
  <c r="AI117" i="162"/>
  <c r="AJ114" i="162"/>
  <c r="AH114" i="162" s="1"/>
  <c r="AG115" i="162"/>
  <c r="AE114" i="162"/>
  <c r="AK114" i="162" s="1"/>
  <c r="D117" i="164" l="1"/>
  <c r="AA300" i="162"/>
  <c r="AA482" i="162" s="1"/>
  <c r="AA119" i="162"/>
  <c r="AI118" i="162"/>
  <c r="E113" i="164"/>
  <c r="AE115" i="162"/>
  <c r="AK115" i="162" s="1"/>
  <c r="AJ115" i="162"/>
  <c r="AH115" i="162" s="1"/>
  <c r="AG116" i="162"/>
  <c r="E114" i="164" l="1"/>
  <c r="D118" i="164"/>
  <c r="AA301" i="162"/>
  <c r="AA483" i="162" s="1"/>
  <c r="AA120" i="162"/>
  <c r="AI119" i="162"/>
  <c r="AJ116" i="162"/>
  <c r="AH116" i="162" s="1"/>
  <c r="AE116" i="162"/>
  <c r="AK116" i="162" s="1"/>
  <c r="AG117" i="162"/>
  <c r="D119" i="164" l="1"/>
  <c r="AA302" i="162"/>
  <c r="AA484" i="162" s="1"/>
  <c r="AA121" i="162"/>
  <c r="AI120" i="162"/>
  <c r="E115" i="164"/>
  <c r="AE117" i="162"/>
  <c r="AK117" i="162" s="1"/>
  <c r="AJ117" i="162"/>
  <c r="AH117" i="162" s="1"/>
  <c r="AG118" i="162"/>
  <c r="E116" i="164" l="1"/>
  <c r="D120" i="164"/>
  <c r="AA303" i="162"/>
  <c r="AA485" i="162" s="1"/>
  <c r="AA122" i="162"/>
  <c r="AI121" i="162"/>
  <c r="AG119" i="162"/>
  <c r="AJ118" i="162"/>
  <c r="AH118" i="162" s="1"/>
  <c r="AE118" i="162"/>
  <c r="AK118" i="162" s="1"/>
  <c r="D121" i="164" l="1"/>
  <c r="AA304" i="162"/>
  <c r="AA486" i="162" s="1"/>
  <c r="AA123" i="162"/>
  <c r="AI122" i="162"/>
  <c r="E117" i="164"/>
  <c r="AG120" i="162"/>
  <c r="AJ119" i="162"/>
  <c r="AH119" i="162" s="1"/>
  <c r="AE119" i="162"/>
  <c r="AK119" i="162" s="1"/>
  <c r="E118" i="164" l="1"/>
  <c r="D122" i="164"/>
  <c r="AA305" i="162"/>
  <c r="AA487" i="162" s="1"/>
  <c r="AA124" i="162"/>
  <c r="AI123" i="162"/>
  <c r="AE120" i="162"/>
  <c r="AK120" i="162" s="1"/>
  <c r="AJ120" i="162"/>
  <c r="AH120" i="162" s="1"/>
  <c r="AG121" i="162"/>
  <c r="D123" i="164" l="1"/>
  <c r="AA306" i="162"/>
  <c r="AA488" i="162" s="1"/>
  <c r="AA125" i="162"/>
  <c r="AI124" i="162"/>
  <c r="E119" i="164"/>
  <c r="AG122" i="162"/>
  <c r="AE121" i="162"/>
  <c r="AK121" i="162" s="1"/>
  <c r="AJ121" i="162"/>
  <c r="AH121" i="162" s="1"/>
  <c r="E120" i="164" l="1"/>
  <c r="D124" i="164"/>
  <c r="AA307" i="162"/>
  <c r="AA489" i="162" s="1"/>
  <c r="AA126" i="162"/>
  <c r="AI125" i="162"/>
  <c r="AJ122" i="162"/>
  <c r="AH122" i="162" s="1"/>
  <c r="AG123" i="162"/>
  <c r="AE122" i="162"/>
  <c r="AK122" i="162" s="1"/>
  <c r="D125" i="164" l="1"/>
  <c r="AA308" i="162"/>
  <c r="AA490" i="162" s="1"/>
  <c r="AA127" i="162"/>
  <c r="AI126" i="162"/>
  <c r="E121" i="164"/>
  <c r="AJ123" i="162"/>
  <c r="AH123" i="162" s="1"/>
  <c r="AG124" i="162"/>
  <c r="AE123" i="162"/>
  <c r="AK123" i="162" s="1"/>
  <c r="E122" i="164" l="1"/>
  <c r="D126" i="164"/>
  <c r="AA309" i="162"/>
  <c r="AA491" i="162" s="1"/>
  <c r="AA128" i="162"/>
  <c r="AI127" i="162"/>
  <c r="AJ124" i="162"/>
  <c r="AH124" i="162" s="1"/>
  <c r="AG125" i="162"/>
  <c r="AE124" i="162"/>
  <c r="AK124" i="162" s="1"/>
  <c r="D127" i="164" l="1"/>
  <c r="AA310" i="162"/>
  <c r="AA492" i="162" s="1"/>
  <c r="AA129" i="162"/>
  <c r="AI128" i="162"/>
  <c r="E123" i="164"/>
  <c r="AG126" i="162"/>
  <c r="AE125" i="162"/>
  <c r="AK125" i="162" s="1"/>
  <c r="AJ125" i="162"/>
  <c r="AH125" i="162" s="1"/>
  <c r="E124" i="164" l="1"/>
  <c r="D128" i="164"/>
  <c r="AA311" i="162"/>
  <c r="AA493" i="162" s="1"/>
  <c r="AA130" i="162"/>
  <c r="AI129" i="162"/>
  <c r="AE126" i="162"/>
  <c r="AK126" i="162" s="1"/>
  <c r="AG127" i="162"/>
  <c r="AJ126" i="162"/>
  <c r="AH126" i="162" s="1"/>
  <c r="D129" i="164" l="1"/>
  <c r="AA312" i="162"/>
  <c r="AA494" i="162" s="1"/>
  <c r="AA131" i="162"/>
  <c r="AI130" i="162"/>
  <c r="E125" i="164"/>
  <c r="AJ127" i="162"/>
  <c r="AH127" i="162" s="1"/>
  <c r="AG128" i="162"/>
  <c r="AE127" i="162"/>
  <c r="AK127" i="162" s="1"/>
  <c r="E126" i="164" l="1"/>
  <c r="D130" i="164"/>
  <c r="AA313" i="162"/>
  <c r="AA495" i="162" s="1"/>
  <c r="AA132" i="162"/>
  <c r="AI131" i="162"/>
  <c r="AJ128" i="162"/>
  <c r="AH128" i="162" s="1"/>
  <c r="AG129" i="162"/>
  <c r="AE128" i="162"/>
  <c r="AK128" i="162" s="1"/>
  <c r="D131" i="164" l="1"/>
  <c r="AA314" i="162"/>
  <c r="AA496" i="162" s="1"/>
  <c r="AA133" i="162"/>
  <c r="AI132" i="162"/>
  <c r="E127" i="164"/>
  <c r="AG130" i="162"/>
  <c r="AJ129" i="162"/>
  <c r="AH129" i="162" s="1"/>
  <c r="AE129" i="162"/>
  <c r="AK129" i="162" s="1"/>
  <c r="E128" i="164" l="1"/>
  <c r="D132" i="164"/>
  <c r="AA315" i="162"/>
  <c r="AA497" i="162" s="1"/>
  <c r="AA134" i="162"/>
  <c r="AI133" i="162"/>
  <c r="AG131" i="162"/>
  <c r="AJ130" i="162"/>
  <c r="AH130" i="162" s="1"/>
  <c r="AE130" i="162"/>
  <c r="AK130" i="162" s="1"/>
  <c r="D133" i="164" l="1"/>
  <c r="AA316" i="162"/>
  <c r="AA498" i="162" s="1"/>
  <c r="AA135" i="162"/>
  <c r="AI134" i="162"/>
  <c r="E129" i="164"/>
  <c r="AG132" i="162"/>
  <c r="AE131" i="162"/>
  <c r="AK131" i="162" s="1"/>
  <c r="AJ131" i="162"/>
  <c r="AH131" i="162" s="1"/>
  <c r="E130" i="164" l="1"/>
  <c r="D134" i="164"/>
  <c r="AA317" i="162"/>
  <c r="AA499" i="162" s="1"/>
  <c r="AA136" i="162"/>
  <c r="AI135" i="162"/>
  <c r="AJ132" i="162"/>
  <c r="AH132" i="162" s="1"/>
  <c r="AG133" i="162"/>
  <c r="AE132" i="162"/>
  <c r="AK132" i="162" s="1"/>
  <c r="D135" i="164" l="1"/>
  <c r="AA318" i="162"/>
  <c r="AA500" i="162" s="1"/>
  <c r="AA137" i="162"/>
  <c r="AI136" i="162"/>
  <c r="E131" i="164"/>
  <c r="AJ133" i="162"/>
  <c r="AH133" i="162" s="1"/>
  <c r="AG134" i="162"/>
  <c r="AE133" i="162"/>
  <c r="AK133" i="162" s="1"/>
  <c r="E132" i="164" l="1"/>
  <c r="D136" i="164"/>
  <c r="AA319" i="162"/>
  <c r="AA501" i="162" s="1"/>
  <c r="AA138" i="162"/>
  <c r="AI137" i="162"/>
  <c r="AG135" i="162"/>
  <c r="AJ134" i="162"/>
  <c r="AH134" i="162" s="1"/>
  <c r="AE134" i="162"/>
  <c r="AK134" i="162" s="1"/>
  <c r="D137" i="164" l="1"/>
  <c r="AA320" i="162"/>
  <c r="AA502" i="162" s="1"/>
  <c r="AA139" i="162"/>
  <c r="AI138" i="162"/>
  <c r="E133" i="164"/>
  <c r="AJ135" i="162"/>
  <c r="AH135" i="162" s="1"/>
  <c r="AE135" i="162"/>
  <c r="AK135" i="162" s="1"/>
  <c r="AG136" i="162"/>
  <c r="E134" i="164" l="1"/>
  <c r="D138" i="164"/>
  <c r="AA321" i="162"/>
  <c r="AA503" i="162" s="1"/>
  <c r="AA140" i="162"/>
  <c r="AI139" i="162"/>
  <c r="AG137" i="162"/>
  <c r="AE136" i="162"/>
  <c r="AK136" i="162" s="1"/>
  <c r="AJ136" i="162"/>
  <c r="AH136" i="162" s="1"/>
  <c r="D139" i="164" l="1"/>
  <c r="AA322" i="162"/>
  <c r="AA504" i="162" s="1"/>
  <c r="AA141" i="162"/>
  <c r="AI140" i="162"/>
  <c r="E135" i="164"/>
  <c r="AJ137" i="162"/>
  <c r="AH137" i="162" s="1"/>
  <c r="AG138" i="162"/>
  <c r="AE137" i="162"/>
  <c r="AK137" i="162" s="1"/>
  <c r="E136" i="164" l="1"/>
  <c r="D140" i="164"/>
  <c r="AA323" i="162"/>
  <c r="AA505" i="162" s="1"/>
  <c r="AA142" i="162"/>
  <c r="AI141" i="162"/>
  <c r="AE138" i="162"/>
  <c r="AK138" i="162" s="1"/>
  <c r="AG139" i="162"/>
  <c r="AJ138" i="162"/>
  <c r="AH138" i="162" s="1"/>
  <c r="D141" i="164" l="1"/>
  <c r="AA324" i="162"/>
  <c r="AA506" i="162" s="1"/>
  <c r="AA143" i="162"/>
  <c r="AI142" i="162"/>
  <c r="E137" i="164"/>
  <c r="AG140" i="162"/>
  <c r="AJ139" i="162"/>
  <c r="AH139" i="162" s="1"/>
  <c r="AE139" i="162"/>
  <c r="AK139" i="162" s="1"/>
  <c r="E138" i="164" l="1"/>
  <c r="D142" i="164"/>
  <c r="AA325" i="162"/>
  <c r="AA507" i="162" s="1"/>
  <c r="AA144" i="162"/>
  <c r="AI143" i="162"/>
  <c r="AJ140" i="162"/>
  <c r="AH140" i="162" s="1"/>
  <c r="AG141" i="162"/>
  <c r="AE140" i="162"/>
  <c r="AK140" i="162" s="1"/>
  <c r="D143" i="164" l="1"/>
  <c r="AA326" i="162"/>
  <c r="AA508" i="162" s="1"/>
  <c r="AA145" i="162"/>
  <c r="AI144" i="162"/>
  <c r="E139" i="164"/>
  <c r="AG142" i="162"/>
  <c r="AJ141" i="162"/>
  <c r="AH141" i="162" s="1"/>
  <c r="AE141" i="162"/>
  <c r="AK141" i="162" s="1"/>
  <c r="E140" i="164" l="1"/>
  <c r="D144" i="164"/>
  <c r="AA327" i="162"/>
  <c r="AA509" i="162" s="1"/>
  <c r="AA146" i="162"/>
  <c r="AI145" i="162"/>
  <c r="AJ142" i="162"/>
  <c r="AH142" i="162" s="1"/>
  <c r="AE142" i="162"/>
  <c r="AK142" i="162" s="1"/>
  <c r="AG143" i="162"/>
  <c r="D145" i="164" l="1"/>
  <c r="AA328" i="162"/>
  <c r="AA510" i="162" s="1"/>
  <c r="AA147" i="162"/>
  <c r="AI146" i="162"/>
  <c r="E141" i="164"/>
  <c r="AJ143" i="162"/>
  <c r="AH143" i="162" s="1"/>
  <c r="AG144" i="162"/>
  <c r="AE143" i="162"/>
  <c r="AK143" i="162" s="1"/>
  <c r="E142" i="164" l="1"/>
  <c r="D146" i="164"/>
  <c r="AA329" i="162"/>
  <c r="AA511" i="162" s="1"/>
  <c r="AA148" i="162"/>
  <c r="AI147" i="162"/>
  <c r="AJ144" i="162"/>
  <c r="AH144" i="162" s="1"/>
  <c r="AG145" i="162"/>
  <c r="AE144" i="162"/>
  <c r="AK144" i="162" s="1"/>
  <c r="D147" i="164" l="1"/>
  <c r="AA330" i="162"/>
  <c r="AA512" i="162" s="1"/>
  <c r="AA149" i="162"/>
  <c r="AI148" i="162"/>
  <c r="E143" i="164"/>
  <c r="AJ145" i="162"/>
  <c r="AH145" i="162" s="1"/>
  <c r="AG146" i="162"/>
  <c r="AE145" i="162"/>
  <c r="AK145" i="162" s="1"/>
  <c r="E144" i="164" l="1"/>
  <c r="D148" i="164"/>
  <c r="AA331" i="162"/>
  <c r="AA513" i="162" s="1"/>
  <c r="AA150" i="162"/>
  <c r="AI149" i="162"/>
  <c r="AJ146" i="162"/>
  <c r="AH146" i="162" s="1"/>
  <c r="AG147" i="162"/>
  <c r="AE146" i="162"/>
  <c r="AK146" i="162" s="1"/>
  <c r="D149" i="164" l="1"/>
  <c r="AA332" i="162"/>
  <c r="AA514" i="162" s="1"/>
  <c r="AA151" i="162"/>
  <c r="AI150" i="162"/>
  <c r="E145" i="164"/>
  <c r="AJ147" i="162"/>
  <c r="AH147" i="162" s="1"/>
  <c r="AG148" i="162"/>
  <c r="AE147" i="162"/>
  <c r="AK147" i="162" s="1"/>
  <c r="E146" i="164" l="1"/>
  <c r="D150" i="164"/>
  <c r="AA333" i="162"/>
  <c r="AA515" i="162" s="1"/>
  <c r="AA152" i="162"/>
  <c r="AI151" i="162"/>
  <c r="AG149" i="162"/>
  <c r="AJ148" i="162"/>
  <c r="AH148" i="162" s="1"/>
  <c r="AE148" i="162"/>
  <c r="AK148" i="162" s="1"/>
  <c r="D151" i="164" l="1"/>
  <c r="AA334" i="162"/>
  <c r="AA516" i="162" s="1"/>
  <c r="AA153" i="162"/>
  <c r="AI152" i="162"/>
  <c r="E147" i="164"/>
  <c r="AG150" i="162"/>
  <c r="AJ149" i="162"/>
  <c r="AH149" i="162" s="1"/>
  <c r="AE149" i="162"/>
  <c r="AK149" i="162" s="1"/>
  <c r="E148" i="164" l="1"/>
  <c r="D152" i="164"/>
  <c r="AA335" i="162"/>
  <c r="AA517" i="162" s="1"/>
  <c r="AA154" i="162"/>
  <c r="AI153" i="162"/>
  <c r="AG151" i="162"/>
  <c r="AE150" i="162"/>
  <c r="AK150" i="162" s="1"/>
  <c r="AJ150" i="162"/>
  <c r="AH150" i="162" s="1"/>
  <c r="D153" i="164" l="1"/>
  <c r="AA336" i="162"/>
  <c r="AA518" i="162" s="1"/>
  <c r="AA155" i="162"/>
  <c r="AI154" i="162"/>
  <c r="E149" i="164"/>
  <c r="AJ151" i="162"/>
  <c r="AH151" i="162" s="1"/>
  <c r="AG152" i="162"/>
  <c r="AE151" i="162"/>
  <c r="AK151" i="162" s="1"/>
  <c r="E150" i="164" l="1"/>
  <c r="D154" i="164"/>
  <c r="AA337" i="162"/>
  <c r="AA519" i="162" s="1"/>
  <c r="AA156" i="162"/>
  <c r="AI155" i="162"/>
  <c r="AJ152" i="162"/>
  <c r="AH152" i="162" s="1"/>
  <c r="AG153" i="162"/>
  <c r="AE152" i="162"/>
  <c r="AK152" i="162" s="1"/>
  <c r="D155" i="164" l="1"/>
  <c r="AA338" i="162"/>
  <c r="AA520" i="162" s="1"/>
  <c r="AA157" i="162"/>
  <c r="AI156" i="162"/>
  <c r="E151" i="164"/>
  <c r="AJ153" i="162"/>
  <c r="AH153" i="162" s="1"/>
  <c r="AG154" i="162"/>
  <c r="AE153" i="162"/>
  <c r="AK153" i="162" s="1"/>
  <c r="E152" i="164" l="1"/>
  <c r="D156" i="164"/>
  <c r="AA339" i="162"/>
  <c r="AA521" i="162" s="1"/>
  <c r="AA158" i="162"/>
  <c r="AI157" i="162"/>
  <c r="AJ154" i="162"/>
  <c r="AH154" i="162" s="1"/>
  <c r="AG155" i="162"/>
  <c r="AE154" i="162"/>
  <c r="AK154" i="162" s="1"/>
  <c r="D157" i="164" l="1"/>
  <c r="AA340" i="162"/>
  <c r="AA522" i="162" s="1"/>
  <c r="AA159" i="162"/>
  <c r="AI158" i="162"/>
  <c r="E153" i="164"/>
  <c r="AJ155" i="162"/>
  <c r="AH155" i="162" s="1"/>
  <c r="AG156" i="162"/>
  <c r="AE155" i="162"/>
  <c r="AK155" i="162" s="1"/>
  <c r="E154" i="164" l="1"/>
  <c r="D158" i="164"/>
  <c r="AA341" i="162"/>
  <c r="AA523" i="162" s="1"/>
  <c r="AA160" i="162"/>
  <c r="AI159" i="162"/>
  <c r="AJ156" i="162"/>
  <c r="AH156" i="162" s="1"/>
  <c r="AE156" i="162"/>
  <c r="AK156" i="162" s="1"/>
  <c r="AG157" i="162"/>
  <c r="D159" i="164" l="1"/>
  <c r="AA342" i="162"/>
  <c r="AA524" i="162" s="1"/>
  <c r="AA161" i="162"/>
  <c r="AI160" i="162"/>
  <c r="E155" i="164"/>
  <c r="AG158" i="162"/>
  <c r="AE157" i="162"/>
  <c r="AK157" i="162" s="1"/>
  <c r="AJ157" i="162"/>
  <c r="AH157" i="162" s="1"/>
  <c r="E156" i="164" l="1"/>
  <c r="D160" i="164"/>
  <c r="AA343" i="162"/>
  <c r="AA525" i="162" s="1"/>
  <c r="AA162" i="162"/>
  <c r="AI161" i="162"/>
  <c r="AE158" i="162"/>
  <c r="AK158" i="162" s="1"/>
  <c r="AJ158" i="162"/>
  <c r="AH158" i="162" s="1"/>
  <c r="AG159" i="162"/>
  <c r="D161" i="164" l="1"/>
  <c r="AA344" i="162"/>
  <c r="AA526" i="162" s="1"/>
  <c r="AA163" i="162"/>
  <c r="AI162" i="162"/>
  <c r="E157" i="164"/>
  <c r="AG160" i="162"/>
  <c r="AJ159" i="162"/>
  <c r="AH159" i="162" s="1"/>
  <c r="AE159" i="162"/>
  <c r="AK159" i="162" s="1"/>
  <c r="E158" i="164" l="1"/>
  <c r="D162" i="164"/>
  <c r="AA345" i="162"/>
  <c r="AA527" i="162" s="1"/>
  <c r="AA164" i="162"/>
  <c r="AI163" i="162"/>
  <c r="AG161" i="162"/>
  <c r="AJ160" i="162"/>
  <c r="AH160" i="162" s="1"/>
  <c r="AE160" i="162"/>
  <c r="AK160" i="162" s="1"/>
  <c r="D163" i="164" l="1"/>
  <c r="AA346" i="162"/>
  <c r="AA528" i="162" s="1"/>
  <c r="AA165" i="162"/>
  <c r="AI164" i="162"/>
  <c r="E159" i="164"/>
  <c r="AG162" i="162"/>
  <c r="AJ161" i="162"/>
  <c r="AH161" i="162" s="1"/>
  <c r="AE161" i="162"/>
  <c r="AK161" i="162" s="1"/>
  <c r="E160" i="164" l="1"/>
  <c r="D164" i="164"/>
  <c r="AA347" i="162"/>
  <c r="AA529" i="162" s="1"/>
  <c r="AA166" i="162"/>
  <c r="AI165" i="162"/>
  <c r="AJ162" i="162"/>
  <c r="AH162" i="162" s="1"/>
  <c r="AG163" i="162"/>
  <c r="AE162" i="162"/>
  <c r="AK162" i="162" s="1"/>
  <c r="E161" i="164" l="1"/>
  <c r="D165" i="164"/>
  <c r="AA348" i="162"/>
  <c r="AA530" i="162" s="1"/>
  <c r="AA167" i="162"/>
  <c r="AI166" i="162"/>
  <c r="AE163" i="162"/>
  <c r="AK163" i="162" s="1"/>
  <c r="AJ163" i="162"/>
  <c r="AH163" i="162" s="1"/>
  <c r="AG164" i="162"/>
  <c r="E162" i="164" l="1"/>
  <c r="D166" i="164"/>
  <c r="AA349" i="162"/>
  <c r="AA531" i="162" s="1"/>
  <c r="AA168" i="162"/>
  <c r="AI167" i="162"/>
  <c r="AJ164" i="162"/>
  <c r="AH164" i="162" s="1"/>
  <c r="AG165" i="162"/>
  <c r="AE164" i="162"/>
  <c r="AK164" i="162" s="1"/>
  <c r="E163" i="164" l="1"/>
  <c r="D167" i="164"/>
  <c r="AA350" i="162"/>
  <c r="AA532" i="162" s="1"/>
  <c r="AA169" i="162"/>
  <c r="AI168" i="162"/>
  <c r="AE165" i="162"/>
  <c r="AK165" i="162" s="1"/>
  <c r="AG166" i="162"/>
  <c r="AJ165" i="162"/>
  <c r="AH165" i="162" s="1"/>
  <c r="D168" i="164" l="1"/>
  <c r="AA351" i="162"/>
  <c r="AA533" i="162" s="1"/>
  <c r="AA170" i="162"/>
  <c r="AI169" i="162"/>
  <c r="E164" i="164"/>
  <c r="AG167" i="162"/>
  <c r="AE166" i="162"/>
  <c r="AK166" i="162" s="1"/>
  <c r="AJ166" i="162"/>
  <c r="AH166" i="162" s="1"/>
  <c r="D169" i="164" l="1"/>
  <c r="AA352" i="162"/>
  <c r="AA534" i="162" s="1"/>
  <c r="AA171" i="162"/>
  <c r="AI170" i="162"/>
  <c r="E165" i="164"/>
  <c r="AE167" i="162"/>
  <c r="AK167" i="162" s="1"/>
  <c r="AG168" i="162"/>
  <c r="AJ167" i="162"/>
  <c r="AH167" i="162" s="1"/>
  <c r="E166" i="164" l="1"/>
  <c r="D170" i="164"/>
  <c r="AA353" i="162"/>
  <c r="AA535" i="162" s="1"/>
  <c r="AA172" i="162"/>
  <c r="AI171" i="162"/>
  <c r="AG169" i="162"/>
  <c r="AJ168" i="162"/>
  <c r="AH168" i="162" s="1"/>
  <c r="AE168" i="162"/>
  <c r="AK168" i="162" s="1"/>
  <c r="D171" i="164" l="1"/>
  <c r="AA354" i="162"/>
  <c r="AA536" i="162" s="1"/>
  <c r="AA173" i="162"/>
  <c r="AI172" i="162"/>
  <c r="E167" i="164"/>
  <c r="AE169" i="162"/>
  <c r="AK169" i="162" s="1"/>
  <c r="AJ169" i="162"/>
  <c r="AH169" i="162" s="1"/>
  <c r="AG170" i="162"/>
  <c r="E168" i="164" l="1"/>
  <c r="D172" i="164"/>
  <c r="AA355" i="162"/>
  <c r="AA537" i="162" s="1"/>
  <c r="AA174" i="162"/>
  <c r="AI173" i="162"/>
  <c r="AG171" i="162"/>
  <c r="AJ170" i="162"/>
  <c r="AH170" i="162" s="1"/>
  <c r="AE170" i="162"/>
  <c r="AK170" i="162" s="1"/>
  <c r="D173" i="164" l="1"/>
  <c r="AA356" i="162"/>
  <c r="AA538" i="162" s="1"/>
  <c r="AA175" i="162"/>
  <c r="AI174" i="162"/>
  <c r="E169" i="164"/>
  <c r="AJ171" i="162"/>
  <c r="AH171" i="162" s="1"/>
  <c r="AG172" i="162"/>
  <c r="AE171" i="162"/>
  <c r="AK171" i="162" s="1"/>
  <c r="E170" i="164" l="1"/>
  <c r="D174" i="164"/>
  <c r="AA357" i="162"/>
  <c r="AA539" i="162" s="1"/>
  <c r="AA176" i="162"/>
  <c r="AI175" i="162"/>
  <c r="AE172" i="162"/>
  <c r="AK172" i="162" s="1"/>
  <c r="AG173" i="162"/>
  <c r="AJ172" i="162"/>
  <c r="AH172" i="162" s="1"/>
  <c r="D175" i="164" l="1"/>
  <c r="AA358" i="162"/>
  <c r="AA540" i="162" s="1"/>
  <c r="AA177" i="162"/>
  <c r="AI176" i="162"/>
  <c r="E171" i="164"/>
  <c r="AE173" i="162"/>
  <c r="AK173" i="162" s="1"/>
  <c r="AJ173" i="162"/>
  <c r="AH173" i="162" s="1"/>
  <c r="AG174" i="162"/>
  <c r="E172" i="164" l="1"/>
  <c r="D176" i="164"/>
  <c r="AA359" i="162"/>
  <c r="AA541" i="162" s="1"/>
  <c r="AA178" i="162"/>
  <c r="AI177" i="162"/>
  <c r="AG175" i="162"/>
  <c r="AE174" i="162"/>
  <c r="AK174" i="162" s="1"/>
  <c r="AJ174" i="162"/>
  <c r="AH174" i="162" s="1"/>
  <c r="D177" i="164" l="1"/>
  <c r="AA360" i="162"/>
  <c r="AA542" i="162" s="1"/>
  <c r="AA179" i="162"/>
  <c r="AI178" i="162"/>
  <c r="E173" i="164"/>
  <c r="AE175" i="162"/>
  <c r="AK175" i="162" s="1"/>
  <c r="AJ175" i="162"/>
  <c r="AH175" i="162" s="1"/>
  <c r="AG176" i="162"/>
  <c r="E174" i="164" l="1"/>
  <c r="D178" i="164"/>
  <c r="AA361" i="162"/>
  <c r="AA543" i="162" s="1"/>
  <c r="AA180" i="162"/>
  <c r="AI179" i="162"/>
  <c r="AG177" i="162"/>
  <c r="AJ176" i="162"/>
  <c r="AH176" i="162" s="1"/>
  <c r="AE176" i="162"/>
  <c r="AK176" i="162" s="1"/>
  <c r="D179" i="164" l="1"/>
  <c r="AA362" i="162"/>
  <c r="AA544" i="162" s="1"/>
  <c r="AI180" i="162"/>
  <c r="E175" i="164"/>
  <c r="AJ177" i="162"/>
  <c r="AH177" i="162" s="1"/>
  <c r="AG178" i="162"/>
  <c r="AE177" i="162"/>
  <c r="AK177" i="162" s="1"/>
  <c r="E176" i="164" l="1"/>
  <c r="AE178" i="162"/>
  <c r="AK178" i="162" s="1"/>
  <c r="AJ178" i="162"/>
  <c r="AH178" i="162" s="1"/>
  <c r="AG179" i="162"/>
  <c r="E177" i="164" l="1"/>
  <c r="AG180" i="162"/>
  <c r="AE179" i="162"/>
  <c r="AK179" i="162" s="1"/>
  <c r="AJ179" i="162"/>
  <c r="AH179" i="162" s="1"/>
  <c r="E178" i="164" l="1"/>
  <c r="I50" i="163" a="1"/>
  <c r="I50" i="163" s="1"/>
  <c r="N50" i="163" s="1"/>
  <c r="I53" i="163" a="1"/>
  <c r="I53" i="163" s="1"/>
  <c r="N53" i="163" s="1"/>
  <c r="H48" i="163" a="1"/>
  <c r="H48" i="163" s="1"/>
  <c r="M48" i="163" s="1"/>
  <c r="H54" i="163" a="1"/>
  <c r="H54" i="163" s="1"/>
  <c r="M54" i="163" s="1"/>
  <c r="H55" i="163" a="1"/>
  <c r="H55" i="163" s="1"/>
  <c r="M55" i="163" s="1"/>
  <c r="G53" i="163" a="1"/>
  <c r="G53" i="163" s="1"/>
  <c r="L53" i="163" s="1"/>
  <c r="G49" i="163" a="1"/>
  <c r="G49" i="163" s="1"/>
  <c r="L49" i="163" s="1"/>
  <c r="I51" i="163" a="1"/>
  <c r="I51" i="163" s="1"/>
  <c r="N51" i="163" s="1"/>
  <c r="S50" i="163" s="1"/>
  <c r="AJ180" i="162"/>
  <c r="AH180" i="162" s="1"/>
  <c r="L48" i="163" s="1"/>
  <c r="AE180" i="162"/>
  <c r="AK180" i="162" s="1"/>
  <c r="S53" i="163" l="1"/>
  <c r="S52" i="163"/>
  <c r="S51" i="163"/>
  <c r="E179" i="164"/>
  <c r="I54" i="163" a="1"/>
  <c r="I54" i="163" s="1"/>
  <c r="N54" i="163" s="1"/>
  <c r="H51" i="163" a="1"/>
  <c r="H51" i="163" s="1"/>
  <c r="M51" i="163" s="1"/>
  <c r="R50" i="163" s="1"/>
  <c r="I52" i="163" a="1"/>
  <c r="I52" i="163" s="1"/>
  <c r="N52" i="163" s="1"/>
  <c r="G54" i="163" a="1"/>
  <c r="G54" i="163" s="1"/>
  <c r="L54" i="163" s="1"/>
  <c r="H50" i="163" a="1"/>
  <c r="H50" i="163" s="1"/>
  <c r="M50" i="163" s="1"/>
  <c r="H53" i="163" a="1"/>
  <c r="H53" i="163" s="1"/>
  <c r="M53" i="163" s="1"/>
  <c r="G52" i="163" a="1"/>
  <c r="G52" i="163" s="1"/>
  <c r="L52" i="163" s="1"/>
  <c r="G51" i="163" a="1"/>
  <c r="G51" i="163" s="1"/>
  <c r="L51" i="163" s="1"/>
  <c r="Q50" i="163" s="1"/>
  <c r="G55" i="163" a="1"/>
  <c r="G55" i="163" s="1"/>
  <c r="L55" i="163" s="1"/>
  <c r="H49" i="163" a="1"/>
  <c r="H49" i="163" s="1"/>
  <c r="M49" i="163" s="1"/>
  <c r="R49" i="163" s="1"/>
  <c r="H52" i="163" a="1"/>
  <c r="H52" i="163" s="1"/>
  <c r="M52" i="163" s="1"/>
  <c r="Q49" i="163"/>
  <c r="B72" i="154" s="1"/>
  <c r="Q48" i="163"/>
  <c r="I55" i="163" a="1"/>
  <c r="I55" i="163" s="1"/>
  <c r="N55" i="163" s="1"/>
  <c r="I49" i="163" a="1"/>
  <c r="I49" i="163" s="1"/>
  <c r="N49" i="163" s="1"/>
  <c r="G50" i="163" a="1"/>
  <c r="G50" i="163" s="1"/>
  <c r="L50" i="163" s="1"/>
  <c r="Q51" i="163"/>
  <c r="Q53" i="163"/>
  <c r="Q52" i="163"/>
  <c r="I48" i="163" a="1"/>
  <c r="I48" i="163" s="1"/>
  <c r="N48" i="163" s="1"/>
  <c r="K130" i="154" l="1"/>
  <c r="L130" i="154"/>
  <c r="J129" i="154"/>
  <c r="K129" i="154"/>
  <c r="J120" i="154"/>
  <c r="J123" i="154"/>
  <c r="K123" i="154"/>
  <c r="J117" i="154"/>
  <c r="L121" i="154"/>
  <c r="K120" i="154"/>
  <c r="L119" i="154"/>
  <c r="L129" i="154"/>
  <c r="K117" i="154"/>
  <c r="K121" i="154"/>
  <c r="K122" i="154"/>
  <c r="J130" i="154"/>
  <c r="L120" i="154"/>
  <c r="L118" i="154"/>
  <c r="J118" i="154"/>
  <c r="J121" i="154"/>
  <c r="L117" i="154"/>
  <c r="L123" i="154"/>
  <c r="J119" i="154"/>
  <c r="J122" i="154"/>
  <c r="L122" i="154"/>
  <c r="K119" i="154"/>
  <c r="K118" i="154"/>
  <c r="B48" i="155"/>
  <c r="R52" i="163"/>
  <c r="R51" i="163"/>
  <c r="R53" i="163"/>
  <c r="S48" i="163"/>
  <c r="D72" i="154" s="1"/>
  <c r="S49" i="163"/>
  <c r="R48" i="163"/>
  <c r="C72" i="154" s="1"/>
  <c r="L158" i="154" l="1"/>
  <c r="D95" i="154" s="1"/>
  <c r="L131" i="154"/>
  <c r="D93" i="154" s="1"/>
  <c r="K131" i="154"/>
  <c r="C93" i="154" s="1"/>
  <c r="J124" i="154"/>
  <c r="B92" i="154" s="1"/>
  <c r="J131" i="154"/>
  <c r="B93" i="154" s="1"/>
  <c r="K124" i="154"/>
  <c r="C92" i="154" s="1"/>
  <c r="E107" i="155"/>
  <c r="E134" i="155"/>
  <c r="E132" i="155"/>
  <c r="E133" i="155"/>
  <c r="E98" i="155"/>
  <c r="E99" i="155"/>
  <c r="E97" i="155"/>
  <c r="E131" i="155"/>
  <c r="E95" i="155"/>
  <c r="E96" i="155"/>
  <c r="E106" i="155"/>
  <c r="E108" i="155" s="1"/>
  <c r="B70" i="155" s="1"/>
  <c r="E128" i="155"/>
  <c r="E94" i="155"/>
  <c r="E130" i="155"/>
  <c r="E129" i="155"/>
  <c r="E100" i="155"/>
  <c r="K158" i="154"/>
  <c r="C95" i="154" s="1"/>
  <c r="L124" i="154"/>
  <c r="D92" i="154" s="1"/>
  <c r="J158" i="154"/>
  <c r="B95" i="154" s="1"/>
  <c r="D96" i="154" l="1"/>
  <c r="E135" i="155"/>
  <c r="B72" i="155" s="1"/>
  <c r="E101" i="155"/>
  <c r="B69" i="155" s="1"/>
  <c r="C96" i="154"/>
  <c r="B96" i="154"/>
  <c r="B73" i="15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<sst xmlns="http://schemas.openxmlformats.org/spreadsheetml/2006/main" count="1990" uniqueCount="540">
  <si>
    <t>Capabilities/Uses:</t>
  </si>
  <si>
    <t>Main Datasets:</t>
  </si>
  <si>
    <t>Reference:</t>
  </si>
  <si>
    <t>Read Me</t>
  </si>
  <si>
    <t>Approach</t>
  </si>
  <si>
    <t>Parameter</t>
  </si>
  <si>
    <t>High</t>
  </si>
  <si>
    <t>Low</t>
  </si>
  <si>
    <t>Unit</t>
  </si>
  <si>
    <t>Value</t>
  </si>
  <si>
    <t>-</t>
  </si>
  <si>
    <t>Contact: Edward Oughton (eoughton@teltrium.com); Erica Weir (eweir@teltrium.com).</t>
  </si>
  <si>
    <t>Developed by Teltrium Inc. for NASA SCaN</t>
  </si>
  <si>
    <t>Caveats to using ASCEND:</t>
  </si>
  <si>
    <t>Assessing Commercialization Strategies for Evolving Network Demand (ASCEND)</t>
  </si>
  <si>
    <t xml:space="preserve">    - ASCEND utilizes parameter assumptions when reliable scientific data are not available, if there are questions regarding the approach, reach out to the model creators (eoughton@teltrium.com; eweir@teltrium.com).</t>
  </si>
  <si>
    <t>AIM</t>
  </si>
  <si>
    <t>BRTS</t>
  </si>
  <si>
    <t>FGST</t>
  </si>
  <si>
    <t>GPM</t>
  </si>
  <si>
    <t>HST</t>
  </si>
  <si>
    <t>ICON</t>
  </si>
  <si>
    <t>ISS</t>
  </si>
  <si>
    <t>JPSS-1</t>
  </si>
  <si>
    <t>LDB</t>
  </si>
  <si>
    <t>NPP</t>
  </si>
  <si>
    <t>OCO-2</t>
  </si>
  <si>
    <t>ORION</t>
  </si>
  <si>
    <t>SPTR-2</t>
  </si>
  <si>
    <t>THEMIS-A</t>
  </si>
  <si>
    <t>THEMIS-D</t>
  </si>
  <si>
    <t>THEMIS-E</t>
  </si>
  <si>
    <t>TIMED</t>
  </si>
  <si>
    <t>NEOWISE</t>
  </si>
  <si>
    <t>Near Earth Robotic - GEO and Near Earth</t>
  </si>
  <si>
    <t>Near Earth Robotic - LEO Science</t>
  </si>
  <si>
    <t>Launch Events</t>
  </si>
  <si>
    <t>Human Space Flight</t>
  </si>
  <si>
    <t>Near Earth Robotic - Low Latency &amp; Complex Needs</t>
  </si>
  <si>
    <t>Terrestrial &amp; Aerial</t>
  </si>
  <si>
    <t>ACE</t>
  </si>
  <si>
    <t>AQUA</t>
  </si>
  <si>
    <t>AURA</t>
  </si>
  <si>
    <t>CLICK-A</t>
  </si>
  <si>
    <t>DELTA IV</t>
  </si>
  <si>
    <t>ICESAT-2</t>
  </si>
  <si>
    <t>NUSTAR</t>
  </si>
  <si>
    <t>STARLINER</t>
  </si>
  <si>
    <t>SWIFT</t>
  </si>
  <si>
    <t>TERRA</t>
  </si>
  <si>
    <t>DSCOVR</t>
  </si>
  <si>
    <t>GOES-14</t>
  </si>
  <si>
    <t>January 2020 - Dec 2022</t>
  </si>
  <si>
    <t>Near-Future (Jan 2023-Dec 2027)</t>
  </si>
  <si>
    <t>Direct to Earth (DTE)</t>
  </si>
  <si>
    <t>Baseline</t>
  </si>
  <si>
    <t>Space Relay (SR)</t>
  </si>
  <si>
    <t>Deep Space Robotic</t>
  </si>
  <si>
    <t>Mission Operations</t>
  </si>
  <si>
    <t>Use Case</t>
  </si>
  <si>
    <t>Count</t>
  </si>
  <si>
    <t>Total</t>
  </si>
  <si>
    <t>Share</t>
  </si>
  <si>
    <t>MMS-1</t>
  </si>
  <si>
    <t>MMS-2</t>
  </si>
  <si>
    <t>MMS-3</t>
  </si>
  <si>
    <t>MMS-4</t>
  </si>
  <si>
    <t>ICT equipment</t>
  </si>
  <si>
    <t>Civil engineering structure</t>
  </si>
  <si>
    <t>Fixed fiber connection</t>
  </si>
  <si>
    <t>Staff labor</t>
  </si>
  <si>
    <t>Discount rate</t>
  </si>
  <si>
    <t>Capex</t>
  </si>
  <si>
    <t>Opex</t>
  </si>
  <si>
    <t>Variable Type</t>
  </si>
  <si>
    <t>Site purchase</t>
  </si>
  <si>
    <t>AM1</t>
  </si>
  <si>
    <t>AQA</t>
  </si>
  <si>
    <t>AUR</t>
  </si>
  <si>
    <t>C18</t>
  </si>
  <si>
    <t>C19</t>
  </si>
  <si>
    <t>CAL</t>
  </si>
  <si>
    <t>CLA</t>
  </si>
  <si>
    <t>COB</t>
  </si>
  <si>
    <t>COBE</t>
  </si>
  <si>
    <t>DSCO</t>
  </si>
  <si>
    <t>G13</t>
  </si>
  <si>
    <t>G14</t>
  </si>
  <si>
    <t>G15</t>
  </si>
  <si>
    <t>G16</t>
  </si>
  <si>
    <t>G17</t>
  </si>
  <si>
    <t>G18</t>
  </si>
  <si>
    <t>GF1</t>
  </si>
  <si>
    <t>GF2</t>
  </si>
  <si>
    <t>GOES-13</t>
  </si>
  <si>
    <t>IC2</t>
  </si>
  <si>
    <t>ICN</t>
  </si>
  <si>
    <t>IRI</t>
  </si>
  <si>
    <t>IXP</t>
  </si>
  <si>
    <t>L7</t>
  </si>
  <si>
    <t>LRO</t>
  </si>
  <si>
    <t>LS7</t>
  </si>
  <si>
    <t>LS8</t>
  </si>
  <si>
    <t>LS9</t>
  </si>
  <si>
    <t>MEB</t>
  </si>
  <si>
    <t>MS1</t>
  </si>
  <si>
    <t>MS2</t>
  </si>
  <si>
    <t>MS3</t>
  </si>
  <si>
    <t>MS4</t>
  </si>
  <si>
    <t>NUS</t>
  </si>
  <si>
    <t>OC2</t>
  </si>
  <si>
    <t>PT1</t>
  </si>
  <si>
    <t>S69</t>
  </si>
  <si>
    <t>S70</t>
  </si>
  <si>
    <t>SCI</t>
  </si>
  <si>
    <t>SE1</t>
  </si>
  <si>
    <t>SMP</t>
  </si>
  <si>
    <t>SNB</t>
  </si>
  <si>
    <t>SND</t>
  </si>
  <si>
    <t>SOLB</t>
  </si>
  <si>
    <t>ST6</t>
  </si>
  <si>
    <t>STATION</t>
  </si>
  <si>
    <t>T10</t>
  </si>
  <si>
    <t>T13</t>
  </si>
  <si>
    <t>TD3</t>
  </si>
  <si>
    <t>TD5</t>
  </si>
  <si>
    <t>TD7</t>
  </si>
  <si>
    <t>TD8</t>
  </si>
  <si>
    <t>TD9</t>
  </si>
  <si>
    <t>THA</t>
  </si>
  <si>
    <t>THB</t>
  </si>
  <si>
    <t>THC</t>
  </si>
  <si>
    <t>THD</t>
  </si>
  <si>
    <t>THE</t>
  </si>
  <si>
    <t>XRI</t>
  </si>
  <si>
    <t>DTE Minutes 2023</t>
  </si>
  <si>
    <t>Name</t>
  </si>
  <si>
    <t>Code</t>
  </si>
  <si>
    <t>GOES</t>
  </si>
  <si>
    <t>Full</t>
  </si>
  <si>
    <t>Aeronomy of Ice in the Mesosphere</t>
  </si>
  <si>
    <t>Cosmic Background Explorer</t>
  </si>
  <si>
    <t>Imaging X-ray Polarimetry Explorer</t>
  </si>
  <si>
    <t>Lunar Reconnaissance Orbiter</t>
  </si>
  <si>
    <t>Magnetospheric Multiscale (MMS) Mission</t>
  </si>
  <si>
    <t>Orbiting Carbon Observatory</t>
  </si>
  <si>
    <t>Parker Solar Probe</t>
  </si>
  <si>
    <t>Space Technology 6</t>
  </si>
  <si>
    <t>X-Ray Imaging and Spectroscopy Mission (XRISM)</t>
  </si>
  <si>
    <t>ATLAS-V</t>
  </si>
  <si>
    <t>BLSM POINT</t>
  </si>
  <si>
    <t>BURSTCUBE</t>
  </si>
  <si>
    <t>CYGNUS NG-16</t>
  </si>
  <si>
    <t>CYGNUS NG-18</t>
  </si>
  <si>
    <t>CYGNUS NG-19</t>
  </si>
  <si>
    <t>ESBT</t>
  </si>
  <si>
    <t>FERMI</t>
  </si>
  <si>
    <t>GRC ACNT DEMO</t>
  </si>
  <si>
    <t>GRGT TO&amp;A</t>
  </si>
  <si>
    <t>GRS TOA</t>
  </si>
  <si>
    <t>H-IIA/EMM</t>
  </si>
  <si>
    <t>H-IIA/XRISM</t>
  </si>
  <si>
    <t>HSF LANDING SV</t>
  </si>
  <si>
    <t>ICESAT2</t>
  </si>
  <si>
    <t>ICPS</t>
  </si>
  <si>
    <t>JPSS-2</t>
  </si>
  <si>
    <t>LDB EUSO</t>
  </si>
  <si>
    <t>LDB GUSTO</t>
  </si>
  <si>
    <t>LDB HIWIND</t>
  </si>
  <si>
    <t>LDB SPB</t>
  </si>
  <si>
    <t>LDB SPB 1</t>
  </si>
  <si>
    <t>LDB SPB 2</t>
  </si>
  <si>
    <t>LDB SUPERBIT</t>
  </si>
  <si>
    <t>LDBP2</t>
  </si>
  <si>
    <t>LDBP3</t>
  </si>
  <si>
    <t>LDBP4</t>
  </si>
  <si>
    <t>LDBP5</t>
  </si>
  <si>
    <t>LSAT-7</t>
  </si>
  <si>
    <t>LSAT-8</t>
  </si>
  <si>
    <t>LSAT-9</t>
  </si>
  <si>
    <t>NO CUSTOMER ID</t>
  </si>
  <si>
    <t>PACE</t>
  </si>
  <si>
    <t>SPACEX CREW-4</t>
  </si>
  <si>
    <t>SPACEX CREW-5</t>
  </si>
  <si>
    <t>SPACEX CREW-6</t>
  </si>
  <si>
    <t>SPACEX CREW-7</t>
  </si>
  <si>
    <t>SPB</t>
  </si>
  <si>
    <t>SPX STARSHIP</t>
  </si>
  <si>
    <t>SPX-26</t>
  </si>
  <si>
    <t>SPX-27</t>
  </si>
  <si>
    <t>SPX-28</t>
  </si>
  <si>
    <t>SPX-29</t>
  </si>
  <si>
    <t>STGT SGSS</t>
  </si>
  <si>
    <t>STGT TEST</t>
  </si>
  <si>
    <t>STGT TO&amp;A</t>
  </si>
  <si>
    <t>SUNRISE III</t>
  </si>
  <si>
    <t>TECHOPS</t>
  </si>
  <si>
    <t>TECHOPS TEST</t>
  </si>
  <si>
    <t>TO&amp;A</t>
  </si>
  <si>
    <t>VULCAN</t>
  </si>
  <si>
    <t>WSGT</t>
  </si>
  <si>
    <t>XTD</t>
  </si>
  <si>
    <t>Fermi Gamma-ray Space Telescope</t>
  </si>
  <si>
    <t xml:space="preserve">Global Precipitation Measurement Mission </t>
  </si>
  <si>
    <t>Emirates Mars Mission</t>
  </si>
  <si>
    <t>Hubble Space Telescope</t>
  </si>
  <si>
    <t>Ionospheric Connection Explorer</t>
  </si>
  <si>
    <t>Interim Cryogenic Propulsion Stage</t>
  </si>
  <si>
    <t xml:space="preserve">Joint Polar Satellite System </t>
  </si>
  <si>
    <t>Near-Earth Object Wide-field Infrared Survey Explorer</t>
  </si>
  <si>
    <t>Nuclear Spectroscopic Telescope Array</t>
  </si>
  <si>
    <t>Plankton, Aerosol, Cloud, ocean Ecosystem</t>
  </si>
  <si>
    <t>Super Pressure Balloon</t>
  </si>
  <si>
    <t>South Pole Tracking and Data Relay Satellite (TDRS) Relay 2</t>
  </si>
  <si>
    <t xml:space="preserve">Technical Operations and Analysis </t>
  </si>
  <si>
    <t>White Sands Ground Terminal</t>
  </si>
  <si>
    <t>Bilateration Ranging Transponder System</t>
  </si>
  <si>
    <t>Blossom Point Research Facility</t>
  </si>
  <si>
    <t>SR Minutes 2023</t>
  </si>
  <si>
    <t>Total (excluding Launch Events)</t>
  </si>
  <si>
    <t>Launch Events DTE</t>
  </si>
  <si>
    <t>Launch Events SR</t>
  </si>
  <si>
    <t>Launch Events (LE)</t>
  </si>
  <si>
    <t xml:space="preserve">Total </t>
  </si>
  <si>
    <t>Service Time Per Year (Per Mission)</t>
  </si>
  <si>
    <t>Service Time (Minutes)</t>
  </si>
  <si>
    <t xml:space="preserve"> Annual Service Cost (USD)</t>
  </si>
  <si>
    <t>Annual Service Cost (USD)</t>
  </si>
  <si>
    <t>Estimated new Assured Data Delivery (ADD) users by use case - Direct To Earth (DTE)</t>
  </si>
  <si>
    <t>Estimated new Assured Data Delivery (ADD) users by use case - Space Relay (SR)</t>
  </si>
  <si>
    <t>Estimated new Assured Data Delivery (ADD) users by use case - Launch Events (LE)</t>
  </si>
  <si>
    <t>Estimated new File Data Delivery and Networking (FDDN) users by use case - DTE</t>
  </si>
  <si>
    <t>Estimated new File Data Delivery and Networking (FDDN) users by use case - SR</t>
  </si>
  <si>
    <t>Assured Data Delivery (ADD)</t>
  </si>
  <si>
    <t>File Data Delivery and Networking (FDDN)</t>
  </si>
  <si>
    <t>Service</t>
  </si>
  <si>
    <t>Method</t>
  </si>
  <si>
    <t>ADD Direct to Earth (DTE)</t>
  </si>
  <si>
    <t>ADD Space Relay (SR)</t>
  </si>
  <si>
    <t>ADD Launch Events (LE)</t>
  </si>
  <si>
    <t>FDDN Direct to Earth (DTE)</t>
  </si>
  <si>
    <t>FDDN Space Relay (SR)</t>
  </si>
  <si>
    <t>Type</t>
  </si>
  <si>
    <t>DTE</t>
  </si>
  <si>
    <t>SR</t>
  </si>
  <si>
    <t>Cost/Minute (USD/min)</t>
  </si>
  <si>
    <t>CALIPSO</t>
  </si>
  <si>
    <t>Cloud-Aerosol Lidar and Infrared Pathfinder Satellite Observations</t>
  </si>
  <si>
    <t>Deep Space Climate Observatory</t>
  </si>
  <si>
    <t>Interface Region Imaging Spectrograph</t>
  </si>
  <si>
    <t>Landsat</t>
  </si>
  <si>
    <t>Landsat - Duplicate</t>
  </si>
  <si>
    <t>MetOp-B</t>
  </si>
  <si>
    <t>Assume Soyuz</t>
  </si>
  <si>
    <t>Solar-B/Hinode</t>
  </si>
  <si>
    <t>TDRS</t>
  </si>
  <si>
    <t>THEMIS</t>
  </si>
  <si>
    <t>Fermi Gamma-ray Space Telescope (DUP)</t>
  </si>
  <si>
    <t>These is testing related to TDRS - I think we should remove</t>
  </si>
  <si>
    <t>Balloon program mission</t>
  </si>
  <si>
    <t>Suomi NPP</t>
  </si>
  <si>
    <t>Minutes</t>
  </si>
  <si>
    <t>Exclude from mission count</t>
  </si>
  <si>
    <t>Exclude from minutes count</t>
  </si>
  <si>
    <t>ADD (%)</t>
  </si>
  <si>
    <t>FDDN (%)</t>
  </si>
  <si>
    <t>Metric</t>
  </si>
  <si>
    <t>ADD (Minutes)</t>
  </si>
  <si>
    <t>FDDN (Minutes)</t>
  </si>
  <si>
    <t>Ground station</t>
  </si>
  <si>
    <t>Staff</t>
  </si>
  <si>
    <t>Satellites</t>
  </si>
  <si>
    <t>Category</t>
  </si>
  <si>
    <t>Cost type</t>
  </si>
  <si>
    <t>Network ID</t>
  </si>
  <si>
    <t>Manufacturing (Sats)</t>
  </si>
  <si>
    <t>Launch (Sats)</t>
  </si>
  <si>
    <t>Ground satations</t>
  </si>
  <si>
    <t>Fiber (km)</t>
  </si>
  <si>
    <t>Reg. Fees (planes)</t>
  </si>
  <si>
    <t>O&amp;M</t>
  </si>
  <si>
    <t>Satellite manufacturing (per sat)</t>
  </si>
  <si>
    <t>$m</t>
  </si>
  <si>
    <t>LEO</t>
  </si>
  <si>
    <t>Satellite launch (per sat)</t>
  </si>
  <si>
    <t>Fiber infrastructure</t>
  </si>
  <si>
    <t>$m/km</t>
  </si>
  <si>
    <t>Regulatory fees</t>
  </si>
  <si>
    <t>$m/plane/year</t>
  </si>
  <si>
    <t xml:space="preserve">Operation and maintenance </t>
  </si>
  <si>
    <t>% of capex/year</t>
  </si>
  <si>
    <t>$m/year</t>
  </si>
  <si>
    <t>%/year</t>
  </si>
  <si>
    <t>All networks are designed for 20 years (LEO sats each last 5 years, GEO sats last 20 years).</t>
  </si>
  <si>
    <t xml:space="preserve">The number of launch spots is proportional to the number of manufactured satellites. </t>
  </si>
  <si>
    <t>10 ground stations are required as a minimum, with one added per the scaling factor.</t>
  </si>
  <si>
    <t xml:space="preserve">Each ground station needs 10 km of new fiber. </t>
  </si>
  <si>
    <t xml:space="preserve">A constellation has a minimum of 2 orbital planes, with one plane added per 100 satellites. </t>
  </si>
  <si>
    <t xml:space="preserve">O&amp;M is 10% of the manufacturing, launch, ground station and fiber cost. </t>
  </si>
  <si>
    <t xml:space="preserve">Staff is a minimum of 100, and then increases per the scaling factor. </t>
  </si>
  <si>
    <t>Constellation</t>
  </si>
  <si>
    <t>Ground stations</t>
  </si>
  <si>
    <t>GS/satellite</t>
  </si>
  <si>
    <t>Kuiper</t>
  </si>
  <si>
    <t>OneWeb</t>
  </si>
  <si>
    <t>Manufacturing ($m)</t>
  </si>
  <si>
    <t>Launch ($m)</t>
  </si>
  <si>
    <t>Ground satations ($m)</t>
  </si>
  <si>
    <t>Fiber ($m)</t>
  </si>
  <si>
    <t>Reg. Fees ($m)</t>
  </si>
  <si>
    <t>O&amp;M ($m)</t>
  </si>
  <si>
    <t>Staff ($m)</t>
  </si>
  <si>
    <t>Total ($m)</t>
  </si>
  <si>
    <t>Starlink</t>
  </si>
  <si>
    <t>GEO</t>
  </si>
  <si>
    <t>LEO mean</t>
  </si>
  <si>
    <t>GEO mean</t>
  </si>
  <si>
    <t>MHz</t>
  </si>
  <si>
    <t>MHz/satellite</t>
  </si>
  <si>
    <t>Staff/satellite</t>
  </si>
  <si>
    <t>Total cost ($m)</t>
  </si>
  <si>
    <t>Fixed cost ($m)</t>
  </si>
  <si>
    <t>Variable cost ($m)</t>
  </si>
  <si>
    <t>Average total cost ($/Min)</t>
  </si>
  <si>
    <t>Marginal cost ($/min)</t>
  </si>
  <si>
    <t>Fixed costs - costs that do not change with the amount produced</t>
  </si>
  <si>
    <t>Variable costs - costs that do change with the amount produced</t>
  </si>
  <si>
    <t>Total cost - fixed costs plus variable costs</t>
  </si>
  <si>
    <t xml:space="preserve">Marginal cost - additional cost of producing one more unit. </t>
  </si>
  <si>
    <t>Antennas</t>
  </si>
  <si>
    <t>Antenna (per antenna)</t>
  </si>
  <si>
    <t>$m/Acre</t>
  </si>
  <si>
    <t>$mUSD</t>
  </si>
  <si>
    <t>Operation and maintenance</t>
  </si>
  <si>
    <t>The site is designed for a 20 year lifespan.</t>
  </si>
  <si>
    <t>Economic Metrics</t>
  </si>
  <si>
    <t>A site starts with one antenna and has more added as the network expands</t>
  </si>
  <si>
    <t>Civil engineering structure is a concrete slab, with a steel fence, operational building and space for atennas</t>
  </si>
  <si>
    <t xml:space="preserve">Each site needs 10 km of new fiber. </t>
  </si>
  <si>
    <t>Antenna ID</t>
  </si>
  <si>
    <t xml:space="preserve">    - ASCEND is not a replacement for detailed bottom-up network-specific modeling. The aim is to provide a generalized understanding of incremental cost for different network suppliers.</t>
  </si>
  <si>
    <t xml:space="preserve">    - ASCEND is not an exact measurement tool but a scenario-based decision-support model which helps to understand future (unknown) demand and pricing scenarios.</t>
  </si>
  <si>
    <t xml:space="preserve">- NASA SCaN operational data for Direct-To-Earth (DTE) and Space Relay (SR) services. </t>
  </si>
  <si>
    <t>ASCEND informs high-level decisions pertaining to commercialization strategies of NASA's Near Space Network.</t>
  </si>
  <si>
    <t xml:space="preserve">    - Evaluating commercial costs using bottom-up endogenous pricing (e.g., based on estimated costs of production). </t>
  </si>
  <si>
    <t>Oughton, E.J., Weir, E.L. et al. (2024) “Assessing Commercialization Strategies for Evolving Network Demand in NASA's Space Communications and Networking (SCaN) program”, Working Paper 24/XX.</t>
  </si>
  <si>
    <t xml:space="preserve">    - Appraising cost scenarios for awarding contracts to different wireless communication service providers.</t>
  </si>
  <si>
    <t>By using ASCEND an analyst is able to answer the following specific questions:</t>
  </si>
  <si>
    <t xml:space="preserve">- Current operational demand is based on real 2023 network usage data. </t>
  </si>
  <si>
    <t xml:space="preserve">- Future demand is based on NASA's stated (i) aggregate 2024-2027 missions and (ii) mean minutes per mission. </t>
  </si>
  <si>
    <t xml:space="preserve">- Endogenous prices are estimated in ASCEND, based on cost inputs from the literature, for hypothetical network operators. </t>
  </si>
  <si>
    <t>- Within these general services there are three communication methods, Direct-To-Earth (DTE), Space Relay (SR) and Launch Events (LE).</t>
  </si>
  <si>
    <t>- ASCEND considers Assured Data Delivery (ADD) and File Data Delivery and Networking (FDDN) services.</t>
  </si>
  <si>
    <t>DTE $/Min</t>
  </si>
  <si>
    <t>SR $/Min</t>
  </si>
  <si>
    <t>Service Method</t>
  </si>
  <si>
    <t>Mean DTE service time per mission</t>
  </si>
  <si>
    <t>Mean DTE service time per mission w/o Human Space Flight</t>
  </si>
  <si>
    <t>Mean SR service time per mission</t>
  </si>
  <si>
    <t>Mean SR service time per mission w/o Human Space Flight</t>
  </si>
  <si>
    <t>There are no spectrum costs (unlike terrestrial which often requires an exclusive license).</t>
  </si>
  <si>
    <t>Average fixed cost (US$/Min)</t>
  </si>
  <si>
    <t>Average variable cost (US$/Min)</t>
  </si>
  <si>
    <t>Starlink*</t>
  </si>
  <si>
    <t>*only 10% of staff work on Starlink</t>
  </si>
  <si>
    <t xml:space="preserve">Staff is a minimum of 200, and then increases per the staff scaling factor. </t>
  </si>
  <si>
    <t>19 $/Min (NASA MOCS)</t>
  </si>
  <si>
    <t>91 $/Min (NASA MOCS)</t>
  </si>
  <si>
    <t>User-defined price</t>
  </si>
  <si>
    <t>SR - LEO</t>
  </si>
  <si>
    <t>SR - GEO</t>
  </si>
  <si>
    <t xml:space="preserve">DTE </t>
  </si>
  <si>
    <t xml:space="preserve">The model now has the main relationships specified between the key variables. </t>
  </si>
  <si>
    <t xml:space="preserve">Disclaimer </t>
  </si>
  <si>
    <t>However, the model is still unvalidated, and will be re-parameterized once there is general agreement on the approach proposed here.</t>
  </si>
  <si>
    <t>Yes</t>
  </si>
  <si>
    <t xml:space="preserve">Include? </t>
  </si>
  <si>
    <t>No</t>
  </si>
  <si>
    <t>Current Mission Count</t>
  </si>
  <si>
    <t>S1</t>
  </si>
  <si>
    <t>S2</t>
  </si>
  <si>
    <t>S3</t>
  </si>
  <si>
    <t>Suppliers</t>
  </si>
  <si>
    <t>Scenario</t>
  </si>
  <si>
    <t>S4</t>
  </si>
  <si>
    <t>S5</t>
  </si>
  <si>
    <t>S6</t>
  </si>
  <si>
    <t>Scenario Minutes</t>
  </si>
  <si>
    <t>O&amp;M (% of terrestrial capex)</t>
  </si>
  <si>
    <t>Staff (headcount)</t>
  </si>
  <si>
    <t>Constellation size (sats)</t>
  </si>
  <si>
    <t>Manufacturing ($M)</t>
  </si>
  <si>
    <t>Launch ($M)</t>
  </si>
  <si>
    <t>Fiber ($M)</t>
  </si>
  <si>
    <t>Reg. Fees ($M)</t>
  </si>
  <si>
    <t>O&amp;M ($M)</t>
  </si>
  <si>
    <t>Staff ($M)</t>
  </si>
  <si>
    <t>Total ($M)</t>
  </si>
  <si>
    <t>Costs of Production</t>
  </si>
  <si>
    <t>Unit Quantities</t>
  </si>
  <si>
    <t>Costs by Cost Type ($Millions)</t>
  </si>
  <si>
    <t>Calculate Lifetime Opex Costs ($Millions)</t>
  </si>
  <si>
    <t>Total cost ($M)</t>
  </si>
  <si>
    <t>Fixed cost ($M)</t>
  </si>
  <si>
    <t>Variable cost ($M)</t>
  </si>
  <si>
    <t>Marginal cost ($/Min)</t>
  </si>
  <si>
    <t>Ground stations ($M)</t>
  </si>
  <si>
    <t>Unit Costs</t>
  </si>
  <si>
    <t>Estimate GS Scaling Factor</t>
  </si>
  <si>
    <t>Estimate Spectrum Scaling Factor</t>
  </si>
  <si>
    <t>Estimate Staff Scaling Factor</t>
  </si>
  <si>
    <t xml:space="preserve">    - Estimating the commercial cost of meeting current operational, and future demand for wireless communication services.</t>
  </si>
  <si>
    <t xml:space="preserve">SR - GEO </t>
  </si>
  <si>
    <t>Unknown Use Case</t>
  </si>
  <si>
    <t>Scenario Cost</t>
  </si>
  <si>
    <t>Total Current Minutes</t>
  </si>
  <si>
    <t>Total Future Minutes</t>
  </si>
  <si>
    <t>ICT equipment provides all onsite networking equipment (servers, routers, monitors, software etc.)</t>
  </si>
  <si>
    <t xml:space="preserve">O&amp;M is 10% of the terrestrial infrastructure capex cost, annually. </t>
  </si>
  <si>
    <t>DTE S1 (2 Providers)</t>
  </si>
  <si>
    <t>DTE S2 (3 Providers)</t>
  </si>
  <si>
    <t>DTE S3 (4 Providers)</t>
  </si>
  <si>
    <t>DTE S4 (5 Providers)</t>
  </si>
  <si>
    <t>DTE S5 (6 Providers)</t>
  </si>
  <si>
    <t>DTE S6 (7 Providers)</t>
  </si>
  <si>
    <t>SR S1 (2 LEO)</t>
  </si>
  <si>
    <t>SR S2 (1 LEO, 1 GEO)</t>
  </si>
  <si>
    <t>SR S4 (3 LEO 3 GEO)</t>
  </si>
  <si>
    <t>SR S5 (4 LEO 2 GEO)</t>
  </si>
  <si>
    <t>SR S6 (2 LEO 4 GEO)</t>
  </si>
  <si>
    <t>SR S3 (2 LEO, 2 GEO)</t>
  </si>
  <si>
    <t>DTE Mean Cost ($/Min)</t>
  </si>
  <si>
    <t>SR Mean Cost ($/Min)</t>
  </si>
  <si>
    <t>Profit Margin (%)</t>
  </si>
  <si>
    <t>Final Scenario Mean Cost</t>
  </si>
  <si>
    <t>DTE Scenario Minutes</t>
  </si>
  <si>
    <t>SR Scenario Minutes - LEO</t>
  </si>
  <si>
    <t>Low - Margin (%)</t>
  </si>
  <si>
    <t>Baseline - Margin (%)</t>
  </si>
  <si>
    <t>High - Margin (%)</t>
  </si>
  <si>
    <t>DTE Scenario Cost</t>
  </si>
  <si>
    <t>Final DTE Scenario Cost</t>
  </si>
  <si>
    <t xml:space="preserve"> </t>
  </si>
  <si>
    <t>Final SR Scenario Cost</t>
  </si>
  <si>
    <t>(1.1.2) Or specify a user-defined price.</t>
  </si>
  <si>
    <t>Note: Yellow cells are editable.</t>
  </si>
  <si>
    <t>Current Mean DTE Minutes (2023)</t>
  </si>
  <si>
    <t>Future Mean DTE Minutes</t>
  </si>
  <si>
    <t>Current Mean SR Minutes (2023)</t>
  </si>
  <si>
    <t>Future Mean SR Minutes</t>
  </si>
  <si>
    <t>Step 1: First, we need to set the quantity of future missions for low, baseline and high mission scenarios.</t>
  </si>
  <si>
    <t xml:space="preserve">Step 2: Next, we need to specify the price per minute, either based on a pre-defined price (e.g., NASA MOCS), price scenario, or a user-defined value.  </t>
  </si>
  <si>
    <t>(2.2.2) Specify a user-defined price.</t>
  </si>
  <si>
    <t>Future Missions</t>
  </si>
  <si>
    <t>Current Mission Count Share (%)</t>
  </si>
  <si>
    <r>
      <t>Advanced Composition Explorer (</t>
    </r>
    <r>
      <rPr>
        <b/>
        <sz val="11"/>
        <color rgb="FFBCC0C3"/>
        <rFont val="Helvetica"/>
      </rPr>
      <t>ACE</t>
    </r>
    <r>
      <rPr>
        <sz val="11"/>
        <color rgb="FFBDC1C6"/>
        <rFont val="Helvetica"/>
      </rPr>
      <t>)</t>
    </r>
  </si>
  <si>
    <t xml:space="preserve">Step 1: First, we need to specify the price per minute, either based on a pre-defined price (e.g., NASA MOCS), price scenario, or a user-defined value.  </t>
  </si>
  <si>
    <t>Current Demand (Minutes)</t>
  </si>
  <si>
    <t>Current Cost (US$)</t>
  </si>
  <si>
    <t>Notes:</t>
  </si>
  <si>
    <t>Scenarios</t>
  </si>
  <si>
    <t>There are two main categories of scenarios, including (i) price scenarios and (ii) mission scenarios.</t>
  </si>
  <si>
    <r>
      <t xml:space="preserve">- </t>
    </r>
    <r>
      <rPr>
        <b/>
        <sz val="11"/>
        <rFont val="Helvetica"/>
      </rPr>
      <t>DTE S1</t>
    </r>
    <r>
      <rPr>
        <sz val="11"/>
        <rFont val="Helvetica"/>
      </rPr>
      <t xml:space="preserve"> representing the price (US$/Min) based on two contracted DTE providers. </t>
    </r>
  </si>
  <si>
    <r>
      <t xml:space="preserve">- </t>
    </r>
    <r>
      <rPr>
        <b/>
        <sz val="11"/>
        <rFont val="Helvetica"/>
      </rPr>
      <t>DTE S2</t>
    </r>
    <r>
      <rPr>
        <sz val="11"/>
        <rFont val="Helvetica"/>
      </rPr>
      <t xml:space="preserve"> representing the price (US$/Min) based on three contracted DTE providers. </t>
    </r>
  </si>
  <si>
    <r>
      <t xml:space="preserve">- </t>
    </r>
    <r>
      <rPr>
        <b/>
        <sz val="11"/>
        <rFont val="Helvetica"/>
      </rPr>
      <t>DTE S3</t>
    </r>
    <r>
      <rPr>
        <sz val="11"/>
        <rFont val="Helvetica"/>
      </rPr>
      <t xml:space="preserve"> representing the price (US$/Min) based on four contracted DTE providers. </t>
    </r>
  </si>
  <si>
    <r>
      <t xml:space="preserve">- </t>
    </r>
    <r>
      <rPr>
        <b/>
        <sz val="11"/>
        <rFont val="Helvetica"/>
      </rPr>
      <t>DTE S4</t>
    </r>
    <r>
      <rPr>
        <sz val="11"/>
        <rFont val="Helvetica"/>
      </rPr>
      <t xml:space="preserve"> representing the price (US$/Min) based on five contracted DTE providers. </t>
    </r>
  </si>
  <si>
    <r>
      <t xml:space="preserve">- </t>
    </r>
    <r>
      <rPr>
        <b/>
        <sz val="11"/>
        <rFont val="Helvetica"/>
      </rPr>
      <t>DTE S5</t>
    </r>
    <r>
      <rPr>
        <sz val="11"/>
        <rFont val="Helvetica"/>
      </rPr>
      <t xml:space="preserve"> representing the price (US$/Min) based on six contracted DTE providers. </t>
    </r>
  </si>
  <si>
    <r>
      <t xml:space="preserve">- </t>
    </r>
    <r>
      <rPr>
        <b/>
        <sz val="11"/>
        <rFont val="Helvetica"/>
      </rPr>
      <t>DTE S6</t>
    </r>
    <r>
      <rPr>
        <sz val="11"/>
        <rFont val="Helvetica"/>
      </rPr>
      <t xml:space="preserve"> representing the price (US$/Min) based on seven contracted DTE providers. </t>
    </r>
  </si>
  <si>
    <r>
      <t xml:space="preserve">- </t>
    </r>
    <r>
      <rPr>
        <b/>
        <sz val="11"/>
        <rFont val="Helvetica"/>
      </rPr>
      <t>SR S2 (1 LEO, 1 GEO)</t>
    </r>
    <r>
      <rPr>
        <sz val="11"/>
        <rFont val="Helvetica"/>
      </rPr>
      <t xml:space="preserve"> representing the price (US$/Min) based on two contracted providers (1 LEO, 1 GEO). </t>
    </r>
  </si>
  <si>
    <r>
      <t xml:space="preserve">- </t>
    </r>
    <r>
      <rPr>
        <b/>
        <sz val="11"/>
        <rFont val="Helvetica"/>
      </rPr>
      <t>SR S3 (2 LEO, 2 GEO)</t>
    </r>
    <r>
      <rPr>
        <sz val="11"/>
        <rFont val="Helvetica"/>
      </rPr>
      <t xml:space="preserve"> representing the price (US$/Min) based on four contracted providers (2 LEO, 2 GEO). </t>
    </r>
  </si>
  <si>
    <r>
      <t xml:space="preserve">- </t>
    </r>
    <r>
      <rPr>
        <b/>
        <sz val="11"/>
        <rFont val="Helvetica"/>
      </rPr>
      <t>SR S5 (4 LEO 2 GEO)</t>
    </r>
    <r>
      <rPr>
        <sz val="11"/>
        <rFont val="Helvetica"/>
      </rPr>
      <t xml:space="preserve"> representing the price (US$/Min) based on six contracted providers (4 LEO 2 GEO). </t>
    </r>
  </si>
  <si>
    <r>
      <t xml:space="preserve">- </t>
    </r>
    <r>
      <rPr>
        <b/>
        <sz val="11"/>
        <rFont val="Helvetica"/>
      </rPr>
      <t>SR S6 (2 LEO 4 GEO)</t>
    </r>
    <r>
      <rPr>
        <sz val="11"/>
        <rFont val="Helvetica"/>
      </rPr>
      <t xml:space="preserve"> representing the price (US$/Min) based on six contracted providers (2 LEO 4 GEO). </t>
    </r>
  </si>
  <si>
    <r>
      <t xml:space="preserve">- </t>
    </r>
    <r>
      <rPr>
        <b/>
        <sz val="11"/>
        <rFont val="Helvetica"/>
      </rPr>
      <t>Low</t>
    </r>
    <r>
      <rPr>
        <sz val="11"/>
        <rFont val="Helvetica"/>
      </rPr>
      <t xml:space="preserve"> representing the least number of future missions. </t>
    </r>
  </si>
  <si>
    <r>
      <t xml:space="preserve">- </t>
    </r>
    <r>
      <rPr>
        <b/>
        <sz val="11"/>
        <rFont val="Helvetica"/>
      </rPr>
      <t>Baseline</t>
    </r>
    <r>
      <rPr>
        <sz val="11"/>
        <rFont val="Helvetica"/>
      </rPr>
      <t xml:space="preserve"> representing the business-as-usual quantity of future missions. </t>
    </r>
  </si>
  <si>
    <r>
      <t xml:space="preserve">- </t>
    </r>
    <r>
      <rPr>
        <b/>
        <sz val="11"/>
        <rFont val="Helvetica"/>
      </rPr>
      <t>High</t>
    </r>
    <r>
      <rPr>
        <sz val="11"/>
        <rFont val="Helvetica"/>
      </rPr>
      <t xml:space="preserve"> representing the most number of future missions. </t>
    </r>
  </si>
  <si>
    <t>Price scenarios are based on the number and type of awarded suppliers with equal marketshare, detailed as follows:</t>
  </si>
  <si>
    <t>Mission scenarios are based on expectations of future missions, detailed as follows:</t>
  </si>
  <si>
    <t xml:space="preserve">Step 2: Next, we can define which use cases we want to either include/exclude from the analysis.  </t>
  </si>
  <si>
    <t>Here we calculate the commercial cost, for NASA's current annual operational demand from 2023.</t>
  </si>
  <si>
    <t>Here we calculate the commercial cost for NASA's future mission demand forecast for 2023-2027.</t>
  </si>
  <si>
    <t>Mean minutes per mission are used as baseline values from 2023 operational data.</t>
  </si>
  <si>
    <t>(2.3) Select use cases to include/exclude.</t>
  </si>
  <si>
    <t>(2.4.1) Set the mean quantity of future DTE minutes per mission.</t>
  </si>
  <si>
    <t>(2.4.2) Set the mean quantity of future SR minutes per mission.</t>
  </si>
  <si>
    <t>…or…</t>
  </si>
  <si>
    <t>Note: To set a user-defined price, make sure (2.2.1) is set to "User-defined price".</t>
  </si>
  <si>
    <t xml:space="preserve">Step 3: Now we can define which use cases we want to either include/exclude from the analysis.  </t>
  </si>
  <si>
    <t xml:space="preserve">Step 4: Furthermore, we can specify the expected mean number of minutes by use case for future missions. </t>
  </si>
  <si>
    <t>High (USD/min)</t>
  </si>
  <si>
    <t>Baseline (USD/min)</t>
  </si>
  <si>
    <t>Low (USD/min)</t>
  </si>
  <si>
    <r>
      <rPr>
        <b/>
        <i/>
        <sz val="12"/>
        <color theme="1"/>
        <rFont val="Helvetica"/>
      </rPr>
      <t>Final</t>
    </r>
    <r>
      <rPr>
        <sz val="12"/>
        <color theme="1"/>
        <rFont val="Helvetica"/>
      </rPr>
      <t xml:space="preserve"> DTE price (US$/Min):</t>
    </r>
  </si>
  <si>
    <r>
      <rPr>
        <b/>
        <i/>
        <sz val="12"/>
        <color theme="1"/>
        <rFont val="Helvetica"/>
      </rPr>
      <t>Final</t>
    </r>
    <r>
      <rPr>
        <sz val="12"/>
        <color theme="1"/>
        <rFont val="Helvetica"/>
      </rPr>
      <t xml:space="preserve"> SR price (US$/Min):</t>
    </r>
  </si>
  <si>
    <t>- Exogenous prices are based on NASA's MOCS prices or a user-defined price based on a commerical providers RFP response.</t>
  </si>
  <si>
    <t xml:space="preserve">    - ASCEND only considers prices with respect to a given US$/minute value, based on a traditional space communications pricing approach. Alternative pricing methods require further research for integration into ASCEND. </t>
  </si>
  <si>
    <t xml:space="preserve">(1.1.1) Set pre-defined pricing scenario based on the estimated cost of production.  </t>
  </si>
  <si>
    <t xml:space="preserve">We apply a 50/50 service split for ADD/FDDN based on NASA's own SCaN forecast. </t>
  </si>
  <si>
    <t xml:space="preserve">(2.2.1) Specify a pre-defined price or price scenario based on the estimated cost of production.   </t>
  </si>
  <si>
    <t>Baseline values for 2.1.1 and 2.2.2 are in alignment with the information communicated to commercial satcom industry in advance of the Funded Space Act Agreements for SR demo.</t>
  </si>
  <si>
    <t>Notes</t>
  </si>
  <si>
    <t>We exclude DTE minutes for TDRS.</t>
  </si>
  <si>
    <t>SMAP</t>
  </si>
  <si>
    <t>SciSat-1</t>
  </si>
  <si>
    <t>[Bad data point - exclude]</t>
  </si>
  <si>
    <t>We exclude TDRS test-related events.</t>
  </si>
  <si>
    <t>We exclude the SWIFT bad data point (72,288,973 minutes).</t>
  </si>
  <si>
    <t>This calculates the mean cost based on the number of current minutes. See the "Current_Cost" tab to run the estimates formally (e.g., using the drop-down boxes which utilize the values in these cells).</t>
  </si>
  <si>
    <t>This calculates the mean cost based on the number of future minutes. See the "Future_Cost" tab to run the estimates formally (e.g., using the drop-down boxes which utilize the values in these cells).</t>
  </si>
  <si>
    <t xml:space="preserve">Step 3: Estimate the average total minutes a provider may be selling annually across the whole market.  </t>
  </si>
  <si>
    <t xml:space="preserve">Step 4: Additionally, any price scenario requires us to define an expected profit margin.  </t>
  </si>
  <si>
    <t>(1.2) Select use cases to include/exclude.</t>
  </si>
  <si>
    <t>Average Total Minutes</t>
  </si>
  <si>
    <t>(1.3) Set the minutes a provider sells to non-NASA customers.</t>
  </si>
  <si>
    <t>(1.4) Profit margin</t>
  </si>
  <si>
    <t>(2.5) Set the minutes a provider sells to non-NASA customers.</t>
  </si>
  <si>
    <t xml:space="preserve">Step 5: Estimate the average total minutes a provider may be selling annually across the whole market.  </t>
  </si>
  <si>
    <t xml:space="preserve">Step 6: Additionally, any price scenario requires us to define an expected profit margin.  </t>
  </si>
  <si>
    <t>(2.6) If using a price scenario, set the expected profit margin.</t>
  </si>
  <si>
    <t>SR LEO Scenario Minutes</t>
  </si>
  <si>
    <t>SR GEO Scenario Minutes</t>
  </si>
  <si>
    <t>SR Scenario Minutes - GEO</t>
  </si>
  <si>
    <t>(2.1.1) Set the quantity of near-future missions requiring Assured Data Delivery (ADD).</t>
  </si>
  <si>
    <t>(2.1.2) Set the quantity of near-future missions requiring File Data Delivery and Networking (FDDN).</t>
  </si>
  <si>
    <t>See the visualization below illustrating the key steps in estimating current and future costs</t>
  </si>
  <si>
    <t xml:space="preserve">    - Quantifying current operational and future NASA demand for wireless communication services via user-defined parameters.</t>
  </si>
  <si>
    <t xml:space="preserve">    - Assessing commercial costs using top-down exogenous pricing, based on either NASA Mission Operations and Communications Services (MOCS) pricing or a commercial provider's response to an RFP (e.g., a given price/minute).</t>
  </si>
  <si>
    <t>- NASA SCaN aggregate forecast of mission demand.</t>
  </si>
  <si>
    <t>- How much would it cost to purchase these services from commercial providers (US$)?</t>
  </si>
  <si>
    <t>- What is NASA SCaN's current operational and future network demand (minutes), based on user-defined parameters?</t>
  </si>
  <si>
    <t>- What is the impact on total cost of a supplier quoting a specific service price (US$/minute)?</t>
  </si>
  <si>
    <t>- How do the costs of production change based on awarding contracts to a different number of suppliers (US$)?</t>
  </si>
  <si>
    <r>
      <t xml:space="preserve">- </t>
    </r>
    <r>
      <rPr>
        <b/>
        <sz val="11"/>
        <rFont val="Helvetica"/>
      </rPr>
      <t>SR S1 (2 LEO)</t>
    </r>
    <r>
      <rPr>
        <sz val="11"/>
        <rFont val="Helvetica"/>
      </rPr>
      <t xml:space="preserve"> representing the price (US$/Min) based on two contracted providers (2 LEO). </t>
    </r>
  </si>
  <si>
    <r>
      <t xml:space="preserve">- </t>
    </r>
    <r>
      <rPr>
        <b/>
        <sz val="11"/>
        <rFont val="Helvetica"/>
      </rPr>
      <t>SR S4 (3 LEO 3 GEO)</t>
    </r>
    <r>
      <rPr>
        <sz val="11"/>
        <rFont val="Helvetica"/>
      </rPr>
      <t xml:space="preserve"> representing the price (US$/Min) based on six contracted providers (3 LEO 3 GEO). </t>
    </r>
  </si>
  <si>
    <t>- SR services can be provided by either Low Earth Orbit (LEO) or Geostationary Earth Orbit (GEO) constellations.</t>
  </si>
  <si>
    <t>Now we can view the estimated number of minutes by service method.</t>
  </si>
  <si>
    <t>Now we can view the estimated annual cost by service method.</t>
  </si>
  <si>
    <t>Finally, we can view these metrics by detailed use case.</t>
  </si>
  <si>
    <t>Now we can view the estimated annual cost by service method</t>
  </si>
  <si>
    <t>Finally, we can view the number of minutes and cost by detailed use case</t>
  </si>
  <si>
    <t>IRIS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</si>
</sst>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0.0"/>
    <numFmt numFmtId="166" formatCode="_(* #,##0_);_(* \(#,##0\);_(* &quot;-&quot;??_);_(@_)"/>
    <numFmt numFmtId="167" formatCode="0.0%"/>
    <numFmt numFmtId="168" formatCode="_(* #,##0.0_);_(* \(#,##0.0\);_(* &quot;-&quot;??_);_(@_)"/>
    <numFmt numFmtId="169" formatCode="0.000"/>
    <numFmt numFmtId="170" formatCode="0.0000000"/>
    <numFmt numFmtId="171" formatCode="_(&quot;$&quot;* #,##0_);_(&quot;$&quot;* \(#,##0\);_(&quot;$&quot;* &quot;-&quot;??_);_(@_)"/>
    <numFmt numFmtId="172" formatCode="&quot;$&quot;#,##0"/>
  </numFmts>
  <fonts count="5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Helvetica"/>
    </font>
    <font>
      <sz val="11"/>
      <color theme="1"/>
      <name val="Helvetica"/>
    </font>
    <font>
      <sz val="20"/>
      <color rgb="FFFFFFFF"/>
      <name val="Helvetica"/>
    </font>
    <font>
      <b/>
      <sz val="11"/>
      <name val="Helvetica"/>
    </font>
    <font>
      <sz val="20"/>
      <name val="Helvetica"/>
    </font>
    <font>
      <u/>
      <sz val="11"/>
      <color theme="10"/>
      <name val="Helvetica"/>
    </font>
    <font>
      <sz val="11"/>
      <color theme="0"/>
      <name val="Helvetica"/>
    </font>
    <font>
      <sz val="9"/>
      <color theme="0"/>
      <name val="Helvetica"/>
    </font>
    <font>
      <sz val="10"/>
      <color theme="0"/>
      <name val="Helvetica"/>
    </font>
    <font>
      <b/>
      <sz val="11"/>
      <color theme="1"/>
      <name val="Helvetica"/>
    </font>
    <font>
      <sz val="11"/>
      <color rgb="FFFF0000"/>
      <name val="Helvetica"/>
    </font>
    <font>
      <b/>
      <sz val="11"/>
      <color rgb="FF000000"/>
      <name val="Helvetica"/>
    </font>
    <font>
      <b/>
      <sz val="11"/>
      <color theme="0"/>
      <name val="Helvetica"/>
    </font>
    <font>
      <b/>
      <sz val="11"/>
      <color rgb="FFFF0000"/>
      <name val="Helvetica"/>
    </font>
    <font>
      <b/>
      <sz val="12"/>
      <name val="Helvetica"/>
    </font>
    <font>
      <sz val="8"/>
      <name val="Calibri"/>
      <family val="2"/>
      <scheme val="minor"/>
    </font>
    <font>
      <b/>
      <sz val="12"/>
      <color theme="1"/>
      <name val="Helvetica"/>
    </font>
    <font>
      <i/>
      <sz val="14"/>
      <name val="Helvetica"/>
    </font>
    <font>
      <sz val="12"/>
      <name val="Helvetica"/>
    </font>
    <font>
      <b/>
      <sz val="10"/>
      <color theme="1"/>
      <name val="Helvetica"/>
    </font>
    <font>
      <sz val="12"/>
      <color theme="1"/>
      <name val="Helvetica"/>
    </font>
    <font>
      <sz val="9"/>
      <name val="Helvetica"/>
    </font>
    <font>
      <sz val="10"/>
      <name val="Helvetica"/>
    </font>
    <font>
      <sz val="11"/>
      <color theme="1"/>
      <name val="Helvetical"/>
    </font>
    <font>
      <sz val="12"/>
      <color theme="0"/>
      <name val="Helvetica"/>
    </font>
    <font>
      <i/>
      <sz val="10"/>
      <color theme="1"/>
      <name val="Helvetica"/>
    </font>
    <font>
      <b/>
      <i/>
      <sz val="14"/>
      <name val="Helvetica"/>
    </font>
    <font>
      <i/>
      <sz val="16"/>
      <color rgb="FFDD361C"/>
      <name val="Helvetica"/>
    </font>
    <font>
      <b/>
      <i/>
      <sz val="11"/>
      <name val="Helvetica"/>
    </font>
    <font>
      <b/>
      <sz val="11"/>
      <color rgb="FFBCC0C3"/>
      <name val="Helvetica"/>
    </font>
    <font>
      <sz val="11"/>
      <color rgb="FFBDC1C6"/>
      <name val="Helvetica"/>
    </font>
    <font>
      <i/>
      <sz val="11"/>
      <name val="Helvetica"/>
    </font>
    <font>
      <b/>
      <i/>
      <sz val="12"/>
      <color theme="1"/>
      <name val="Helvetica"/>
    </font>
    <font>
      <i/>
      <sz val="12"/>
      <color rgb="FFFF0000"/>
      <name val="Helvetica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05BD8"/>
        <bgColor rgb="FF004C97"/>
      </patternFill>
    </fill>
    <fill>
      <patternFill patternType="solid">
        <fgColor rgb="FF105BD8"/>
        <bgColor indexed="64"/>
      </patternFill>
    </fill>
    <fill>
      <patternFill patternType="solid">
        <fgColor rgb="FF061F4A"/>
        <bgColor rgb="FFC00000"/>
      </patternFill>
    </fill>
    <fill>
      <patternFill patternType="solid">
        <fgColor rgb="FF061F4A"/>
        <bgColor indexed="64"/>
      </patternFill>
    </fill>
    <fill>
      <patternFill patternType="solid">
        <fgColor rgb="FF061F4A"/>
        <bgColor rgb="FF004C97"/>
      </patternFill>
    </fill>
    <fill>
      <patternFill patternType="solid">
        <fgColor theme="0" tint="-4.9989318521683403E-2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48">
    <xf numFmtId="0" fontId="0" fillId="0" borderId="0"/>
    <xf numFmtId="9" fontId="1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6" fillId="0" borderId="11" applyNumberFormat="0" applyFill="0" applyAlignment="0" applyProtection="0"/>
    <xf numFmtId="0" fontId="7" fillId="0" borderId="12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13" applyNumberFormat="0" applyAlignment="0" applyProtection="0"/>
    <xf numFmtId="0" fontId="12" fillId="8" borderId="14" applyNumberFormat="0" applyAlignment="0" applyProtection="0"/>
    <xf numFmtId="0" fontId="13" fillId="8" borderId="13" applyNumberFormat="0" applyAlignment="0" applyProtection="0"/>
    <xf numFmtId="0" fontId="14" fillId="0" borderId="15" applyNumberFormat="0" applyFill="0" applyAlignment="0" applyProtection="0"/>
    <xf numFmtId="0" fontId="15" fillId="9" borderId="16" applyNumberFormat="0" applyAlignment="0" applyProtection="0"/>
    <xf numFmtId="0" fontId="16" fillId="0" borderId="0" applyNumberFormat="0" applyFill="0" applyBorder="0" applyAlignment="0" applyProtection="0"/>
    <xf numFmtId="0" fontId="2" fillId="10" borderId="17" applyNumberFormat="0" applyFont="0" applyAlignment="0" applyProtection="0"/>
    <xf numFmtId="0" fontId="17" fillId="0" borderId="0" applyNumberFormat="0" applyFill="0" applyBorder="0" applyAlignment="0" applyProtection="0"/>
    <xf numFmtId="0" fontId="3" fillId="0" borderId="18" applyNumberFormat="0" applyFill="0" applyAlignment="0" applyProtection="0"/>
    <xf numFmtId="0" fontId="18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18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18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18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18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18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164" fontId="2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" fillId="0" borderId="0"/>
    <xf numFmtId="44" fontId="2" fillId="0" borderId="0" applyFont="0" applyFill="0" applyBorder="0" applyAlignment="0" applyProtection="0"/>
  </cellStyleXfs>
  <cellXfs count="498">
    <xf numFmtId="0" fontId="0" fillId="0" borderId="0" xfId="0"/>
    <xf numFmtId="0" fontId="20" fillId="0" borderId="0" xfId="0" applyFont="1"/>
    <xf numFmtId="0" fontId="21" fillId="0" borderId="0" xfId="0" applyFont="1"/>
    <xf numFmtId="0" fontId="23" fillId="0" borderId="0" xfId="0" applyFont="1"/>
    <xf numFmtId="0" fontId="20" fillId="0" borderId="0" xfId="0" quotePrefix="1" applyFont="1"/>
    <xf numFmtId="0" fontId="20" fillId="35" borderId="0" xfId="0" applyFont="1" applyFill="1"/>
    <xf numFmtId="0" fontId="21" fillId="36" borderId="0" xfId="0" applyFont="1" applyFill="1"/>
    <xf numFmtId="0" fontId="20" fillId="37" borderId="0" xfId="0" applyFont="1" applyFill="1"/>
    <xf numFmtId="0" fontId="21" fillId="38" borderId="0" xfId="0" applyFont="1" applyFill="1"/>
    <xf numFmtId="0" fontId="24" fillId="0" borderId="0" xfId="0" applyFont="1"/>
    <xf numFmtId="0" fontId="25" fillId="0" borderId="0" xfId="45" applyFont="1"/>
    <xf numFmtId="0" fontId="27" fillId="38" borderId="1" xfId="0" applyFont="1" applyFill="1" applyBorder="1" applyAlignment="1">
      <alignment horizontal="center" vertical="center"/>
    </xf>
    <xf numFmtId="9" fontId="21" fillId="0" borderId="1" xfId="1" applyFont="1" applyBorder="1"/>
    <xf numFmtId="166" fontId="21" fillId="0" borderId="0" xfId="2" applyNumberFormat="1" applyFont="1"/>
    <xf numFmtId="1" fontId="21" fillId="0" borderId="1" xfId="0" applyNumberFormat="1" applyFont="1" applyBorder="1"/>
    <xf numFmtId="0" fontId="21" fillId="0" borderId="1" xfId="0" applyFont="1" applyBorder="1"/>
    <xf numFmtId="166" fontId="21" fillId="0" borderId="0" xfId="0" applyNumberFormat="1" applyFont="1"/>
    <xf numFmtId="166" fontId="21" fillId="0" borderId="1" xfId="2" applyNumberFormat="1" applyFont="1" applyBorder="1" applyAlignment="1">
      <alignment horizontal="center"/>
    </xf>
    <xf numFmtId="0" fontId="0" fillId="0" borderId="0" xfId="0" applyFont="1"/>
    <xf numFmtId="1" fontId="21" fillId="3" borderId="1" xfId="0" applyNumberFormat="1" applyFont="1" applyFill="1" applyBorder="1" applyAlignment="1">
      <alignment horizontal="center" vertical="center" wrapText="1"/>
    </xf>
    <xf numFmtId="14" fontId="29" fillId="3" borderId="1" xfId="0" applyNumberFormat="1" applyFont="1" applyFill="1" applyBorder="1" applyAlignment="1">
      <alignment horizontal="right" vertical="center" wrapText="1"/>
    </xf>
    <xf numFmtId="0" fontId="21" fillId="0" borderId="1" xfId="0" applyFont="1" applyBorder="1" applyAlignment="1">
      <alignment horizontal="center" vertical="center"/>
    </xf>
    <xf numFmtId="0" fontId="21" fillId="0" borderId="0" xfId="0" applyFont="1" applyBorder="1"/>
    <xf numFmtId="0" fontId="21" fillId="0" borderId="0" xfId="0" applyFont="1" applyFill="1"/>
    <xf numFmtId="0" fontId="21" fillId="0" borderId="0" xfId="0" applyFont="1" applyFill="1" applyBorder="1"/>
    <xf numFmtId="0" fontId="21" fillId="0" borderId="1" xfId="0" applyFont="1" applyBorder="1" applyAlignment="1">
      <alignment horizontal="center"/>
    </xf>
    <xf numFmtId="0" fontId="21" fillId="0" borderId="1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29" fillId="0" borderId="0" xfId="0" applyFont="1"/>
    <xf numFmtId="166" fontId="21" fillId="0" borderId="0" xfId="2" applyNumberFormat="1" applyFont="1" applyAlignment="1">
      <alignment horizontal="center" vertical="center"/>
    </xf>
    <xf numFmtId="0" fontId="26" fillId="38" borderId="0" xfId="0" applyFont="1" applyFill="1" applyBorder="1"/>
    <xf numFmtId="0" fontId="20" fillId="0" borderId="0" xfId="0" applyFont="1" applyFill="1" applyBorder="1"/>
    <xf numFmtId="0" fontId="21" fillId="3" borderId="0" xfId="0" applyFont="1" applyFill="1" applyBorder="1"/>
    <xf numFmtId="9" fontId="21" fillId="0" borderId="0" xfId="1" applyFont="1" applyBorder="1"/>
    <xf numFmtId="0" fontId="29" fillId="3" borderId="0" xfId="0" applyFont="1" applyFill="1" applyBorder="1"/>
    <xf numFmtId="0" fontId="26" fillId="38" borderId="1" xfId="0" applyFont="1" applyFill="1" applyBorder="1"/>
    <xf numFmtId="0" fontId="28" fillId="38" borderId="1" xfId="0" applyFont="1" applyFill="1" applyBorder="1"/>
    <xf numFmtId="0" fontId="0" fillId="0" borderId="0" xfId="0"/>
    <xf numFmtId="14" fontId="23" fillId="40" borderId="6" xfId="0" applyNumberFormat="1" applyFont="1" applyFill="1" applyBorder="1" applyAlignment="1">
      <alignment horizontal="center" vertical="center"/>
    </xf>
    <xf numFmtId="14" fontId="23" fillId="40" borderId="4" xfId="0" applyNumberFormat="1" applyFont="1" applyFill="1" applyBorder="1" applyAlignment="1">
      <alignment horizontal="center" vertical="center"/>
    </xf>
    <xf numFmtId="166" fontId="21" fillId="0" borderId="9" xfId="2" applyNumberFormat="1" applyFont="1" applyBorder="1" applyAlignment="1">
      <alignment horizontal="center" vertical="center"/>
    </xf>
    <xf numFmtId="166" fontId="21" fillId="0" borderId="1" xfId="2" applyNumberFormat="1" applyFont="1" applyBorder="1" applyAlignment="1">
      <alignment horizontal="center" vertical="center"/>
    </xf>
    <xf numFmtId="1" fontId="21" fillId="3" borderId="0" xfId="0" applyNumberFormat="1" applyFont="1" applyFill="1" applyBorder="1" applyAlignment="1">
      <alignment horizontal="center" vertical="center"/>
    </xf>
    <xf numFmtId="9" fontId="21" fillId="0" borderId="0" xfId="1" applyFont="1" applyBorder="1" applyAlignment="1">
      <alignment horizontal="center" vertical="center"/>
    </xf>
    <xf numFmtId="166" fontId="21" fillId="0" borderId="0" xfId="2" applyNumberFormat="1" applyFont="1" applyBorder="1" applyAlignment="1">
      <alignment horizontal="center" vertical="center"/>
    </xf>
    <xf numFmtId="14" fontId="23" fillId="0" borderId="0" xfId="0" applyNumberFormat="1" applyFont="1" applyFill="1" applyBorder="1" applyAlignment="1">
      <alignment horizontal="center" vertical="center"/>
    </xf>
    <xf numFmtId="166" fontId="21" fillId="3" borderId="0" xfId="0" applyNumberFormat="1" applyFont="1" applyFill="1" applyBorder="1"/>
    <xf numFmtId="0" fontId="23" fillId="40" borderId="5" xfId="0" applyFont="1" applyFill="1" applyBorder="1" applyAlignment="1">
      <alignment horizontal="center" vertical="center"/>
    </xf>
    <xf numFmtId="0" fontId="21" fillId="3" borderId="30" xfId="0" applyFont="1" applyFill="1" applyBorder="1"/>
    <xf numFmtId="0" fontId="34" fillId="3" borderId="0" xfId="0" applyFont="1" applyFill="1" applyBorder="1"/>
    <xf numFmtId="0" fontId="30" fillId="0" borderId="0" xfId="0" applyFont="1"/>
    <xf numFmtId="166" fontId="21" fillId="3" borderId="1" xfId="0" applyNumberFormat="1" applyFont="1" applyFill="1" applyBorder="1" applyAlignment="1">
      <alignment horizontal="center" vertical="center"/>
    </xf>
    <xf numFmtId="166" fontId="21" fillId="3" borderId="5" xfId="0" applyNumberFormat="1" applyFont="1" applyFill="1" applyBorder="1" applyAlignment="1">
      <alignment horizontal="center" vertical="center"/>
    </xf>
    <xf numFmtId="0" fontId="29" fillId="40" borderId="9" xfId="0" applyFont="1" applyFill="1" applyBorder="1" applyAlignment="1">
      <alignment horizontal="center" vertical="center" wrapText="1"/>
    </xf>
    <xf numFmtId="0" fontId="21" fillId="0" borderId="5" xfId="0" applyFont="1" applyBorder="1" applyAlignment="1">
      <alignment horizontal="center"/>
    </xf>
    <xf numFmtId="166" fontId="0" fillId="0" borderId="0" xfId="2" applyNumberFormat="1" applyFont="1"/>
    <xf numFmtId="166" fontId="21" fillId="0" borderId="1" xfId="1" applyNumberFormat="1" applyFont="1" applyBorder="1"/>
    <xf numFmtId="0" fontId="20" fillId="3" borderId="0" xfId="0" applyFont="1" applyFill="1" applyBorder="1"/>
    <xf numFmtId="9" fontId="20" fillId="0" borderId="1" xfId="1" applyFont="1" applyBorder="1" applyAlignment="1">
      <alignment horizontal="center" vertical="center"/>
    </xf>
    <xf numFmtId="166" fontId="20" fillId="3" borderId="1" xfId="2" applyNumberFormat="1" applyFont="1" applyFill="1" applyBorder="1" applyAlignment="1">
      <alignment horizontal="center" vertical="center"/>
    </xf>
    <xf numFmtId="0" fontId="23" fillId="3" borderId="0" xfId="0" applyFont="1" applyFill="1" applyBorder="1"/>
    <xf numFmtId="0" fontId="20" fillId="3" borderId="30" xfId="0" applyFont="1" applyFill="1" applyBorder="1"/>
    <xf numFmtId="0" fontId="21" fillId="0" borderId="1" xfId="0" applyFont="1" applyBorder="1" applyAlignment="1">
      <alignment horizontal="center" vertical="center" wrapText="1"/>
    </xf>
    <xf numFmtId="0" fontId="29" fillId="40" borderId="8" xfId="0" applyFont="1" applyFill="1" applyBorder="1" applyAlignment="1">
      <alignment horizontal="center"/>
    </xf>
    <xf numFmtId="0" fontId="29" fillId="40" borderId="3" xfId="0" applyFont="1" applyFill="1" applyBorder="1" applyAlignment="1">
      <alignment horizontal="center"/>
    </xf>
    <xf numFmtId="0" fontId="29" fillId="40" borderId="4" xfId="0" applyFont="1" applyFill="1" applyBorder="1" applyAlignment="1">
      <alignment horizontal="center"/>
    </xf>
    <xf numFmtId="0" fontId="29" fillId="40" borderId="2" xfId="0" applyFont="1" applyFill="1" applyBorder="1" applyAlignment="1">
      <alignment horizontal="center"/>
    </xf>
    <xf numFmtId="166" fontId="21" fillId="0" borderId="1" xfId="2" applyNumberFormat="1" applyFont="1" applyBorder="1"/>
    <xf numFmtId="166" fontId="21" fillId="0" borderId="1" xfId="0" applyNumberFormat="1" applyFont="1" applyBorder="1"/>
    <xf numFmtId="165" fontId="21" fillId="0" borderId="1" xfId="0" applyNumberFormat="1" applyFont="1" applyBorder="1"/>
    <xf numFmtId="0" fontId="29" fillId="40" borderId="6" xfId="0" applyFont="1" applyFill="1" applyBorder="1" applyAlignment="1">
      <alignment horizontal="center"/>
    </xf>
    <xf numFmtId="1" fontId="21" fillId="0" borderId="9" xfId="1" applyNumberFormat="1" applyFont="1" applyBorder="1" applyAlignment="1">
      <alignment horizontal="center"/>
    </xf>
    <xf numFmtId="0" fontId="21" fillId="0" borderId="9" xfId="0" applyFont="1" applyBorder="1" applyAlignment="1">
      <alignment horizontal="center"/>
    </xf>
    <xf numFmtId="0" fontId="21" fillId="0" borderId="7" xfId="0" quotePrefix="1" applyFont="1" applyBorder="1" applyAlignment="1">
      <alignment horizontal="center"/>
    </xf>
    <xf numFmtId="1" fontId="21" fillId="0" borderId="0" xfId="0" applyNumberFormat="1" applyFont="1"/>
    <xf numFmtId="0" fontId="21" fillId="0" borderId="4" xfId="0" applyFont="1" applyBorder="1" applyAlignment="1">
      <alignment horizontal="center" vertical="center"/>
    </xf>
    <xf numFmtId="169" fontId="21" fillId="0" borderId="1" xfId="0" applyNumberFormat="1" applyFont="1" applyBorder="1" applyAlignment="1">
      <alignment horizontal="center" vertical="center"/>
    </xf>
    <xf numFmtId="0" fontId="29" fillId="0" borderId="1" xfId="0" applyFont="1" applyBorder="1"/>
    <xf numFmtId="169" fontId="21" fillId="0" borderId="1" xfId="0" applyNumberFormat="1" applyFont="1" applyBorder="1"/>
    <xf numFmtId="43" fontId="21" fillId="0" borderId="1" xfId="0" applyNumberFormat="1" applyFont="1" applyBorder="1"/>
    <xf numFmtId="0" fontId="21" fillId="0" borderId="6" xfId="0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/>
    </xf>
    <xf numFmtId="169" fontId="21" fillId="0" borderId="9" xfId="0" applyNumberFormat="1" applyFont="1" applyBorder="1" applyAlignment="1">
      <alignment horizontal="center" vertical="center"/>
    </xf>
    <xf numFmtId="2" fontId="21" fillId="0" borderId="1" xfId="0" applyNumberFormat="1" applyFont="1" applyBorder="1" applyAlignment="1">
      <alignment horizontal="center" vertical="center"/>
    </xf>
    <xf numFmtId="165" fontId="21" fillId="0" borderId="1" xfId="0" applyNumberFormat="1" applyFont="1" applyBorder="1" applyAlignment="1">
      <alignment horizontal="center" vertical="center"/>
    </xf>
    <xf numFmtId="170" fontId="21" fillId="0" borderId="0" xfId="0" applyNumberFormat="1" applyFont="1"/>
    <xf numFmtId="165" fontId="21" fillId="0" borderId="9" xfId="0" applyNumberFormat="1" applyFont="1" applyBorder="1" applyAlignment="1">
      <alignment horizontal="center" vertical="center"/>
    </xf>
    <xf numFmtId="0" fontId="29" fillId="40" borderId="2" xfId="0" applyFont="1" applyFill="1" applyBorder="1"/>
    <xf numFmtId="0" fontId="29" fillId="40" borderId="8" xfId="0" applyFont="1" applyFill="1" applyBorder="1"/>
    <xf numFmtId="0" fontId="29" fillId="40" borderId="3" xfId="0" applyFont="1" applyFill="1" applyBorder="1"/>
    <xf numFmtId="1" fontId="21" fillId="0" borderId="1" xfId="2" applyNumberFormat="1" applyFont="1" applyBorder="1"/>
    <xf numFmtId="1" fontId="21" fillId="0" borderId="5" xfId="0" applyNumberFormat="1" applyFont="1" applyBorder="1"/>
    <xf numFmtId="166" fontId="21" fillId="0" borderId="4" xfId="2" applyNumberFormat="1" applyFont="1" applyBorder="1"/>
    <xf numFmtId="168" fontId="21" fillId="0" borderId="0" xfId="0" applyNumberFormat="1" applyFont="1"/>
    <xf numFmtId="166" fontId="21" fillId="0" borderId="9" xfId="2" applyNumberFormat="1" applyFont="1" applyBorder="1"/>
    <xf numFmtId="0" fontId="21" fillId="0" borderId="9" xfId="0" applyFont="1" applyBorder="1"/>
    <xf numFmtId="166" fontId="21" fillId="0" borderId="9" xfId="2" applyNumberFormat="1" applyFont="1" applyBorder="1" applyAlignment="1">
      <alignment horizontal="center"/>
    </xf>
    <xf numFmtId="166" fontId="21" fillId="0" borderId="9" xfId="0" applyNumberFormat="1" applyFont="1" applyBorder="1"/>
    <xf numFmtId="1" fontId="21" fillId="0" borderId="7" xfId="0" applyNumberFormat="1" applyFont="1" applyBorder="1"/>
    <xf numFmtId="166" fontId="21" fillId="0" borderId="0" xfId="2" applyNumberFormat="1" applyFont="1" applyBorder="1"/>
    <xf numFmtId="168" fontId="21" fillId="0" borderId="1" xfId="0" applyNumberFormat="1" applyFont="1" applyBorder="1"/>
    <xf numFmtId="1" fontId="21" fillId="0" borderId="0" xfId="0" applyNumberFormat="1" applyFont="1" applyBorder="1"/>
    <xf numFmtId="166" fontId="21" fillId="0" borderId="6" xfId="2" applyNumberFormat="1" applyFont="1" applyBorder="1"/>
    <xf numFmtId="43" fontId="21" fillId="0" borderId="1" xfId="2" applyFont="1" applyBorder="1" applyAlignment="1">
      <alignment horizontal="center" vertical="center" wrapText="1"/>
    </xf>
    <xf numFmtId="168" fontId="21" fillId="0" borderId="1" xfId="2" applyNumberFormat="1" applyFont="1" applyBorder="1" applyAlignment="1">
      <alignment horizontal="center" vertical="center" wrapText="1"/>
    </xf>
    <xf numFmtId="166" fontId="21" fillId="0" borderId="1" xfId="2" applyNumberFormat="1" applyFont="1" applyBorder="1" applyAlignment="1">
      <alignment horizontal="center" vertical="center" wrapText="1"/>
    </xf>
    <xf numFmtId="0" fontId="33" fillId="0" borderId="0" xfId="0" applyFont="1"/>
    <xf numFmtId="0" fontId="37" fillId="0" borderId="0" xfId="0" applyFont="1"/>
    <xf numFmtId="0" fontId="21" fillId="0" borderId="0" xfId="0" quotePrefix="1" applyFont="1"/>
    <xf numFmtId="171" fontId="21" fillId="3" borderId="5" xfId="47" applyNumberFormat="1" applyFont="1" applyFill="1" applyBorder="1" applyAlignment="1">
      <alignment horizontal="center" vertical="center"/>
    </xf>
    <xf numFmtId="14" fontId="20" fillId="3" borderId="4" xfId="0" applyNumberFormat="1" applyFont="1" applyFill="1" applyBorder="1" applyAlignment="1">
      <alignment horizontal="center" vertical="center" wrapText="1"/>
    </xf>
    <xf numFmtId="1" fontId="20" fillId="3" borderId="1" xfId="0" applyNumberFormat="1" applyFont="1" applyFill="1" applyBorder="1" applyAlignment="1">
      <alignment horizontal="center" vertical="center" wrapText="1"/>
    </xf>
    <xf numFmtId="166" fontId="20" fillId="0" borderId="5" xfId="2" applyNumberFormat="1" applyFont="1" applyBorder="1" applyAlignment="1">
      <alignment horizontal="center" vertical="center"/>
    </xf>
    <xf numFmtId="1" fontId="20" fillId="3" borderId="9" xfId="0" applyNumberFormat="1" applyFont="1" applyFill="1" applyBorder="1" applyAlignment="1">
      <alignment horizontal="center" vertical="center" wrapText="1"/>
    </xf>
    <xf numFmtId="9" fontId="20" fillId="0" borderId="9" xfId="1" applyFont="1" applyBorder="1" applyAlignment="1">
      <alignment horizontal="center" vertical="center"/>
    </xf>
    <xf numFmtId="166" fontId="20" fillId="0" borderId="7" xfId="2" applyNumberFormat="1" applyFont="1" applyBorder="1" applyAlignment="1">
      <alignment horizontal="center" vertical="center"/>
    </xf>
    <xf numFmtId="166" fontId="21" fillId="0" borderId="5" xfId="2" applyNumberFormat="1" applyFont="1" applyBorder="1" applyAlignment="1">
      <alignment horizontal="center"/>
    </xf>
    <xf numFmtId="166" fontId="29" fillId="40" borderId="8" xfId="2" applyNumberFormat="1" applyFont="1" applyFill="1" applyBorder="1"/>
    <xf numFmtId="0" fontId="21" fillId="0" borderId="4" xfId="0" applyFont="1" applyBorder="1"/>
    <xf numFmtId="0" fontId="21" fillId="0" borderId="5" xfId="0" applyFont="1" applyBorder="1"/>
    <xf numFmtId="166" fontId="21" fillId="0" borderId="4" xfId="0" applyNumberFormat="1" applyFont="1" applyBorder="1"/>
    <xf numFmtId="166" fontId="21" fillId="0" borderId="6" xfId="0" applyNumberFormat="1" applyFont="1" applyBorder="1"/>
    <xf numFmtId="165" fontId="21" fillId="0" borderId="9" xfId="0" applyNumberFormat="1" applyFont="1" applyBorder="1"/>
    <xf numFmtId="1" fontId="21" fillId="0" borderId="9" xfId="0" applyNumberFormat="1" applyFont="1" applyBorder="1"/>
    <xf numFmtId="169" fontId="21" fillId="0" borderId="9" xfId="0" applyNumberFormat="1" applyFont="1" applyBorder="1"/>
    <xf numFmtId="43" fontId="21" fillId="0" borderId="5" xfId="0" applyNumberFormat="1" applyFont="1" applyBorder="1"/>
    <xf numFmtId="43" fontId="21" fillId="0" borderId="7" xfId="0" applyNumberFormat="1" applyFont="1" applyBorder="1"/>
    <xf numFmtId="166" fontId="21" fillId="0" borderId="5" xfId="2" applyNumberFormat="1" applyFont="1" applyBorder="1"/>
    <xf numFmtId="166" fontId="21" fillId="0" borderId="7" xfId="2" applyNumberFormat="1" applyFont="1" applyBorder="1"/>
    <xf numFmtId="0" fontId="21" fillId="2" borderId="5" xfId="0" quotePrefix="1" applyFont="1" applyFill="1" applyBorder="1"/>
    <xf numFmtId="0" fontId="21" fillId="2" borderId="7" xfId="0" quotePrefix="1" applyFont="1" applyFill="1" applyBorder="1"/>
    <xf numFmtId="0" fontId="20" fillId="2" borderId="5" xfId="0" applyFont="1" applyFill="1" applyBorder="1" applyAlignment="1">
      <alignment horizontal="center" vertical="center"/>
    </xf>
    <xf numFmtId="0" fontId="20" fillId="2" borderId="7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3" fillId="40" borderId="6" xfId="0" applyFont="1" applyFill="1" applyBorder="1" applyAlignment="1">
      <alignment horizontal="center" vertical="center" wrapText="1"/>
    </xf>
    <xf numFmtId="0" fontId="32" fillId="3" borderId="0" xfId="0" applyFont="1" applyFill="1"/>
    <xf numFmtId="0" fontId="26" fillId="3" borderId="0" xfId="0" applyFont="1" applyFill="1"/>
    <xf numFmtId="0" fontId="29" fillId="40" borderId="2" xfId="0" applyFont="1" applyFill="1" applyBorder="1" applyAlignment="1">
      <alignment horizontal="center" vertical="center"/>
    </xf>
    <xf numFmtId="0" fontId="23" fillId="40" borderId="3" xfId="0" applyFont="1" applyFill="1" applyBorder="1" applyAlignment="1">
      <alignment horizontal="center" vertical="center"/>
    </xf>
    <xf numFmtId="0" fontId="23" fillId="40" borderId="4" xfId="0" applyFont="1" applyFill="1" applyBorder="1" applyAlignment="1">
      <alignment horizontal="center" vertical="center" wrapText="1"/>
    </xf>
    <xf numFmtId="0" fontId="23" fillId="40" borderId="19" xfId="0" applyFont="1" applyFill="1" applyBorder="1" applyAlignment="1">
      <alignment horizontal="center" vertical="center"/>
    </xf>
    <xf numFmtId="0" fontId="20" fillId="38" borderId="1" xfId="0" applyFont="1" applyFill="1" applyBorder="1"/>
    <xf numFmtId="0" fontId="41" fillId="38" borderId="1" xfId="0" applyFont="1" applyFill="1" applyBorder="1" applyAlignment="1">
      <alignment horizontal="center" vertical="center"/>
    </xf>
    <xf numFmtId="0" fontId="42" fillId="38" borderId="1" xfId="0" applyFont="1" applyFill="1" applyBorder="1"/>
    <xf numFmtId="0" fontId="20" fillId="38" borderId="0" xfId="0" applyFont="1" applyFill="1" applyBorder="1"/>
    <xf numFmtId="0" fontId="20" fillId="38" borderId="0" xfId="0" applyFont="1" applyFill="1" applyBorder="1" applyAlignment="1">
      <alignment horizontal="center" vertical="center"/>
    </xf>
    <xf numFmtId="0" fontId="41" fillId="0" borderId="0" xfId="0" applyFont="1" applyFill="1" applyBorder="1" applyAlignment="1">
      <alignment horizontal="center" vertical="center"/>
    </xf>
    <xf numFmtId="43" fontId="20" fillId="0" borderId="0" xfId="0" applyNumberFormat="1" applyFont="1" applyFill="1" applyBorder="1"/>
    <xf numFmtId="0" fontId="42" fillId="0" borderId="0" xfId="0" applyFont="1" applyFill="1" applyBorder="1"/>
    <xf numFmtId="0" fontId="20" fillId="3" borderId="0" xfId="0" applyFont="1" applyFill="1" applyBorder="1" applyAlignment="1">
      <alignment horizontal="center" vertical="center"/>
    </xf>
    <xf numFmtId="0" fontId="20" fillId="40" borderId="1" xfId="0" applyFont="1" applyFill="1" applyBorder="1" applyAlignment="1">
      <alignment horizontal="center" vertical="center"/>
    </xf>
    <xf numFmtId="166" fontId="20" fillId="3" borderId="1" xfId="0" applyNumberFormat="1" applyFont="1" applyFill="1" applyBorder="1" applyAlignment="1">
      <alignment horizontal="center" vertical="center"/>
    </xf>
    <xf numFmtId="167" fontId="20" fillId="0" borderId="1" xfId="1" applyNumberFormat="1" applyFont="1" applyBorder="1" applyAlignment="1">
      <alignment horizontal="center" vertical="center"/>
    </xf>
    <xf numFmtId="0" fontId="23" fillId="3" borderId="0" xfId="0" applyFont="1" applyFill="1" applyBorder="1" applyAlignment="1">
      <alignment horizontal="center" vertical="center"/>
    </xf>
    <xf numFmtId="166" fontId="20" fillId="3" borderId="0" xfId="2" applyNumberFormat="1" applyFont="1" applyFill="1" applyBorder="1" applyAlignment="1">
      <alignment horizontal="center" vertical="center"/>
    </xf>
    <xf numFmtId="166" fontId="20" fillId="3" borderId="0" xfId="0" applyNumberFormat="1" applyFont="1" applyFill="1" applyBorder="1"/>
    <xf numFmtId="0" fontId="20" fillId="0" borderId="0" xfId="0" applyFont="1" applyAlignment="1">
      <alignment horizontal="center" vertical="center"/>
    </xf>
    <xf numFmtId="9" fontId="20" fillId="0" borderId="0" xfId="1" applyFont="1" applyBorder="1" applyAlignment="1">
      <alignment horizontal="center" vertical="center"/>
    </xf>
    <xf numFmtId="1" fontId="20" fillId="3" borderId="0" xfId="0" applyNumberFormat="1" applyFont="1" applyFill="1" applyBorder="1" applyAlignment="1">
      <alignment horizontal="center" vertical="center"/>
    </xf>
    <xf numFmtId="166" fontId="20" fillId="0" borderId="0" xfId="2" applyNumberFormat="1" applyFont="1" applyBorder="1" applyAlignment="1">
      <alignment horizontal="center" vertical="center"/>
    </xf>
    <xf numFmtId="0" fontId="20" fillId="3" borderId="30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1" fontId="20" fillId="2" borderId="5" xfId="0" applyNumberFormat="1" applyFont="1" applyFill="1" applyBorder="1" applyAlignment="1">
      <alignment horizontal="center" vertical="center"/>
    </xf>
    <xf numFmtId="1" fontId="20" fillId="2" borderId="7" xfId="0" applyNumberFormat="1" applyFont="1" applyFill="1" applyBorder="1" applyAlignment="1">
      <alignment horizontal="center" vertical="center"/>
    </xf>
    <xf numFmtId="0" fontId="29" fillId="40" borderId="2" xfId="0" applyFont="1" applyFill="1" applyBorder="1" applyAlignment="1">
      <alignment horizontal="center" vertical="center"/>
    </xf>
    <xf numFmtId="0" fontId="29" fillId="40" borderId="8" xfId="0" applyFont="1" applyFill="1" applyBorder="1" applyAlignment="1">
      <alignment horizontal="center" vertical="center"/>
    </xf>
    <xf numFmtId="0" fontId="29" fillId="40" borderId="3" xfId="0" applyFont="1" applyFill="1" applyBorder="1" applyAlignment="1">
      <alignment horizontal="center" vertical="center"/>
    </xf>
    <xf numFmtId="0" fontId="29" fillId="40" borderId="8" xfId="0" applyFont="1" applyFill="1" applyBorder="1" applyAlignment="1">
      <alignment horizontal="center"/>
    </xf>
    <xf numFmtId="0" fontId="29" fillId="40" borderId="4" xfId="0" applyFont="1" applyFill="1" applyBorder="1" applyAlignment="1">
      <alignment horizontal="center"/>
    </xf>
    <xf numFmtId="0" fontId="29" fillId="40" borderId="1" xfId="0" applyFont="1" applyFill="1" applyBorder="1" applyAlignment="1">
      <alignment horizontal="center" vertical="center"/>
    </xf>
    <xf numFmtId="0" fontId="23" fillId="40" borderId="6" xfId="0" applyFont="1" applyFill="1" applyBorder="1" applyAlignment="1">
      <alignment horizontal="center" vertical="center"/>
    </xf>
    <xf numFmtId="0" fontId="23" fillId="40" borderId="4" xfId="0" applyFont="1" applyFill="1" applyBorder="1" applyAlignment="1">
      <alignment horizontal="center" vertical="center"/>
    </xf>
    <xf numFmtId="166" fontId="29" fillId="40" borderId="2" xfId="2" applyNumberFormat="1" applyFont="1" applyFill="1" applyBorder="1" applyAlignment="1">
      <alignment horizontal="center" vertical="center" wrapText="1"/>
    </xf>
    <xf numFmtId="166" fontId="29" fillId="40" borderId="8" xfId="2" applyNumberFormat="1" applyFont="1" applyFill="1" applyBorder="1" applyAlignment="1">
      <alignment horizontal="center" vertical="center" wrapText="1"/>
    </xf>
    <xf numFmtId="166" fontId="29" fillId="40" borderId="3" xfId="2" applyNumberFormat="1" applyFont="1" applyFill="1" applyBorder="1" applyAlignment="1">
      <alignment horizontal="center" vertical="center" wrapText="1"/>
    </xf>
    <xf numFmtId="166" fontId="21" fillId="0" borderId="1" xfId="0" applyNumberFormat="1" applyFont="1" applyBorder="1" applyAlignment="1">
      <alignment horizontal="center" vertical="center"/>
    </xf>
    <xf numFmtId="166" fontId="21" fillId="0" borderId="5" xfId="0" applyNumberFormat="1" applyFont="1" applyBorder="1" applyAlignment="1">
      <alignment horizontal="center" vertical="center"/>
    </xf>
    <xf numFmtId="166" fontId="21" fillId="0" borderId="9" xfId="0" applyNumberFormat="1" applyFont="1" applyBorder="1" applyAlignment="1">
      <alignment horizontal="center" vertical="center"/>
    </xf>
    <xf numFmtId="166" fontId="21" fillId="0" borderId="7" xfId="0" applyNumberFormat="1" applyFont="1" applyBorder="1" applyAlignment="1">
      <alignment horizontal="center" vertical="center"/>
    </xf>
    <xf numFmtId="166" fontId="29" fillId="40" borderId="8" xfId="2" applyNumberFormat="1" applyFont="1" applyFill="1" applyBorder="1" applyAlignment="1">
      <alignment horizontal="center" vertical="center"/>
    </xf>
    <xf numFmtId="166" fontId="21" fillId="0" borderId="4" xfId="2" applyNumberFormat="1" applyFont="1" applyBorder="1" applyAlignment="1">
      <alignment horizontal="center" vertical="center"/>
    </xf>
    <xf numFmtId="43" fontId="21" fillId="0" borderId="1" xfId="2" applyNumberFormat="1" applyFont="1" applyBorder="1" applyAlignment="1">
      <alignment horizontal="center" vertical="center"/>
    </xf>
    <xf numFmtId="165" fontId="21" fillId="0" borderId="5" xfId="0" applyNumberFormat="1" applyFont="1" applyBorder="1" applyAlignment="1">
      <alignment horizontal="center" vertical="center"/>
    </xf>
    <xf numFmtId="1" fontId="21" fillId="0" borderId="1" xfId="0" applyNumberFormat="1" applyFont="1" applyBorder="1" applyAlignment="1">
      <alignment horizontal="center" vertical="center"/>
    </xf>
    <xf numFmtId="1" fontId="21" fillId="0" borderId="9" xfId="0" applyNumberFormat="1" applyFont="1" applyBorder="1" applyAlignment="1">
      <alignment horizontal="center" vertical="center"/>
    </xf>
    <xf numFmtId="2" fontId="21" fillId="0" borderId="9" xfId="0" applyNumberFormat="1" applyFont="1" applyBorder="1" applyAlignment="1">
      <alignment horizontal="center" vertical="center"/>
    </xf>
    <xf numFmtId="43" fontId="21" fillId="0" borderId="9" xfId="2" applyNumberFormat="1" applyFont="1" applyBorder="1" applyAlignment="1">
      <alignment horizontal="center" vertical="center"/>
    </xf>
    <xf numFmtId="165" fontId="21" fillId="0" borderId="7" xfId="0" applyNumberFormat="1" applyFont="1" applyBorder="1" applyAlignment="1">
      <alignment horizontal="center" vertical="center"/>
    </xf>
    <xf numFmtId="166" fontId="21" fillId="0" borderId="6" xfId="2" applyNumberFormat="1" applyFont="1" applyBorder="1" applyAlignment="1">
      <alignment horizontal="center" vertical="center"/>
    </xf>
    <xf numFmtId="0" fontId="0" fillId="0" borderId="0" xfId="0" applyBorder="1"/>
    <xf numFmtId="166" fontId="21" fillId="0" borderId="5" xfId="0" applyNumberFormat="1" applyFont="1" applyBorder="1"/>
    <xf numFmtId="0" fontId="36" fillId="0" borderId="0" xfId="0" applyFont="1" applyBorder="1" applyAlignment="1"/>
    <xf numFmtId="0" fontId="29" fillId="0" borderId="0" xfId="0" applyFont="1" applyBorder="1" applyAlignment="1">
      <alignment wrapText="1"/>
    </xf>
    <xf numFmtId="169" fontId="21" fillId="0" borderId="5" xfId="0" applyNumberFormat="1" applyFont="1" applyBorder="1" applyAlignment="1">
      <alignment horizontal="center" vertical="center"/>
    </xf>
    <xf numFmtId="169" fontId="21" fillId="0" borderId="7" xfId="0" applyNumberFormat="1" applyFont="1" applyBorder="1" applyAlignment="1">
      <alignment horizontal="center" vertical="center"/>
    </xf>
    <xf numFmtId="1" fontId="21" fillId="0" borderId="1" xfId="2" applyNumberFormat="1" applyFont="1" applyBorder="1" applyAlignment="1">
      <alignment horizontal="center" vertical="center"/>
    </xf>
    <xf numFmtId="166" fontId="21" fillId="0" borderId="5" xfId="2" applyNumberFormat="1" applyFont="1" applyBorder="1" applyAlignment="1">
      <alignment horizontal="center" vertical="center"/>
    </xf>
    <xf numFmtId="1" fontId="21" fillId="0" borderId="5" xfId="0" applyNumberFormat="1" applyFont="1" applyBorder="1" applyAlignment="1">
      <alignment horizontal="center" vertical="center"/>
    </xf>
    <xf numFmtId="1" fontId="21" fillId="0" borderId="9" xfId="2" applyNumberFormat="1" applyFont="1" applyBorder="1" applyAlignment="1">
      <alignment horizontal="center" vertical="center"/>
    </xf>
    <xf numFmtId="1" fontId="21" fillId="0" borderId="7" xfId="0" applyNumberFormat="1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43" fontId="21" fillId="0" borderId="4" xfId="0" applyNumberFormat="1" applyFont="1" applyBorder="1" applyAlignment="1">
      <alignment horizontal="center" vertical="center"/>
    </xf>
    <xf numFmtId="43" fontId="21" fillId="0" borderId="1" xfId="0" applyNumberFormat="1" applyFont="1" applyBorder="1" applyAlignment="1">
      <alignment horizontal="center" vertical="center"/>
    </xf>
    <xf numFmtId="43" fontId="21" fillId="0" borderId="5" xfId="0" applyNumberFormat="1" applyFont="1" applyBorder="1" applyAlignment="1">
      <alignment horizontal="center" vertical="center"/>
    </xf>
    <xf numFmtId="43" fontId="21" fillId="0" borderId="6" xfId="0" applyNumberFormat="1" applyFont="1" applyBorder="1" applyAlignment="1">
      <alignment horizontal="center" vertical="center"/>
    </xf>
    <xf numFmtId="43" fontId="21" fillId="0" borderId="9" xfId="0" applyNumberFormat="1" applyFont="1" applyBorder="1" applyAlignment="1">
      <alignment horizontal="center" vertical="center"/>
    </xf>
    <xf numFmtId="43" fontId="21" fillId="0" borderId="7" xfId="0" applyNumberFormat="1" applyFont="1" applyBorder="1" applyAlignment="1">
      <alignment horizontal="center" vertical="center"/>
    </xf>
    <xf numFmtId="171" fontId="29" fillId="3" borderId="39" xfId="47" applyNumberFormat="1" applyFont="1" applyFill="1" applyBorder="1"/>
    <xf numFmtId="171" fontId="21" fillId="3" borderId="7" xfId="47" applyNumberFormat="1" applyFont="1" applyFill="1" applyBorder="1" applyAlignment="1">
      <alignment horizontal="center" vertical="center"/>
    </xf>
    <xf numFmtId="0" fontId="29" fillId="40" borderId="2" xfId="0" applyFont="1" applyFill="1" applyBorder="1" applyAlignment="1">
      <alignment horizontal="center" vertical="center"/>
    </xf>
    <xf numFmtId="0" fontId="29" fillId="40" borderId="8" xfId="0" applyFont="1" applyFill="1" applyBorder="1" applyAlignment="1">
      <alignment horizontal="center" vertical="center"/>
    </xf>
    <xf numFmtId="0" fontId="29" fillId="40" borderId="3" xfId="0" applyFont="1" applyFill="1" applyBorder="1" applyAlignment="1">
      <alignment horizontal="center" vertical="center"/>
    </xf>
    <xf numFmtId="0" fontId="29" fillId="40" borderId="8" xfId="0" applyFont="1" applyFill="1" applyBorder="1" applyAlignment="1">
      <alignment horizontal="center"/>
    </xf>
    <xf numFmtId="0" fontId="29" fillId="40" borderId="4" xfId="0" applyFont="1" applyFill="1" applyBorder="1" applyAlignment="1">
      <alignment horizontal="center" vertical="center" wrapText="1"/>
    </xf>
    <xf numFmtId="0" fontId="29" fillId="40" borderId="6" xfId="0" applyFont="1" applyFill="1" applyBorder="1" applyAlignment="1">
      <alignment horizontal="center" vertical="center" wrapText="1"/>
    </xf>
    <xf numFmtId="0" fontId="29" fillId="40" borderId="2" xfId="0" applyFont="1" applyFill="1" applyBorder="1" applyAlignment="1">
      <alignment horizontal="center" vertical="center"/>
    </xf>
    <xf numFmtId="0" fontId="29" fillId="40" borderId="8" xfId="0" applyFont="1" applyFill="1" applyBorder="1" applyAlignment="1">
      <alignment horizontal="center" vertical="center"/>
    </xf>
    <xf numFmtId="0" fontId="29" fillId="40" borderId="3" xfId="0" applyFont="1" applyFill="1" applyBorder="1" applyAlignment="1">
      <alignment horizontal="center" vertical="center"/>
    </xf>
    <xf numFmtId="0" fontId="29" fillId="40" borderId="2" xfId="0" applyFont="1" applyFill="1" applyBorder="1" applyAlignment="1">
      <alignment horizontal="center" vertical="center" wrapText="1"/>
    </xf>
    <xf numFmtId="0" fontId="29" fillId="40" borderId="8" xfId="0" applyFont="1" applyFill="1" applyBorder="1" applyAlignment="1">
      <alignment horizontal="center" vertical="center" wrapText="1"/>
    </xf>
    <xf numFmtId="0" fontId="23" fillId="40" borderId="3" xfId="0" applyFont="1" applyFill="1" applyBorder="1" applyAlignment="1">
      <alignment horizontal="center" vertical="center" wrapText="1"/>
    </xf>
    <xf numFmtId="0" fontId="23" fillId="40" borderId="2" xfId="0" applyFont="1" applyFill="1" applyBorder="1" applyAlignment="1">
      <alignment horizontal="center" vertical="center" wrapText="1"/>
    </xf>
    <xf numFmtId="0" fontId="23" fillId="40" borderId="8" xfId="0" applyFont="1" applyFill="1" applyBorder="1" applyAlignment="1">
      <alignment horizontal="center" vertical="center" wrapText="1"/>
    </xf>
    <xf numFmtId="0" fontId="23" fillId="40" borderId="4" xfId="0" applyFont="1" applyFill="1" applyBorder="1" applyAlignment="1">
      <alignment horizontal="center" vertical="center" wrapText="1"/>
    </xf>
    <xf numFmtId="0" fontId="23" fillId="40" borderId="4" xfId="0" applyFont="1" applyFill="1" applyBorder="1" applyAlignment="1">
      <alignment horizontal="center" vertical="center"/>
    </xf>
    <xf numFmtId="0" fontId="23" fillId="40" borderId="1" xfId="0" applyFont="1" applyFill="1" applyBorder="1" applyAlignment="1">
      <alignment horizontal="center" vertical="center"/>
    </xf>
    <xf numFmtId="0" fontId="23" fillId="40" borderId="6" xfId="0" applyFont="1" applyFill="1" applyBorder="1" applyAlignment="1">
      <alignment horizontal="center" vertical="center"/>
    </xf>
    <xf numFmtId="0" fontId="23" fillId="40" borderId="8" xfId="0" applyFont="1" applyFill="1" applyBorder="1" applyAlignment="1">
      <alignment horizontal="center" vertical="center"/>
    </xf>
    <xf numFmtId="0" fontId="29" fillId="40" borderId="8" xfId="0" applyFont="1" applyFill="1" applyBorder="1" applyAlignment="1">
      <alignment horizontal="center"/>
    </xf>
    <xf numFmtId="0" fontId="29" fillId="40" borderId="1" xfId="0" applyFont="1" applyFill="1" applyBorder="1" applyAlignment="1">
      <alignment horizontal="center" vertical="center" wrapText="1"/>
    </xf>
    <xf numFmtId="0" fontId="23" fillId="40" borderId="3" xfId="0" applyFont="1" applyFill="1" applyBorder="1" applyAlignment="1">
      <alignment horizontal="center" vertical="center"/>
    </xf>
    <xf numFmtId="0" fontId="29" fillId="40" borderId="4" xfId="0" applyFont="1" applyFill="1" applyBorder="1" applyAlignment="1">
      <alignment horizontal="center" vertical="center"/>
    </xf>
    <xf numFmtId="0" fontId="29" fillId="40" borderId="1" xfId="0" applyFont="1" applyFill="1" applyBorder="1" applyAlignment="1">
      <alignment horizontal="center" vertical="center"/>
    </xf>
    <xf numFmtId="0" fontId="29" fillId="40" borderId="6" xfId="0" applyFont="1" applyFill="1" applyBorder="1" applyAlignment="1">
      <alignment horizontal="center" vertical="center"/>
    </xf>
    <xf numFmtId="0" fontId="43" fillId="0" borderId="1" xfId="0" applyFont="1" applyBorder="1"/>
    <xf numFmtId="43" fontId="21" fillId="0" borderId="38" xfId="0" applyNumberFormat="1" applyFont="1" applyBorder="1" applyAlignment="1">
      <alignment horizontal="center" vertical="center"/>
    </xf>
    <xf numFmtId="43" fontId="21" fillId="0" borderId="42" xfId="0" applyNumberFormat="1" applyFont="1" applyBorder="1" applyAlignment="1">
      <alignment horizontal="center" vertical="center"/>
    </xf>
    <xf numFmtId="43" fontId="21" fillId="0" borderId="39" xfId="0" applyNumberFormat="1" applyFont="1" applyBorder="1" applyAlignment="1">
      <alignment horizontal="center" vertical="center"/>
    </xf>
    <xf numFmtId="168" fontId="0" fillId="0" borderId="0" xfId="2" applyNumberFormat="1" applyFont="1"/>
    <xf numFmtId="168" fontId="21" fillId="0" borderId="0" xfId="2" applyNumberFormat="1" applyFont="1"/>
    <xf numFmtId="166" fontId="29" fillId="40" borderId="2" xfId="2" applyNumberFormat="1" applyFont="1" applyFill="1" applyBorder="1" applyAlignment="1">
      <alignment horizontal="center" vertical="center"/>
    </xf>
    <xf numFmtId="165" fontId="21" fillId="0" borderId="0" xfId="0" applyNumberFormat="1" applyFont="1" applyBorder="1"/>
    <xf numFmtId="166" fontId="29" fillId="40" borderId="2" xfId="2" applyNumberFormat="1" applyFont="1" applyFill="1" applyBorder="1"/>
    <xf numFmtId="168" fontId="29" fillId="40" borderId="8" xfId="2" applyNumberFormat="1" applyFont="1" applyFill="1" applyBorder="1" applyAlignment="1">
      <alignment horizontal="center" vertical="center"/>
    </xf>
    <xf numFmtId="168" fontId="21" fillId="0" borderId="1" xfId="2" applyNumberFormat="1" applyFont="1" applyBorder="1" applyAlignment="1">
      <alignment horizontal="center" vertical="center"/>
    </xf>
    <xf numFmtId="168" fontId="21" fillId="0" borderId="9" xfId="2" applyNumberFormat="1" applyFont="1" applyBorder="1" applyAlignment="1">
      <alignment horizontal="center" vertical="center"/>
    </xf>
    <xf numFmtId="0" fontId="23" fillId="40" borderId="21" xfId="0" applyFont="1" applyFill="1" applyBorder="1" applyAlignment="1">
      <alignment horizontal="center" vertical="center"/>
    </xf>
    <xf numFmtId="0" fontId="29" fillId="40" borderId="4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center"/>
    </xf>
    <xf numFmtId="0" fontId="31" fillId="40" borderId="3" xfId="0" applyFont="1" applyFill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31" fillId="40" borderId="4" xfId="0" applyFont="1" applyFill="1" applyBorder="1" applyAlignment="1">
      <alignment horizontal="center" vertical="center" wrapText="1"/>
    </xf>
    <xf numFmtId="0" fontId="31" fillId="40" borderId="6" xfId="0" applyFont="1" applyFill="1" applyBorder="1" applyAlignment="1">
      <alignment horizontal="center" vertical="center" wrapText="1"/>
    </xf>
    <xf numFmtId="0" fontId="21" fillId="0" borderId="9" xfId="0" applyFont="1" applyBorder="1" applyAlignment="1">
      <alignment horizontal="right" vertical="center" wrapText="1"/>
    </xf>
    <xf numFmtId="0" fontId="21" fillId="0" borderId="7" xfId="0" applyFont="1" applyBorder="1" applyAlignment="1">
      <alignment horizontal="center" vertical="center" wrapText="1"/>
    </xf>
    <xf numFmtId="0" fontId="31" fillId="40" borderId="8" xfId="0" applyFont="1" applyFill="1" applyBorder="1" applyAlignment="1">
      <alignment horizontal="center" vertical="center" wrapText="1"/>
    </xf>
    <xf numFmtId="0" fontId="21" fillId="0" borderId="4" xfId="0" applyFont="1" applyFill="1" applyBorder="1" applyAlignment="1">
      <alignment horizontal="center" vertical="center" wrapText="1"/>
    </xf>
    <xf numFmtId="0" fontId="21" fillId="0" borderId="5" xfId="0" applyFont="1" applyFill="1" applyBorder="1" applyAlignment="1">
      <alignment horizontal="center" vertical="center" wrapText="1"/>
    </xf>
    <xf numFmtId="168" fontId="21" fillId="0" borderId="9" xfId="0" applyNumberFormat="1" applyFont="1" applyBorder="1"/>
    <xf numFmtId="2" fontId="21" fillId="0" borderId="1" xfId="0" applyNumberFormat="1" applyFont="1" applyBorder="1"/>
    <xf numFmtId="2" fontId="21" fillId="0" borderId="9" xfId="0" applyNumberFormat="1" applyFont="1" applyBorder="1"/>
    <xf numFmtId="0" fontId="43" fillId="0" borderId="9" xfId="0" applyFont="1" applyBorder="1"/>
    <xf numFmtId="43" fontId="21" fillId="0" borderId="9" xfId="0" applyNumberFormat="1" applyFont="1" applyBorder="1"/>
    <xf numFmtId="43" fontId="0" fillId="0" borderId="0" xfId="0" applyNumberFormat="1"/>
    <xf numFmtId="168" fontId="20" fillId="0" borderId="1" xfId="2" applyNumberFormat="1" applyFont="1" applyBorder="1" applyAlignment="1">
      <alignment horizontal="center" vertical="center" wrapText="1"/>
    </xf>
    <xf numFmtId="166" fontId="20" fillId="0" borderId="1" xfId="2" applyNumberFormat="1" applyFont="1" applyBorder="1" applyAlignment="1">
      <alignment horizontal="center" vertical="center" wrapText="1"/>
    </xf>
    <xf numFmtId="166" fontId="29" fillId="40" borderId="1" xfId="2" applyNumberFormat="1" applyFont="1" applyFill="1" applyBorder="1" applyAlignment="1">
      <alignment horizontal="center" vertical="center" wrapText="1"/>
    </xf>
    <xf numFmtId="166" fontId="21" fillId="2" borderId="5" xfId="2" applyNumberFormat="1" applyFont="1" applyFill="1" applyBorder="1"/>
    <xf numFmtId="166" fontId="21" fillId="2" borderId="7" xfId="2" applyNumberFormat="1" applyFont="1" applyFill="1" applyBorder="1"/>
    <xf numFmtId="0" fontId="21" fillId="0" borderId="29" xfId="0" applyFont="1" applyBorder="1"/>
    <xf numFmtId="168" fontId="21" fillId="0" borderId="5" xfId="2" applyNumberFormat="1" applyFont="1" applyBorder="1" applyAlignment="1">
      <alignment horizontal="center" vertical="center"/>
    </xf>
    <xf numFmtId="0" fontId="21" fillId="0" borderId="5" xfId="2" applyNumberFormat="1" applyFont="1" applyBorder="1" applyAlignment="1">
      <alignment horizontal="center" vertical="center"/>
    </xf>
    <xf numFmtId="166" fontId="21" fillId="0" borderId="7" xfId="2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8" fontId="21" fillId="0" borderId="7" xfId="2" applyNumberFormat="1" applyFont="1" applyBorder="1" applyAlignment="1">
      <alignment horizontal="center" vertical="center"/>
    </xf>
    <xf numFmtId="168" fontId="0" fillId="0" borderId="0" xfId="2" applyNumberFormat="1" applyFont="1" applyAlignment="1">
      <alignment horizontal="center" vertical="center"/>
    </xf>
    <xf numFmtId="168" fontId="21" fillId="0" borderId="0" xfId="2" applyNumberFormat="1" applyFont="1" applyAlignment="1">
      <alignment horizontal="center" vertical="center"/>
    </xf>
    <xf numFmtId="166" fontId="0" fillId="0" borderId="0" xfId="2" applyNumberFormat="1" applyFont="1" applyAlignment="1">
      <alignment horizontal="center" vertical="center"/>
    </xf>
    <xf numFmtId="0" fontId="21" fillId="3" borderId="6" xfId="0" applyFont="1" applyFill="1" applyBorder="1"/>
    <xf numFmtId="166" fontId="29" fillId="3" borderId="9" xfId="0" applyNumberFormat="1" applyFont="1" applyFill="1" applyBorder="1"/>
    <xf numFmtId="166" fontId="29" fillId="3" borderId="7" xfId="0" applyNumberFormat="1" applyFont="1" applyFill="1" applyBorder="1"/>
    <xf numFmtId="1" fontId="21" fillId="0" borderId="29" xfId="0" applyNumberFormat="1" applyFont="1" applyBorder="1"/>
    <xf numFmtId="0" fontId="0" fillId="0" borderId="29" xfId="0" applyBorder="1"/>
    <xf numFmtId="0" fontId="20" fillId="3" borderId="0" xfId="0" applyFont="1" applyFill="1" applyBorder="1" applyAlignment="1">
      <alignment horizontal="center"/>
    </xf>
    <xf numFmtId="0" fontId="21" fillId="2" borderId="9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20" fillId="2" borderId="9" xfId="0" applyFont="1" applyFill="1" applyBorder="1" applyAlignment="1">
      <alignment horizontal="center" vertical="center"/>
    </xf>
    <xf numFmtId="0" fontId="20" fillId="36" borderId="0" xfId="0" applyFont="1" applyFill="1" applyBorder="1"/>
    <xf numFmtId="0" fontId="20" fillId="36" borderId="0" xfId="0" applyFont="1" applyFill="1" applyBorder="1" applyAlignment="1">
      <alignment horizontal="center" vertical="center"/>
    </xf>
    <xf numFmtId="0" fontId="21" fillId="36" borderId="0" xfId="0" applyFont="1" applyFill="1" applyBorder="1"/>
    <xf numFmtId="0" fontId="26" fillId="3" borderId="0" xfId="0" applyFont="1" applyFill="1" applyBorder="1"/>
    <xf numFmtId="0" fontId="44" fillId="0" borderId="0" xfId="0" applyFont="1" applyFill="1" applyBorder="1"/>
    <xf numFmtId="0" fontId="34" fillId="0" borderId="0" xfId="0" applyFont="1" applyFill="1" applyBorder="1" applyAlignment="1">
      <alignment horizontal="left"/>
    </xf>
    <xf numFmtId="0" fontId="45" fillId="0" borderId="0" xfId="0" applyFont="1"/>
    <xf numFmtId="0" fontId="34" fillId="0" borderId="0" xfId="0" applyFont="1" applyFill="1" applyBorder="1" applyAlignment="1"/>
    <xf numFmtId="0" fontId="47" fillId="3" borderId="0" xfId="0" applyFont="1" applyFill="1" applyBorder="1"/>
    <xf numFmtId="0" fontId="23" fillId="3" borderId="0" xfId="0" applyFont="1" applyFill="1" applyBorder="1" applyAlignment="1">
      <alignment horizontal="center" wrapText="1"/>
    </xf>
    <xf numFmtId="0" fontId="23" fillId="3" borderId="0" xfId="0" applyFont="1" applyFill="1" applyBorder="1" applyAlignment="1">
      <alignment wrapText="1"/>
    </xf>
    <xf numFmtId="0" fontId="48" fillId="3" borderId="0" xfId="0" applyFont="1" applyFill="1" applyBorder="1" applyAlignment="1"/>
    <xf numFmtId="0" fontId="21" fillId="2" borderId="5" xfId="0" applyFont="1" applyFill="1" applyBorder="1" applyAlignment="1">
      <alignment horizontal="center" vertical="center"/>
    </xf>
    <xf numFmtId="0" fontId="21" fillId="2" borderId="7" xfId="0" applyFont="1" applyFill="1" applyBorder="1" applyAlignment="1">
      <alignment horizontal="center" vertical="center"/>
    </xf>
    <xf numFmtId="0" fontId="29" fillId="3" borderId="0" xfId="0" applyFont="1" applyFill="1" applyBorder="1" applyAlignment="1">
      <alignment horizontal="center" vertical="center"/>
    </xf>
    <xf numFmtId="0" fontId="29" fillId="0" borderId="29" xfId="0" applyFont="1" applyFill="1" applyBorder="1" applyAlignment="1">
      <alignment vertical="center"/>
    </xf>
    <xf numFmtId="0" fontId="21" fillId="0" borderId="4" xfId="0" applyFont="1" applyBorder="1" applyAlignment="1">
      <alignment horizontal="left"/>
    </xf>
    <xf numFmtId="0" fontId="21" fillId="0" borderId="1" xfId="0" applyFont="1" applyBorder="1" applyAlignment="1">
      <alignment horizontal="left"/>
    </xf>
    <xf numFmtId="0" fontId="21" fillId="0" borderId="25" xfId="0" applyFont="1" applyBorder="1" applyAlignment="1">
      <alignment horizontal="left"/>
    </xf>
    <xf numFmtId="0" fontId="20" fillId="0" borderId="1" xfId="0" applyFont="1" applyBorder="1" applyAlignment="1">
      <alignment horizontal="left"/>
    </xf>
    <xf numFmtId="0" fontId="20" fillId="0" borderId="4" xfId="0" applyFont="1" applyBorder="1" applyAlignment="1">
      <alignment horizontal="left"/>
    </xf>
    <xf numFmtId="0" fontId="20" fillId="0" borderId="25" xfId="0" applyFont="1" applyBorder="1" applyAlignment="1">
      <alignment horizontal="left"/>
    </xf>
    <xf numFmtId="166" fontId="20" fillId="0" borderId="5" xfId="2" applyNumberFormat="1" applyFont="1" applyBorder="1"/>
    <xf numFmtId="0" fontId="30" fillId="0" borderId="4" xfId="0" applyFont="1" applyBorder="1" applyAlignment="1">
      <alignment horizontal="left"/>
    </xf>
    <xf numFmtId="0" fontId="30" fillId="0" borderId="1" xfId="0" applyFont="1" applyBorder="1" applyAlignment="1">
      <alignment horizontal="left"/>
    </xf>
    <xf numFmtId="166" fontId="30" fillId="0" borderId="5" xfId="2" applyNumberFormat="1" applyFont="1" applyBorder="1"/>
    <xf numFmtId="0" fontId="21" fillId="0" borderId="6" xfId="0" applyFont="1" applyBorder="1" applyAlignment="1">
      <alignment horizontal="left"/>
    </xf>
    <xf numFmtId="0" fontId="21" fillId="0" borderId="9" xfId="0" applyFont="1" applyBorder="1" applyAlignment="1">
      <alignment horizontal="left"/>
    </xf>
    <xf numFmtId="0" fontId="21" fillId="0" borderId="32" xfId="0" applyFont="1" applyBorder="1" applyAlignment="1">
      <alignment horizontal="left"/>
    </xf>
    <xf numFmtId="0" fontId="30" fillId="0" borderId="1" xfId="0" applyFont="1" applyBorder="1"/>
    <xf numFmtId="0" fontId="29" fillId="0" borderId="26" xfId="0" applyFont="1" applyBorder="1" applyAlignment="1">
      <alignment horizontal="center"/>
    </xf>
    <xf numFmtId="0" fontId="29" fillId="0" borderId="28" xfId="0" applyFont="1" applyBorder="1" applyAlignment="1">
      <alignment horizontal="center"/>
    </xf>
    <xf numFmtId="166" fontId="21" fillId="0" borderId="27" xfId="2" applyNumberFormat="1" applyFont="1" applyBorder="1" applyAlignment="1">
      <alignment horizontal="center"/>
    </xf>
    <xf numFmtId="166" fontId="30" fillId="0" borderId="5" xfId="2" applyNumberFormat="1" applyFont="1" applyBorder="1" applyAlignment="1">
      <alignment horizontal="center"/>
    </xf>
    <xf numFmtId="0" fontId="21" fillId="0" borderId="26" xfId="0" applyFont="1" applyBorder="1"/>
    <xf numFmtId="0" fontId="21" fillId="0" borderId="28" xfId="0" applyFont="1" applyBorder="1"/>
    <xf numFmtId="166" fontId="21" fillId="0" borderId="27" xfId="2" applyNumberFormat="1" applyFont="1" applyBorder="1"/>
    <xf numFmtId="9" fontId="21" fillId="0" borderId="29" xfId="1" applyFont="1" applyBorder="1"/>
    <xf numFmtId="166" fontId="21" fillId="36" borderId="0" xfId="2" applyNumberFormat="1" applyFont="1" applyFill="1"/>
    <xf numFmtId="166" fontId="21" fillId="38" borderId="0" xfId="2" applyNumberFormat="1" applyFont="1" applyFill="1"/>
    <xf numFmtId="0" fontId="21" fillId="3" borderId="0" xfId="0" applyFont="1" applyFill="1"/>
    <xf numFmtId="166" fontId="21" fillId="3" borderId="0" xfId="2" applyNumberFormat="1" applyFont="1" applyFill="1"/>
    <xf numFmtId="0" fontId="23" fillId="3" borderId="0" xfId="0" applyFont="1" applyFill="1" applyAlignment="1">
      <alignment horizontal="center" vertical="center" wrapText="1"/>
    </xf>
    <xf numFmtId="0" fontId="23" fillId="40" borderId="24" xfId="0" applyFont="1" applyFill="1" applyBorder="1" applyAlignment="1">
      <alignment horizontal="center" vertical="center" wrapText="1"/>
    </xf>
    <xf numFmtId="14" fontId="20" fillId="3" borderId="1" xfId="0" applyNumberFormat="1" applyFont="1" applyFill="1" applyBorder="1" applyAlignment="1">
      <alignment horizontal="center" vertical="center" wrapText="1"/>
    </xf>
    <xf numFmtId="0" fontId="21" fillId="36" borderId="0" xfId="0" applyFont="1" applyFill="1" applyAlignment="1">
      <alignment horizontal="center" vertical="center"/>
    </xf>
    <xf numFmtId="0" fontId="21" fillId="38" borderId="0" xfId="0" applyFont="1" applyFill="1" applyAlignment="1">
      <alignment horizontal="center" vertical="center"/>
    </xf>
    <xf numFmtId="0" fontId="21" fillId="3" borderId="0" xfId="0" applyFont="1" applyFill="1" applyAlignment="1">
      <alignment horizontal="center" vertical="center"/>
    </xf>
    <xf numFmtId="0" fontId="21" fillId="0" borderId="25" xfId="0" applyFont="1" applyBorder="1" applyAlignment="1">
      <alignment horizontal="center" vertical="center"/>
    </xf>
    <xf numFmtId="0" fontId="20" fillId="0" borderId="25" xfId="0" applyFont="1" applyBorder="1" applyAlignment="1">
      <alignment horizontal="center" vertical="center"/>
    </xf>
    <xf numFmtId="0" fontId="21" fillId="0" borderId="32" xfId="0" applyFont="1" applyBorder="1" applyAlignment="1">
      <alignment horizontal="center" vertical="center"/>
    </xf>
    <xf numFmtId="0" fontId="29" fillId="0" borderId="0" xfId="0" applyFont="1" applyBorder="1" applyAlignment="1">
      <alignment horizontal="center" vertical="center"/>
    </xf>
    <xf numFmtId="14" fontId="30" fillId="3" borderId="1" xfId="0" applyNumberFormat="1" applyFont="1" applyFill="1" applyBorder="1" applyAlignment="1">
      <alignment horizontal="center" vertical="center" wrapText="1"/>
    </xf>
    <xf numFmtId="0" fontId="29" fillId="40" borderId="4" xfId="0" applyFont="1" applyFill="1" applyBorder="1" applyAlignment="1">
      <alignment horizontal="center" vertical="center" wrapText="1"/>
    </xf>
    <xf numFmtId="0" fontId="29" fillId="40" borderId="2" xfId="0" applyFont="1" applyFill="1" applyBorder="1" applyAlignment="1">
      <alignment horizontal="center" vertical="center"/>
    </xf>
    <xf numFmtId="0" fontId="29" fillId="40" borderId="8" xfId="0" applyFont="1" applyFill="1" applyBorder="1" applyAlignment="1">
      <alignment horizontal="center" vertical="center"/>
    </xf>
    <xf numFmtId="0" fontId="29" fillId="40" borderId="3" xfId="0" applyFont="1" applyFill="1" applyBorder="1" applyAlignment="1">
      <alignment horizontal="center" vertical="center"/>
    </xf>
    <xf numFmtId="0" fontId="23" fillId="40" borderId="1" xfId="0" applyFont="1" applyFill="1" applyBorder="1" applyAlignment="1">
      <alignment horizontal="center" vertical="center"/>
    </xf>
    <xf numFmtId="14" fontId="23" fillId="0" borderId="30" xfId="0" applyNumberFormat="1" applyFont="1" applyFill="1" applyBorder="1" applyAlignment="1">
      <alignment horizontal="center" vertical="center"/>
    </xf>
    <xf numFmtId="1" fontId="20" fillId="3" borderId="30" xfId="0" applyNumberFormat="1" applyFont="1" applyFill="1" applyBorder="1" applyAlignment="1">
      <alignment horizontal="center" vertical="center"/>
    </xf>
    <xf numFmtId="9" fontId="20" fillId="0" borderId="30" xfId="1" applyFont="1" applyBorder="1" applyAlignment="1">
      <alignment horizontal="center" vertical="center"/>
    </xf>
    <xf numFmtId="166" fontId="20" fillId="0" borderId="30" xfId="2" applyNumberFormat="1" applyFont="1" applyBorder="1" applyAlignment="1">
      <alignment horizontal="center" vertical="center"/>
    </xf>
    <xf numFmtId="0" fontId="51" fillId="0" borderId="0" xfId="0" applyFont="1"/>
    <xf numFmtId="0" fontId="40" fillId="0" borderId="0" xfId="0" applyFont="1" applyAlignment="1">
      <alignment horizontal="right"/>
    </xf>
    <xf numFmtId="5" fontId="36" fillId="0" borderId="0" xfId="2" applyNumberFormat="1" applyFont="1" applyBorder="1" applyAlignment="1">
      <alignment horizontal="left" vertical="center"/>
    </xf>
    <xf numFmtId="0" fontId="23" fillId="0" borderId="0" xfId="0" applyFont="1" applyFill="1" applyBorder="1" applyAlignment="1">
      <alignment horizontal="center" vertical="center"/>
    </xf>
    <xf numFmtId="0" fontId="36" fillId="0" borderId="29" xfId="0" applyFont="1" applyFill="1" applyBorder="1" applyAlignment="1">
      <alignment vertical="center"/>
    </xf>
    <xf numFmtId="5" fontId="21" fillId="0" borderId="4" xfId="2" applyNumberFormat="1" applyFont="1" applyBorder="1" applyAlignment="1">
      <alignment horizontal="center"/>
    </xf>
    <xf numFmtId="5" fontId="21" fillId="0" borderId="1" xfId="2" applyNumberFormat="1" applyFont="1" applyBorder="1" applyAlignment="1">
      <alignment horizontal="center"/>
    </xf>
    <xf numFmtId="5" fontId="21" fillId="0" borderId="5" xfId="2" applyNumberFormat="1" applyFont="1" applyBorder="1" applyAlignment="1">
      <alignment horizontal="center"/>
    </xf>
    <xf numFmtId="5" fontId="21" fillId="0" borderId="6" xfId="2" applyNumberFormat="1" applyFont="1" applyBorder="1" applyAlignment="1">
      <alignment horizontal="center"/>
    </xf>
    <xf numFmtId="5" fontId="21" fillId="0" borderId="9" xfId="2" applyNumberFormat="1" applyFont="1" applyBorder="1" applyAlignment="1">
      <alignment horizontal="center"/>
    </xf>
    <xf numFmtId="5" fontId="21" fillId="0" borderId="7" xfId="2" applyNumberFormat="1" applyFont="1" applyBorder="1" applyAlignment="1">
      <alignment horizontal="center"/>
    </xf>
    <xf numFmtId="3" fontId="20" fillId="0" borderId="1" xfId="0" applyNumberFormat="1" applyFont="1" applyFill="1" applyBorder="1" applyAlignment="1">
      <alignment horizontal="center" vertical="center"/>
    </xf>
    <xf numFmtId="3" fontId="21" fillId="0" borderId="9" xfId="2" applyNumberFormat="1" applyFont="1" applyBorder="1" applyAlignment="1">
      <alignment horizontal="center" vertical="center"/>
    </xf>
    <xf numFmtId="3" fontId="20" fillId="3" borderId="1" xfId="0" applyNumberFormat="1" applyFont="1" applyFill="1" applyBorder="1" applyAlignment="1">
      <alignment horizontal="center" vertical="center"/>
    </xf>
    <xf numFmtId="3" fontId="20" fillId="0" borderId="1" xfId="1" applyNumberFormat="1" applyFont="1" applyBorder="1" applyAlignment="1">
      <alignment horizontal="center" vertical="center"/>
    </xf>
    <xf numFmtId="3" fontId="20" fillId="3" borderId="9" xfId="0" applyNumberFormat="1" applyFont="1" applyFill="1" applyBorder="1" applyAlignment="1">
      <alignment horizontal="center" vertical="center"/>
    </xf>
    <xf numFmtId="3" fontId="38" fillId="0" borderId="9" xfId="1" applyNumberFormat="1" applyFont="1" applyBorder="1" applyAlignment="1">
      <alignment horizontal="center" vertical="center"/>
    </xf>
    <xf numFmtId="3" fontId="20" fillId="0" borderId="9" xfId="1" applyNumberFormat="1" applyFont="1" applyBorder="1" applyAlignment="1">
      <alignment horizontal="center" vertical="center"/>
    </xf>
    <xf numFmtId="3" fontId="20" fillId="3" borderId="1" xfId="2" applyNumberFormat="1" applyFont="1" applyFill="1" applyBorder="1" applyAlignment="1">
      <alignment horizontal="center"/>
    </xf>
    <xf numFmtId="3" fontId="20" fillId="0" borderId="9" xfId="2" applyNumberFormat="1" applyFont="1" applyBorder="1" applyAlignment="1">
      <alignment horizontal="center" vertical="center"/>
    </xf>
    <xf numFmtId="37" fontId="20" fillId="3" borderId="1" xfId="2" applyNumberFormat="1" applyFont="1" applyFill="1" applyBorder="1" applyAlignment="1">
      <alignment horizontal="center" vertical="center"/>
    </xf>
    <xf numFmtId="37" fontId="20" fillId="2" borderId="5" xfId="2" applyNumberFormat="1" applyFont="1" applyFill="1" applyBorder="1" applyAlignment="1">
      <alignment horizontal="center"/>
    </xf>
    <xf numFmtId="37" fontId="20" fillId="3" borderId="9" xfId="2" applyNumberFormat="1" applyFont="1" applyFill="1" applyBorder="1" applyAlignment="1">
      <alignment horizontal="center" vertical="center"/>
    </xf>
    <xf numFmtId="37" fontId="20" fillId="2" borderId="7" xfId="2" applyNumberFormat="1" applyFont="1" applyFill="1" applyBorder="1" applyAlignment="1">
      <alignment horizontal="center"/>
    </xf>
    <xf numFmtId="37" fontId="21" fillId="2" borderId="1" xfId="2" applyNumberFormat="1" applyFont="1" applyFill="1" applyBorder="1" applyAlignment="1">
      <alignment horizontal="center"/>
    </xf>
    <xf numFmtId="37" fontId="21" fillId="2" borderId="9" xfId="2" applyNumberFormat="1" applyFont="1" applyFill="1" applyBorder="1" applyAlignment="1">
      <alignment horizontal="center"/>
    </xf>
    <xf numFmtId="0" fontId="21" fillId="2" borderId="1" xfId="0" quotePrefix="1" applyFont="1" applyFill="1" applyBorder="1" applyAlignment="1">
      <alignment horizontal="center" vertical="center"/>
    </xf>
    <xf numFmtId="0" fontId="21" fillId="2" borderId="5" xfId="0" quotePrefix="1" applyFont="1" applyFill="1" applyBorder="1" applyAlignment="1">
      <alignment horizontal="center" vertical="center"/>
    </xf>
    <xf numFmtId="0" fontId="21" fillId="2" borderId="9" xfId="0" quotePrefix="1" applyFont="1" applyFill="1" applyBorder="1" applyAlignment="1">
      <alignment horizontal="center" vertical="center"/>
    </xf>
    <xf numFmtId="0" fontId="21" fillId="2" borderId="7" xfId="0" quotePrefix="1" applyFont="1" applyFill="1" applyBorder="1" applyAlignment="1">
      <alignment horizontal="center" vertical="center"/>
    </xf>
    <xf numFmtId="37" fontId="21" fillId="3" borderId="1" xfId="0" applyNumberFormat="1" applyFont="1" applyFill="1" applyBorder="1" applyAlignment="1">
      <alignment horizontal="center" vertical="center"/>
    </xf>
    <xf numFmtId="37" fontId="21" fillId="3" borderId="5" xfId="0" applyNumberFormat="1" applyFont="1" applyFill="1" applyBorder="1" applyAlignment="1">
      <alignment horizontal="center" vertical="center"/>
    </xf>
    <xf numFmtId="37" fontId="29" fillId="3" borderId="9" xfId="0" applyNumberFormat="1" applyFont="1" applyFill="1" applyBorder="1" applyAlignment="1">
      <alignment horizontal="center" vertical="center"/>
    </xf>
    <xf numFmtId="37" fontId="29" fillId="3" borderId="7" xfId="0" applyNumberFormat="1" applyFont="1" applyFill="1" applyBorder="1" applyAlignment="1">
      <alignment horizontal="center" vertical="center"/>
    </xf>
    <xf numFmtId="3" fontId="21" fillId="3" borderId="1" xfId="0" applyNumberFormat="1" applyFont="1" applyFill="1" applyBorder="1" applyAlignment="1">
      <alignment horizontal="center" vertical="center"/>
    </xf>
    <xf numFmtId="3" fontId="21" fillId="0" borderId="1" xfId="1" applyNumberFormat="1" applyFont="1" applyBorder="1" applyAlignment="1">
      <alignment horizontal="center" vertical="center"/>
    </xf>
    <xf numFmtId="3" fontId="21" fillId="0" borderId="1" xfId="2" applyNumberFormat="1" applyFont="1" applyBorder="1" applyAlignment="1">
      <alignment horizontal="center" vertical="center"/>
    </xf>
    <xf numFmtId="3" fontId="21" fillId="3" borderId="9" xfId="0" applyNumberFormat="1" applyFont="1" applyFill="1" applyBorder="1" applyAlignment="1">
      <alignment horizontal="center" vertical="center"/>
    </xf>
    <xf numFmtId="3" fontId="40" fillId="0" borderId="9" xfId="1" applyNumberFormat="1" applyFont="1" applyBorder="1" applyAlignment="1">
      <alignment horizontal="center" vertical="center"/>
    </xf>
    <xf numFmtId="3" fontId="21" fillId="0" borderId="9" xfId="1" applyNumberFormat="1" applyFont="1" applyBorder="1" applyAlignment="1">
      <alignment horizontal="center" vertical="center"/>
    </xf>
    <xf numFmtId="3" fontId="21" fillId="3" borderId="1" xfId="2" applyNumberFormat="1" applyFont="1" applyFill="1" applyBorder="1" applyAlignment="1">
      <alignment horizontal="center"/>
    </xf>
    <xf numFmtId="172" fontId="21" fillId="3" borderId="1" xfId="0" applyNumberFormat="1" applyFont="1" applyFill="1" applyBorder="1" applyAlignment="1">
      <alignment horizontal="center" vertical="center"/>
    </xf>
    <xf numFmtId="172" fontId="21" fillId="3" borderId="5" xfId="0" applyNumberFormat="1" applyFont="1" applyFill="1" applyBorder="1" applyAlignment="1">
      <alignment horizontal="center" vertical="center"/>
    </xf>
    <xf numFmtId="172" fontId="21" fillId="3" borderId="1" xfId="2" applyNumberFormat="1" applyFont="1" applyFill="1" applyBorder="1" applyAlignment="1">
      <alignment horizontal="center"/>
    </xf>
    <xf numFmtId="172" fontId="21" fillId="3" borderId="5" xfId="2" applyNumberFormat="1" applyFont="1" applyFill="1" applyBorder="1" applyAlignment="1">
      <alignment horizontal="center"/>
    </xf>
    <xf numFmtId="172" fontId="21" fillId="0" borderId="9" xfId="1" applyNumberFormat="1" applyFont="1" applyBorder="1" applyAlignment="1">
      <alignment horizontal="center" vertical="center"/>
    </xf>
    <xf numFmtId="172" fontId="21" fillId="0" borderId="7" xfId="1" applyNumberFormat="1" applyFont="1" applyBorder="1" applyAlignment="1">
      <alignment horizontal="center" vertical="center"/>
    </xf>
    <xf numFmtId="172" fontId="21" fillId="0" borderId="9" xfId="2" applyNumberFormat="1" applyFont="1" applyBorder="1" applyAlignment="1">
      <alignment horizontal="center" vertical="center"/>
    </xf>
    <xf numFmtId="172" fontId="21" fillId="0" borderId="7" xfId="2" applyNumberFormat="1" applyFont="1" applyBorder="1" applyAlignment="1">
      <alignment horizontal="center" vertical="center"/>
    </xf>
    <xf numFmtId="172" fontId="20" fillId="3" borderId="5" xfId="2" applyNumberFormat="1" applyFont="1" applyFill="1" applyBorder="1" applyAlignment="1">
      <alignment horizontal="center"/>
    </xf>
    <xf numFmtId="172" fontId="20" fillId="0" borderId="7" xfId="1" applyNumberFormat="1" applyFont="1" applyBorder="1" applyAlignment="1">
      <alignment horizontal="center" vertical="center"/>
    </xf>
    <xf numFmtId="172" fontId="20" fillId="3" borderId="1" xfId="2" applyNumberFormat="1" applyFont="1" applyFill="1" applyBorder="1" applyAlignment="1">
      <alignment horizontal="center"/>
    </xf>
    <xf numFmtId="172" fontId="20" fillId="0" borderId="9" xfId="2" applyNumberFormat="1" applyFont="1" applyBorder="1" applyAlignment="1">
      <alignment horizontal="center" vertical="center"/>
    </xf>
    <xf numFmtId="172" fontId="29" fillId="3" borderId="9" xfId="0" applyNumberFormat="1" applyFont="1" applyFill="1" applyBorder="1" applyAlignment="1">
      <alignment horizontal="center"/>
    </xf>
    <xf numFmtId="172" fontId="29" fillId="3" borderId="7" xfId="0" applyNumberFormat="1" applyFont="1" applyFill="1" applyBorder="1" applyAlignment="1">
      <alignment horizontal="center"/>
    </xf>
    <xf numFmtId="0" fontId="23" fillId="40" borderId="3" xfId="0" applyFont="1" applyFill="1" applyBorder="1" applyAlignment="1">
      <alignment horizontal="center" vertical="center" wrapText="1"/>
    </xf>
    <xf numFmtId="0" fontId="23" fillId="40" borderId="2" xfId="0" applyFont="1" applyFill="1" applyBorder="1" applyAlignment="1">
      <alignment horizontal="center" vertical="center" wrapText="1"/>
    </xf>
    <xf numFmtId="0" fontId="23" fillId="40" borderId="8" xfId="0" applyFont="1" applyFill="1" applyBorder="1" applyAlignment="1">
      <alignment horizontal="center" vertical="center" wrapText="1"/>
    </xf>
    <xf numFmtId="0" fontId="23" fillId="0" borderId="0" xfId="0" applyFont="1" applyFill="1" applyAlignment="1">
      <alignment wrapText="1"/>
    </xf>
    <xf numFmtId="166" fontId="21" fillId="0" borderId="0" xfId="0" applyNumberFormat="1" applyFont="1" applyFill="1"/>
    <xf numFmtId="0" fontId="30" fillId="0" borderId="25" xfId="0" applyFont="1" applyBorder="1" applyAlignment="1">
      <alignment horizontal="center" vertical="center"/>
    </xf>
    <xf numFmtId="0" fontId="30" fillId="0" borderId="25" xfId="0" applyFont="1" applyBorder="1" applyAlignment="1">
      <alignment horizontal="left"/>
    </xf>
    <xf numFmtId="0" fontId="23" fillId="40" borderId="1" xfId="0" applyFont="1" applyFill="1" applyBorder="1" applyAlignment="1">
      <alignment horizontal="center" vertical="center"/>
    </xf>
    <xf numFmtId="0" fontId="23" fillId="40" borderId="4" xfId="0" applyFont="1" applyFill="1" applyBorder="1" applyAlignment="1">
      <alignment horizontal="center" vertical="center" wrapText="1"/>
    </xf>
    <xf numFmtId="0" fontId="29" fillId="40" borderId="2" xfId="0" applyFont="1" applyFill="1" applyBorder="1" applyAlignment="1">
      <alignment horizontal="center" vertical="center"/>
    </xf>
    <xf numFmtId="0" fontId="23" fillId="40" borderId="4" xfId="0" applyFont="1" applyFill="1" applyBorder="1" applyAlignment="1">
      <alignment horizontal="center" vertical="center" wrapText="1"/>
    </xf>
    <xf numFmtId="0" fontId="29" fillId="40" borderId="2" xfId="0" applyFont="1" applyFill="1" applyBorder="1" applyAlignment="1">
      <alignment horizontal="center" vertical="center"/>
    </xf>
    <xf numFmtId="0" fontId="23" fillId="40" borderId="2" xfId="0" applyFont="1" applyFill="1" applyBorder="1" applyAlignment="1">
      <alignment horizontal="center" vertical="center"/>
    </xf>
    <xf numFmtId="166" fontId="29" fillId="40" borderId="4" xfId="2" applyNumberFormat="1" applyFont="1" applyFill="1" applyBorder="1" applyAlignment="1">
      <alignment horizontal="center" vertical="center" wrapText="1"/>
    </xf>
    <xf numFmtId="166" fontId="29" fillId="40" borderId="6" xfId="2" applyNumberFormat="1" applyFont="1" applyFill="1" applyBorder="1" applyAlignment="1">
      <alignment horizontal="center" vertical="center" wrapText="1"/>
    </xf>
    <xf numFmtId="168" fontId="21" fillId="0" borderId="1" xfId="0" applyNumberFormat="1" applyFont="1" applyBorder="1" applyAlignment="1">
      <alignment horizontal="center" vertical="center"/>
    </xf>
    <xf numFmtId="168" fontId="21" fillId="0" borderId="9" xfId="0" applyNumberFormat="1" applyFont="1" applyBorder="1" applyAlignment="1">
      <alignment horizontal="center" vertical="center"/>
    </xf>
    <xf numFmtId="0" fontId="48" fillId="0" borderId="0" xfId="0" applyFont="1"/>
    <xf numFmtId="0" fontId="29" fillId="40" borderId="2" xfId="0" applyFont="1" applyFill="1" applyBorder="1" applyAlignment="1">
      <alignment horizontal="center" vertical="center"/>
    </xf>
    <xf numFmtId="0" fontId="29" fillId="40" borderId="8" xfId="0" applyFont="1" applyFill="1" applyBorder="1" applyAlignment="1">
      <alignment horizontal="center" vertical="center"/>
    </xf>
    <xf numFmtId="0" fontId="29" fillId="40" borderId="3" xfId="0" applyFont="1" applyFill="1" applyBorder="1" applyAlignment="1">
      <alignment horizontal="center" vertical="center"/>
    </xf>
    <xf numFmtId="0" fontId="22" fillId="39" borderId="0" xfId="0" applyFont="1" applyFill="1" applyAlignment="1">
      <alignment horizontal="center" vertical="center"/>
    </xf>
    <xf numFmtId="0" fontId="23" fillId="40" borderId="25" xfId="0" applyFont="1" applyFill="1" applyBorder="1" applyAlignment="1">
      <alignment horizontal="center" vertical="center" wrapText="1"/>
    </xf>
    <xf numFmtId="0" fontId="23" fillId="40" borderId="33" xfId="0" applyFont="1" applyFill="1" applyBorder="1" applyAlignment="1">
      <alignment horizontal="center" vertical="center" wrapText="1"/>
    </xf>
    <xf numFmtId="0" fontId="23" fillId="40" borderId="20" xfId="0" applyFont="1" applyFill="1" applyBorder="1" applyAlignment="1">
      <alignment horizontal="center" vertical="center" wrapText="1"/>
    </xf>
    <xf numFmtId="0" fontId="23" fillId="40" borderId="35" xfId="0" applyFont="1" applyFill="1" applyBorder="1" applyAlignment="1">
      <alignment horizontal="center" vertical="center" wrapText="1"/>
    </xf>
    <xf numFmtId="0" fontId="23" fillId="40" borderId="36" xfId="0" applyFont="1" applyFill="1" applyBorder="1" applyAlignment="1">
      <alignment horizontal="center" vertical="center" wrapText="1"/>
    </xf>
    <xf numFmtId="0" fontId="23" fillId="40" borderId="40" xfId="0" applyFont="1" applyFill="1" applyBorder="1" applyAlignment="1">
      <alignment horizontal="center" vertical="center" wrapText="1"/>
    </xf>
    <xf numFmtId="0" fontId="23" fillId="40" borderId="41" xfId="0" applyFont="1" applyFill="1" applyBorder="1" applyAlignment="1">
      <alignment horizontal="center" vertical="center" wrapText="1"/>
    </xf>
    <xf numFmtId="0" fontId="34" fillId="3" borderId="29" xfId="0" applyFont="1" applyFill="1" applyBorder="1" applyAlignment="1">
      <alignment horizontal="center"/>
    </xf>
    <xf numFmtId="0" fontId="36" fillId="0" borderId="29" xfId="0" applyFont="1" applyFill="1" applyBorder="1" applyAlignment="1">
      <alignment horizontal="left" wrapText="1"/>
    </xf>
    <xf numFmtId="0" fontId="23" fillId="40" borderId="25" xfId="0" applyFont="1" applyFill="1" applyBorder="1" applyAlignment="1">
      <alignment horizontal="center" vertical="center"/>
    </xf>
    <xf numFmtId="0" fontId="23" fillId="40" borderId="33" xfId="0" applyFont="1" applyFill="1" applyBorder="1" applyAlignment="1">
      <alignment horizontal="center" vertical="center"/>
    </xf>
    <xf numFmtId="0" fontId="23" fillId="40" borderId="20" xfId="0" applyFont="1" applyFill="1" applyBorder="1" applyAlignment="1">
      <alignment horizontal="center" vertical="center"/>
    </xf>
    <xf numFmtId="0" fontId="36" fillId="0" borderId="0" xfId="0" applyFont="1" applyFill="1" applyBorder="1" applyAlignment="1">
      <alignment horizontal="left" wrapText="1"/>
    </xf>
    <xf numFmtId="14" fontId="23" fillId="40" borderId="35" xfId="0" applyNumberFormat="1" applyFont="1" applyFill="1" applyBorder="1" applyAlignment="1">
      <alignment horizontal="center" vertical="center" wrapText="1"/>
    </xf>
    <xf numFmtId="14" fontId="23" fillId="40" borderId="36" xfId="0" applyNumberFormat="1" applyFont="1" applyFill="1" applyBorder="1" applyAlignment="1">
      <alignment horizontal="center" vertical="center" wrapText="1"/>
    </xf>
    <xf numFmtId="0" fontId="23" fillId="40" borderId="34" xfId="0" applyFont="1" applyFill="1" applyBorder="1" applyAlignment="1">
      <alignment horizontal="center" vertical="center" wrapText="1"/>
    </xf>
    <xf numFmtId="0" fontId="23" fillId="40" borderId="21" xfId="0" applyFont="1" applyFill="1" applyBorder="1" applyAlignment="1">
      <alignment horizontal="center" vertical="center" wrapText="1"/>
    </xf>
    <xf numFmtId="0" fontId="23" fillId="40" borderId="34" xfId="0" applyFont="1" applyFill="1" applyBorder="1" applyAlignment="1">
      <alignment horizontal="center" wrapText="1"/>
    </xf>
    <xf numFmtId="0" fontId="23" fillId="40" borderId="21" xfId="0" applyFont="1" applyFill="1" applyBorder="1" applyAlignment="1">
      <alignment horizontal="center" wrapText="1"/>
    </xf>
    <xf numFmtId="0" fontId="23" fillId="40" borderId="40" xfId="0" applyFont="1" applyFill="1" applyBorder="1" applyAlignment="1">
      <alignment horizontal="center" wrapText="1"/>
    </xf>
    <xf numFmtId="0" fontId="23" fillId="40" borderId="41" xfId="0" applyFont="1" applyFill="1" applyBorder="1" applyAlignment="1">
      <alignment horizontal="center" wrapText="1"/>
    </xf>
    <xf numFmtId="0" fontId="36" fillId="0" borderId="29" xfId="0" applyFont="1" applyFill="1" applyBorder="1" applyAlignment="1">
      <alignment horizontal="center" wrapText="1"/>
    </xf>
    <xf numFmtId="0" fontId="29" fillId="40" borderId="2" xfId="0" applyFont="1" applyFill="1" applyBorder="1" applyAlignment="1">
      <alignment horizontal="center" vertical="center" wrapText="1"/>
    </xf>
    <xf numFmtId="0" fontId="29" fillId="40" borderId="3" xfId="0" applyFont="1" applyFill="1" applyBorder="1" applyAlignment="1">
      <alignment horizontal="center" vertical="center" wrapText="1"/>
    </xf>
    <xf numFmtId="0" fontId="23" fillId="40" borderId="34" xfId="0" applyFont="1" applyFill="1" applyBorder="1" applyAlignment="1">
      <alignment horizontal="center" vertical="center"/>
    </xf>
    <xf numFmtId="0" fontId="23" fillId="40" borderId="21" xfId="0" applyFont="1" applyFill="1" applyBorder="1" applyAlignment="1">
      <alignment horizontal="center" vertical="center"/>
    </xf>
    <xf numFmtId="0" fontId="36" fillId="0" borderId="0" xfId="0" applyFont="1" applyFill="1" applyBorder="1" applyAlignment="1">
      <alignment horizontal="center" wrapText="1"/>
    </xf>
    <xf numFmtId="0" fontId="46" fillId="0" borderId="30" xfId="0" applyFont="1" applyFill="1" applyBorder="1" applyAlignment="1">
      <alignment horizontal="center" vertical="center" wrapText="1"/>
    </xf>
    <xf numFmtId="0" fontId="46" fillId="0" borderId="0" xfId="0" applyFont="1" applyFill="1" applyBorder="1" applyAlignment="1">
      <alignment horizontal="center" vertical="center" wrapText="1"/>
    </xf>
    <xf numFmtId="14" fontId="23" fillId="40" borderId="34" xfId="0" applyNumberFormat="1" applyFont="1" applyFill="1" applyBorder="1" applyAlignment="1">
      <alignment horizontal="center" vertical="center"/>
    </xf>
    <xf numFmtId="14" fontId="23" fillId="40" borderId="21" xfId="0" applyNumberFormat="1" applyFont="1" applyFill="1" applyBorder="1" applyAlignment="1">
      <alignment horizontal="center" vertical="center"/>
    </xf>
    <xf numFmtId="14" fontId="23" fillId="40" borderId="35" xfId="0" applyNumberFormat="1" applyFont="1" applyFill="1" applyBorder="1" applyAlignment="1">
      <alignment horizontal="center" vertical="center"/>
    </xf>
    <xf numFmtId="14" fontId="23" fillId="40" borderId="36" xfId="0" applyNumberFormat="1" applyFont="1" applyFill="1" applyBorder="1" applyAlignment="1">
      <alignment horizontal="center" vertical="center"/>
    </xf>
    <xf numFmtId="14" fontId="23" fillId="40" borderId="34" xfId="0" applyNumberFormat="1" applyFont="1" applyFill="1" applyBorder="1" applyAlignment="1">
      <alignment horizontal="center" vertical="center" wrapText="1"/>
    </xf>
    <xf numFmtId="14" fontId="23" fillId="40" borderId="21" xfId="0" applyNumberFormat="1" applyFont="1" applyFill="1" applyBorder="1" applyAlignment="1">
      <alignment horizontal="center" vertical="center" wrapText="1"/>
    </xf>
    <xf numFmtId="0" fontId="23" fillId="40" borderId="4" xfId="0" applyFont="1" applyFill="1" applyBorder="1" applyAlignment="1">
      <alignment horizontal="center" vertical="center"/>
    </xf>
    <xf numFmtId="0" fontId="23" fillId="40" borderId="1" xfId="0" applyFont="1" applyFill="1" applyBorder="1" applyAlignment="1">
      <alignment horizontal="center" vertical="center"/>
    </xf>
    <xf numFmtId="0" fontId="29" fillId="40" borderId="43" xfId="0" applyFont="1" applyFill="1" applyBorder="1" applyAlignment="1">
      <alignment horizontal="center" vertical="center" wrapText="1"/>
    </xf>
    <xf numFmtId="0" fontId="29" fillId="40" borderId="31" xfId="0" applyFont="1" applyFill="1" applyBorder="1" applyAlignment="1">
      <alignment horizontal="center" vertical="center" wrapText="1"/>
    </xf>
    <xf numFmtId="0" fontId="29" fillId="40" borderId="37" xfId="0" applyFont="1" applyFill="1" applyBorder="1" applyAlignment="1">
      <alignment horizontal="center" vertical="center" wrapText="1"/>
    </xf>
    <xf numFmtId="0" fontId="23" fillId="40" borderId="6" xfId="0" applyFont="1" applyFill="1" applyBorder="1" applyAlignment="1">
      <alignment horizontal="center" vertical="center"/>
    </xf>
    <xf numFmtId="0" fontId="23" fillId="40" borderId="9" xfId="0" applyFont="1" applyFill="1" applyBorder="1" applyAlignment="1">
      <alignment horizontal="center" vertical="center"/>
    </xf>
    <xf numFmtId="0" fontId="23" fillId="40" borderId="24" xfId="0" applyFont="1" applyFill="1" applyBorder="1" applyAlignment="1">
      <alignment horizontal="center" vertical="center"/>
    </xf>
    <xf numFmtId="0" fontId="23" fillId="40" borderId="31" xfId="0" applyFont="1" applyFill="1" applyBorder="1" applyAlignment="1">
      <alignment horizontal="center" vertical="center"/>
    </xf>
    <xf numFmtId="0" fontId="23" fillId="40" borderId="22" xfId="0" applyFont="1" applyFill="1" applyBorder="1" applyAlignment="1">
      <alignment horizontal="center" vertical="center"/>
    </xf>
    <xf numFmtId="0" fontId="23" fillId="40" borderId="3" xfId="0" applyFont="1" applyFill="1" applyBorder="1" applyAlignment="1">
      <alignment horizontal="center" vertical="center" wrapText="1"/>
    </xf>
    <xf numFmtId="0" fontId="23" fillId="40" borderId="5" xfId="0" applyFont="1" applyFill="1" applyBorder="1" applyAlignment="1">
      <alignment horizontal="center" vertical="center" wrapText="1"/>
    </xf>
    <xf numFmtId="0" fontId="23" fillId="40" borderId="2" xfId="0" applyFont="1" applyFill="1" applyBorder="1" applyAlignment="1">
      <alignment horizontal="center" vertical="center" wrapText="1"/>
    </xf>
    <xf numFmtId="0" fontId="23" fillId="40" borderId="8" xfId="0" applyFont="1" applyFill="1" applyBorder="1" applyAlignment="1">
      <alignment horizontal="center" vertical="center" wrapText="1"/>
    </xf>
    <xf numFmtId="0" fontId="23" fillId="40" borderId="4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center" wrapText="1"/>
    </xf>
    <xf numFmtId="0" fontId="34" fillId="3" borderId="29" xfId="0" applyFont="1" applyFill="1" applyBorder="1" applyAlignment="1">
      <alignment horizontal="center" wrapText="1"/>
    </xf>
    <xf numFmtId="0" fontId="29" fillId="40" borderId="8" xfId="0" applyFont="1" applyFill="1" applyBorder="1" applyAlignment="1">
      <alignment horizontal="center"/>
    </xf>
    <xf numFmtId="0" fontId="29" fillId="40" borderId="3" xfId="0" applyFont="1" applyFill="1" applyBorder="1" applyAlignment="1">
      <alignment horizontal="center"/>
    </xf>
    <xf numFmtId="0" fontId="29" fillId="0" borderId="1" xfId="0" applyFont="1" applyBorder="1" applyAlignment="1">
      <alignment horizontal="right" wrapText="1"/>
    </xf>
    <xf numFmtId="0" fontId="29" fillId="0" borderId="23" xfId="0" applyFont="1" applyBorder="1" applyAlignment="1">
      <alignment horizontal="center" wrapText="1"/>
    </xf>
    <xf numFmtId="0" fontId="29" fillId="0" borderId="0" xfId="0" applyFont="1" applyBorder="1" applyAlignment="1">
      <alignment horizontal="center"/>
    </xf>
    <xf numFmtId="0" fontId="29" fillId="0" borderId="0" xfId="0" applyFont="1" applyBorder="1" applyAlignment="1">
      <alignment horizontal="center" wrapText="1"/>
    </xf>
    <xf numFmtId="0" fontId="29" fillId="0" borderId="29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/>
    </xf>
    <xf numFmtId="0" fontId="29" fillId="0" borderId="0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wrapText="1"/>
    </xf>
    <xf numFmtId="0" fontId="29" fillId="0" borderId="2" xfId="0" applyFont="1" applyBorder="1" applyAlignment="1">
      <alignment horizontal="center" vertical="center" wrapText="1"/>
    </xf>
    <xf numFmtId="0" fontId="29" fillId="0" borderId="3" xfId="0" applyFont="1" applyBorder="1" applyAlignment="1">
      <alignment horizontal="center" vertical="center" wrapText="1"/>
    </xf>
    <xf numFmtId="0" fontId="53" fillId="0" borderId="0" xfId="0" applyFont="1" applyAlignment="1">
      <alignment horizontal="left"/>
    </xf>
    <xf numFmtId="0" fontId="39" fillId="0" borderId="29" xfId="0" applyFont="1" applyBorder="1" applyAlignment="1">
      <alignment horizontal="center" wrapText="1"/>
    </xf>
    <xf numFmtId="0" fontId="29" fillId="0" borderId="29" xfId="0" applyFont="1" applyBorder="1" applyAlignment="1">
      <alignment horizontal="center"/>
    </xf>
    <xf numFmtId="0" fontId="29" fillId="40" borderId="2" xfId="0" applyFont="1" applyFill="1" applyBorder="1" applyAlignment="1">
      <alignment horizontal="center" vertical="center"/>
    </xf>
    <xf numFmtId="0" fontId="29" fillId="40" borderId="8" xfId="0" applyFont="1" applyFill="1" applyBorder="1" applyAlignment="1">
      <alignment horizontal="center" vertical="center"/>
    </xf>
    <xf numFmtId="0" fontId="29" fillId="40" borderId="3" xfId="0" applyFont="1" applyFill="1" applyBorder="1" applyAlignment="1">
      <alignment horizontal="center" vertical="center"/>
    </xf>
    <xf numFmtId="0" fontId="29" fillId="40" borderId="4" xfId="0" applyFont="1" applyFill="1" applyBorder="1" applyAlignment="1">
      <alignment horizontal="center" vertical="center" wrapText="1"/>
    </xf>
    <xf numFmtId="37" fontId="0" fillId="0" borderId="0" xfId="0" applyNumberFormat="1"/>
  </cellXfs>
  <cellStyles count="48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2" builtinId="3"/>
    <cellStyle name="Comma 2" xfId="44" xr:uid="{9499E6E4-4910-4A0C-A02A-950FBD404BFB}"/>
    <cellStyle name="Currency" xfId="47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" xfId="45" builtinId="8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 2 2" xfId="46" xr:uid="{FB8CAFA6-22F4-4F8D-8435-335629BDE3EB}"/>
    <cellStyle name="Note" xfId="17" builtinId="10" customBuiltin="1"/>
    <cellStyle name="Output" xfId="12" builtinId="21" customBuiltin="1"/>
    <cellStyle name="Percent" xfId="1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9" defaultPivotStyle="PivotStyleLight16"/>
  <colors>
    <mruColors>
      <color rgb="FF061F4A"/>
      <color rgb="FF105BD8"/>
      <color rgb="FFDD361C"/>
      <color rgb="FFAEB0B5"/>
      <color rgb="FF0B3D91"/>
      <color rgb="FF212121"/>
      <color rgb="FF323A45"/>
      <color rgb="FF00422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r>
              <a:rPr lang="en-US"/>
              <a:t>Current Operational Service Demand 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872700309624417"/>
          <c:y val="0.21504488742205496"/>
          <c:w val="0.80960239012676605"/>
          <c:h val="0.464737465056533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Current_Cost!$A$56</c:f>
              <c:strCache>
                <c:ptCount val="1"/>
                <c:pt idx="0">
                  <c:v>ADD Direct to Earth (DTE)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Current_Cost!$B$55</c:f>
              <c:strCache>
                <c:ptCount val="1"/>
                <c:pt idx="0">
                  <c:v>Current Demand (Minutes)</c:v>
                </c:pt>
              </c:strCache>
            </c:strRef>
          </c:cat>
          <c:val>
            <c:numRef>
              <c:f>Current_Cost!$B$56</c:f>
              <c:numCache>
                <c:formatCode>_(* #,##0_);_(* \(#,##0\);_(* "-"??_);_(@_)</c:formatCode>
                <c:ptCount val="1"/>
                <c:pt idx="0">
                  <c:v>94341.243582887691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70-49D7-B532-EB3CACA3411D}"/>
            </c:ext>
          </c:extLst>
        </c:ser>
        <c:ser>
          <c:idx val="1"/>
          <c:order val="1"/>
          <c:tx>
            <c:strRef>
              <c:f>Current_Cost!$A$57</c:f>
              <c:strCache>
                <c:ptCount val="1"/>
                <c:pt idx="0">
                  <c:v>ADD Space Relay (SR)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Current_Cost!$B$55</c:f>
              <c:strCache>
                <c:ptCount val="1"/>
                <c:pt idx="0">
                  <c:v>Current Demand (Minutes)</c:v>
                </c:pt>
              </c:strCache>
            </c:strRef>
          </c:cat>
          <c:val>
            <c:numRef>
              <c:f>Current_Cost!$B$57</c:f>
              <c:numCache>
                <c:formatCode>_(* #,##0_);_(* \(#,##0\);_(* "-"??_);_(@_)</c:formatCode>
                <c:ptCount val="1"/>
                <c:pt idx="0">
                  <c:v>175946.17738095237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70-49D7-B532-EB3CACA3411D}"/>
            </c:ext>
          </c:extLst>
        </c:ser>
        <c:ser>
          <c:idx val="2"/>
          <c:order val="2"/>
          <c:tx>
            <c:strRef>
              <c:f>Current_Cost!$A$58</c:f>
              <c:strCache>
                <c:ptCount val="1"/>
                <c:pt idx="0">
                  <c:v>ADD Launch Events (LE)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Current_Cost!$B$55</c:f>
              <c:strCache>
                <c:ptCount val="1"/>
                <c:pt idx="0">
                  <c:v>Current Demand (Minutes)</c:v>
                </c:pt>
              </c:strCache>
            </c:strRef>
          </c:cat>
          <c:val>
            <c:numRef>
              <c:f>Current_Cost!$B$58</c:f>
              <c:numCache>
                <c:formatCode>_(* #,##0_);_(* \(#,##0\);_(* "-"??_);_(@_)</c:formatCode>
                <c:ptCount val="1"/>
                <c:pt idx="0">
                  <c:v>836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670-49D7-B532-EB3CACA3411D}"/>
            </c:ext>
          </c:extLst>
        </c:ser>
        <c:ser>
          <c:idx val="3"/>
          <c:order val="3"/>
          <c:tx>
            <c:strRef>
              <c:f>Current_Cost!$A$59</c:f>
              <c:strCache>
                <c:ptCount val="1"/>
                <c:pt idx="0">
                  <c:v>FDDN Direct to Earth (DTE)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Current_Cost!$B$55</c:f>
              <c:strCache>
                <c:ptCount val="1"/>
                <c:pt idx="0">
                  <c:v>Current Demand (Minutes)</c:v>
                </c:pt>
              </c:strCache>
            </c:strRef>
          </c:cat>
          <c:val>
            <c:numRef>
              <c:f>Current_Cost!$B$59</c:f>
              <c:numCache>
                <c:formatCode>_(* #,##0_);_(* \(#,##0\);_(* "-"??_);_(@_)</c:formatCode>
                <c:ptCount val="1"/>
                <c:pt idx="0">
                  <c:v>94341.243582887691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670-49D7-B532-EB3CACA3411D}"/>
            </c:ext>
          </c:extLst>
        </c:ser>
        <c:ser>
          <c:idx val="4"/>
          <c:order val="4"/>
          <c:tx>
            <c:strRef>
              <c:f>Current_Cost!$A$60</c:f>
              <c:strCache>
                <c:ptCount val="1"/>
                <c:pt idx="0">
                  <c:v>FDDN Space Relay (SR)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Current_Cost!$B$55</c:f>
              <c:strCache>
                <c:ptCount val="1"/>
                <c:pt idx="0">
                  <c:v>Current Demand (Minutes)</c:v>
                </c:pt>
              </c:strCache>
            </c:strRef>
          </c:cat>
          <c:val>
            <c:numRef>
              <c:f>Current_Cost!$B$60</c:f>
              <c:numCache>
                <c:formatCode>_(* #,##0_);_(* \(#,##0\);_(* "-"??_);_(@_)</c:formatCode>
                <c:ptCount val="1"/>
                <c:pt idx="0">
                  <c:v>175946.17738095237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670-49D7-B532-EB3CACA3411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149951456"/>
        <c:axId val="1149952704"/>
      </c:barChart>
      <c:catAx>
        <c:axId val="1149951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en-US"/>
          </a:p>
        </c:txPr>
        <c:crossAx val="1149952704"/>
        <c:crosses val="autoZero"/>
        <c:auto val="1"/>
        <c:lblAlgn val="ctr"/>
        <c:lblOffset val="100"/>
        <c:noMultiLvlLbl val="0"/>
      </c:catAx>
      <c:valAx>
        <c:axId val="114995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r>
                  <a:rPr lang="en-US"/>
                  <a:t>Total Minutes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Helvetica" panose="020B0604020202020204" pitchFamily="34" charset="0"/>
                  <a:ea typeface="+mn-ea"/>
                  <a:cs typeface="Helvetica" panose="020B0604020202020204" pitchFamily="34" charset="0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en-US"/>
          </a:p>
        </c:txPr>
        <c:crossAx val="1149951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84788992298873722"/>
          <c:w val="1"/>
          <c:h val="0.1494558789883851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>
          <a:latin typeface="Helvetica" panose="020B0604020202020204" pitchFamily="34" charset="0"/>
          <a:cs typeface="Helvetica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r>
              <a:rPr lang="en-US"/>
              <a:t>Current Operational Service Cost 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785254399680421"/>
          <c:y val="0.22704413759428396"/>
          <c:w val="0.79034801089816209"/>
          <c:h val="0.481263547399369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Current_Cost!$A$68</c:f>
              <c:strCache>
                <c:ptCount val="1"/>
                <c:pt idx="0">
                  <c:v>ADD Direct to Earth (DTE)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Current_Cost!$B$67</c:f>
              <c:strCache>
                <c:ptCount val="1"/>
                <c:pt idx="0">
                  <c:v>Current Cost (US$)</c:v>
                </c:pt>
              </c:strCache>
            </c:strRef>
          </c:cat>
          <c:val>
            <c:numRef>
              <c:f>Current_Cost!$B$68</c:f>
              <c:numCache>
                <c:formatCode>_("$"* #,##0_);_("$"* \(#,##0\);_("$"* "-"??_);_(@_)</c:formatCode>
                <c:ptCount val="1"/>
                <c:pt idx="0">
                  <c:v>1792483.6280748663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6F-4D06-B2FA-017D38748473}"/>
            </c:ext>
          </c:extLst>
        </c:ser>
        <c:ser>
          <c:idx val="1"/>
          <c:order val="1"/>
          <c:tx>
            <c:strRef>
              <c:f>Current_Cost!$A$69</c:f>
              <c:strCache>
                <c:ptCount val="1"/>
                <c:pt idx="0">
                  <c:v>ADD Space Relay (SR)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Current_Cost!$B$67</c:f>
              <c:strCache>
                <c:ptCount val="1"/>
                <c:pt idx="0">
                  <c:v>Current Cost (US$)</c:v>
                </c:pt>
              </c:strCache>
            </c:strRef>
          </c:cat>
          <c:val>
            <c:numRef>
              <c:f>Current_Cost!$B$69</c:f>
              <c:numCache>
                <c:formatCode>_("$"* #,##0_);_("$"* \(#,##0\);_("$"* "-"??_);_(@_)</c:formatCode>
                <c:ptCount val="1"/>
                <c:pt idx="0">
                  <c:v>16011102.141666666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6F-4D06-B2FA-017D38748473}"/>
            </c:ext>
          </c:extLst>
        </c:ser>
        <c:ser>
          <c:idx val="2"/>
          <c:order val="2"/>
          <c:tx>
            <c:strRef>
              <c:f>Current_Cost!$A$70</c:f>
              <c:strCache>
                <c:ptCount val="1"/>
                <c:pt idx="0">
                  <c:v>ADD Launch Events (LE)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Current_Cost!$B$67</c:f>
              <c:strCache>
                <c:ptCount val="1"/>
                <c:pt idx="0">
                  <c:v>Current Cost (US$)</c:v>
                </c:pt>
              </c:strCache>
            </c:strRef>
          </c:cat>
          <c:val>
            <c:numRef>
              <c:f>Current_Cost!$B$70</c:f>
              <c:numCache>
                <c:formatCode>_("$"* #,##0_);_("$"* \(#,##0\);_("$"* "-"??_);_(@_)</c:formatCode>
                <c:ptCount val="1"/>
                <c:pt idx="0">
                  <c:v>76076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66F-4D06-B2FA-017D38748473}"/>
            </c:ext>
          </c:extLst>
        </c:ser>
        <c:ser>
          <c:idx val="3"/>
          <c:order val="3"/>
          <c:tx>
            <c:strRef>
              <c:f>Current_Cost!$A$71</c:f>
              <c:strCache>
                <c:ptCount val="1"/>
                <c:pt idx="0">
                  <c:v>FDDN Direct to Earth (DTE)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Current_Cost!$B$67</c:f>
              <c:strCache>
                <c:ptCount val="1"/>
                <c:pt idx="0">
                  <c:v>Current Cost (US$)</c:v>
                </c:pt>
              </c:strCache>
            </c:strRef>
          </c:cat>
          <c:val>
            <c:numRef>
              <c:f>Current_Cost!$B$71</c:f>
              <c:numCache>
                <c:formatCode>_("$"* #,##0_);_("$"* \(#,##0\);_("$"* "-"??_);_(@_)</c:formatCode>
                <c:ptCount val="1"/>
                <c:pt idx="0">
                  <c:v>1792483.6280748663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66F-4D06-B2FA-017D38748473}"/>
            </c:ext>
          </c:extLst>
        </c:ser>
        <c:ser>
          <c:idx val="4"/>
          <c:order val="4"/>
          <c:tx>
            <c:strRef>
              <c:f>Current_Cost!$A$72</c:f>
              <c:strCache>
                <c:ptCount val="1"/>
                <c:pt idx="0">
                  <c:v>FDDN Space Relay (SR)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Current_Cost!$B$67</c:f>
              <c:strCache>
                <c:ptCount val="1"/>
                <c:pt idx="0">
                  <c:v>Current Cost (US$)</c:v>
                </c:pt>
              </c:strCache>
            </c:strRef>
          </c:cat>
          <c:val>
            <c:numRef>
              <c:f>Current_Cost!$B$72</c:f>
              <c:numCache>
                <c:formatCode>_("$"* #,##0_);_("$"* \(#,##0\);_("$"* "-"??_);_(@_)</c:formatCode>
                <c:ptCount val="1"/>
                <c:pt idx="0">
                  <c:v>16011102.141666666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66F-4D06-B2FA-017D3874847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149951456"/>
        <c:axId val="1149952704"/>
      </c:barChart>
      <c:catAx>
        <c:axId val="1149951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en-US"/>
          </a:p>
        </c:txPr>
        <c:crossAx val="1149952704"/>
        <c:crosses val="autoZero"/>
        <c:auto val="1"/>
        <c:lblAlgn val="ctr"/>
        <c:lblOffset val="100"/>
        <c:noMultiLvlLbl val="0"/>
      </c:catAx>
      <c:valAx>
        <c:axId val="114995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r>
                  <a:rPr lang="en-US"/>
                  <a:t>Cost (US$)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Helvetica" panose="020B0604020202020204" pitchFamily="34" charset="0"/>
                  <a:ea typeface="+mn-ea"/>
                  <a:cs typeface="Helvetica" panose="020B0604020202020204" pitchFamily="34" charset="0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en-US"/>
          </a:p>
        </c:txPr>
        <c:crossAx val="1149951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7193838324036702E-3"/>
          <c:y val="0.84827031613359571"/>
          <c:w val="0.99323009539060281"/>
          <c:h val="0.133329143069089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Helvetica" panose="020B0604020202020204" pitchFamily="34" charset="0"/>
          <a:cs typeface="Helvetica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r>
              <a:rPr lang="en-US"/>
              <a:t>Future Annual Service Demand (in Minutes)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Future_Cost!$A$79</c:f>
              <c:strCache>
                <c:ptCount val="1"/>
                <c:pt idx="0">
                  <c:v>ADD Direct to Earth (DTE)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Future_Cost!$B$78:$D$78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Future_Cost!$B$79:$D$79</c:f>
              <c:numCache>
                <c:formatCode>#,##0_);\(#,##0\)</c:formatCode>
                <c:ptCount val="3"/>
                <c:pt idx="0">
                  <c:v>788579.02201426018</c:v>
                </c:pt>
                <c:pt idx="1">
                  <c:v>1465546.4014705883</c:v>
                </c:pt>
                <c:pt idx="2">
                  <c:v>2567479.0987967914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60-4514-AF59-F0B339654A77}"/>
            </c:ext>
          </c:extLst>
        </c:ser>
        <c:ser>
          <c:idx val="1"/>
          <c:order val="1"/>
          <c:tx>
            <c:strRef>
              <c:f>Future_Cost!$A$80</c:f>
              <c:strCache>
                <c:ptCount val="1"/>
                <c:pt idx="0">
                  <c:v>ADD Space Relay (SR)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Future_Cost!$B$78:$D$78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Future_Cost!$B$80:$D$80</c:f>
              <c:numCache>
                <c:formatCode>#,##0_);\(#,##0\)</c:formatCode>
                <c:ptCount val="3"/>
                <c:pt idx="0">
                  <c:v>2498438.7738095238</c:v>
                </c:pt>
                <c:pt idx="1">
                  <c:v>5496405.9023809517</c:v>
                </c:pt>
                <c:pt idx="2">
                  <c:v>9330795.2023809515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60-4514-AF59-F0B339654A77}"/>
            </c:ext>
          </c:extLst>
        </c:ser>
        <c:ser>
          <c:idx val="2"/>
          <c:order val="2"/>
          <c:tx>
            <c:strRef>
              <c:f>Future_Cost!$A$81</c:f>
              <c:strCache>
                <c:ptCount val="1"/>
                <c:pt idx="0">
                  <c:v>ADD Launch Events (LE)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Future_Cost!$B$78:$D$78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Future_Cost!$B$81:$D$81</c:f>
              <c:numCache>
                <c:formatCode>#,##0_);\(#,##0\)</c:formatCode>
                <c:ptCount val="3"/>
                <c:pt idx="0">
                  <c:v>105541.59843638947</c:v>
                </c:pt>
                <c:pt idx="1">
                  <c:v>158312.3976545842</c:v>
                </c:pt>
                <c:pt idx="2">
                  <c:v>211083.19687277894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60-4514-AF59-F0B339654A77}"/>
            </c:ext>
          </c:extLst>
        </c:ser>
        <c:ser>
          <c:idx val="3"/>
          <c:order val="3"/>
          <c:tx>
            <c:strRef>
              <c:f>Future_Cost!$A$82</c:f>
              <c:strCache>
                <c:ptCount val="1"/>
                <c:pt idx="0">
                  <c:v>FDDN Direct to Earth (DTE)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Future_Cost!$B$78:$D$78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Future_Cost!$B$82:$D$82</c:f>
              <c:numCache>
                <c:formatCode>#,##0_);\(#,##0\)</c:formatCode>
                <c:ptCount val="3"/>
                <c:pt idx="0">
                  <c:v>696362.06131907308</c:v>
                </c:pt>
                <c:pt idx="1">
                  <c:v>1171587.4080213904</c:v>
                </c:pt>
                <c:pt idx="2">
                  <c:v>2273520.1053475933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60-4514-AF59-F0B339654A77}"/>
            </c:ext>
          </c:extLst>
        </c:ser>
        <c:ser>
          <c:idx val="4"/>
          <c:order val="4"/>
          <c:tx>
            <c:strRef>
              <c:f>Future_Cost!$A$83</c:f>
              <c:strCache>
                <c:ptCount val="1"/>
                <c:pt idx="0">
                  <c:v>FDDN Space Relay (SR)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Future_Cost!$B$78:$D$78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Future_Cost!$B$83:$D$83</c:f>
              <c:numCache>
                <c:formatCode>#,##0_);\(#,##0\)</c:formatCode>
                <c:ptCount val="3"/>
                <c:pt idx="0">
                  <c:v>1665724.0976190476</c:v>
                </c:pt>
                <c:pt idx="1">
                  <c:v>4494508.4428571425</c:v>
                </c:pt>
                <c:pt idx="2">
                  <c:v>8329006.9928571424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360-4514-AF59-F0B339654A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49951456"/>
        <c:axId val="1149952704"/>
      </c:barChart>
      <c:lineChart>
        <c:grouping val="standard"/>
        <c:varyColors val="0"/>
        <c:ser>
          <c:idx val="5"/>
          <c:order val="5"/>
          <c:tx>
            <c:strRef>
              <c:f>Future_Cost!$A$84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Future_Cost!$B$78:$D$78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Future_Cost!$B$84:$D$84</c:f>
              <c:numCache>
                <c:formatCode>#,##0_);\(#,##0\)</c:formatCode>
                <c:ptCount val="3"/>
                <c:pt idx="0">
                  <c:v>5754645.5531982947</c:v>
                </c:pt>
                <c:pt idx="1">
                  <c:v>12786360.552384658</c:v>
                </c:pt>
                <c:pt idx="2">
                  <c:v>22711884.596255258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EF-4EED-91D0-8D11F3FC03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9951456"/>
        <c:axId val="1149952704"/>
      </c:lineChart>
      <c:catAx>
        <c:axId val="1149951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en-US"/>
          </a:p>
        </c:txPr>
        <c:crossAx val="1149952704"/>
        <c:crosses val="autoZero"/>
        <c:auto val="1"/>
        <c:lblAlgn val="ctr"/>
        <c:lblOffset val="100"/>
        <c:noMultiLvlLbl val="0"/>
      </c:catAx>
      <c:valAx>
        <c:axId val="114995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r>
                  <a:rPr lang="en-US"/>
                  <a:t>Demand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Helvetica" panose="020B0604020202020204" pitchFamily="34" charset="0"/>
                  <a:ea typeface="+mn-ea"/>
                  <a:cs typeface="Helvetica" panose="020B0604020202020204" pitchFamily="34" charset="0"/>
                </a:defRPr>
              </a:pPr>
              <a:endParaRPr lang="en-US"/>
            </a:p>
          </c:txPr>
        </c:title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en-US"/>
          </a:p>
        </c:txPr>
        <c:crossAx val="1149951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5"/>
        <c:delete val="1"/>
      </c:legendEntry>
      <c:layout>
        <c:manualLayout>
          <c:xMode val="edge"/>
          <c:yMode val="edge"/>
          <c:x val="0"/>
          <c:y val="0.84788952517298977"/>
          <c:w val="0.99880752642509341"/>
          <c:h val="0.1521104197273351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Helvetica" panose="020B0604020202020204" pitchFamily="34" charset="0"/>
          <a:cs typeface="Helvetica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r>
              <a:rPr lang="en-US"/>
              <a:t>Future Annual Service Cost (in $US)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Future_Cost!$A$91</c:f>
              <c:strCache>
                <c:ptCount val="1"/>
                <c:pt idx="0">
                  <c:v>ADD Direct to Earth (DTE)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Future_Cost!$B$90:$D$90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Future_Cost!$B$91:$D$91</c:f>
              <c:numCache>
                <c:formatCode>"$"#,##0</c:formatCode>
                <c:ptCount val="3"/>
                <c:pt idx="0">
                  <c:v>14983001.418270944</c:v>
                </c:pt>
                <c:pt idx="1">
                  <c:v>27845381.627941176</c:v>
                </c:pt>
                <c:pt idx="2">
                  <c:v>48782102.877139039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60-4514-AF59-F0B339654A77}"/>
            </c:ext>
          </c:extLst>
        </c:ser>
        <c:ser>
          <c:idx val="1"/>
          <c:order val="1"/>
          <c:tx>
            <c:strRef>
              <c:f>Future_Cost!$A$92</c:f>
              <c:strCache>
                <c:ptCount val="1"/>
                <c:pt idx="0">
                  <c:v>ADD Space Relay (SR)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Future_Cost!$B$90:$D$90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Future_Cost!$B$92:$D$92</c:f>
              <c:numCache>
                <c:formatCode>"$"#,##0</c:formatCode>
                <c:ptCount val="3"/>
                <c:pt idx="0">
                  <c:v>129918816.23809524</c:v>
                </c:pt>
                <c:pt idx="1">
                  <c:v>285813106.92380953</c:v>
                </c:pt>
                <c:pt idx="2">
                  <c:v>485201350.52380949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60-4514-AF59-F0B339654A77}"/>
            </c:ext>
          </c:extLst>
        </c:ser>
        <c:ser>
          <c:idx val="2"/>
          <c:order val="2"/>
          <c:tx>
            <c:strRef>
              <c:f>Future_Cost!$A$93</c:f>
              <c:strCache>
                <c:ptCount val="1"/>
                <c:pt idx="0">
                  <c:v>ADD Launch Events (LE)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Future_Cost!$B$90:$D$90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Future_Cost!$B$93:$D$93</c:f>
              <c:numCache>
                <c:formatCode>"$"#,##0</c:formatCode>
                <c:ptCount val="3"/>
                <c:pt idx="0">
                  <c:v>5488163.1186922528</c:v>
                </c:pt>
                <c:pt idx="1">
                  <c:v>8232244.6780383782</c:v>
                </c:pt>
                <c:pt idx="2">
                  <c:v>10976326.237384506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60-4514-AF59-F0B339654A77}"/>
            </c:ext>
          </c:extLst>
        </c:ser>
        <c:ser>
          <c:idx val="3"/>
          <c:order val="3"/>
          <c:tx>
            <c:strRef>
              <c:f>Future_Cost!$A$94</c:f>
              <c:strCache>
                <c:ptCount val="1"/>
                <c:pt idx="0">
                  <c:v>FDDN Direct to Earth (DTE)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Future_Cost!$B$90:$D$90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Future_Cost!$B$94:$D$94</c:f>
              <c:numCache>
                <c:formatCode>"$"#,##0</c:formatCode>
                <c:ptCount val="3"/>
                <c:pt idx="0">
                  <c:v>13230879.165062388</c:v>
                </c:pt>
                <c:pt idx="1">
                  <c:v>22260160.752406418</c:v>
                </c:pt>
                <c:pt idx="2">
                  <c:v>43196882.001604274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60-4514-AF59-F0B339654A77}"/>
            </c:ext>
          </c:extLst>
        </c:ser>
        <c:ser>
          <c:idx val="4"/>
          <c:order val="4"/>
          <c:tx>
            <c:strRef>
              <c:f>Future_Cost!$A$95</c:f>
              <c:strCache>
                <c:ptCount val="1"/>
                <c:pt idx="0">
                  <c:v>FDDN Space Relay (SR)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Future_Cost!$B$90:$D$90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Future_Cost!$B$95:$D$95</c:f>
              <c:numCache>
                <c:formatCode>"$"#,##0</c:formatCode>
                <c:ptCount val="3"/>
                <c:pt idx="0">
                  <c:v>86617653.076190487</c:v>
                </c:pt>
                <c:pt idx="1">
                  <c:v>233714439.0285714</c:v>
                </c:pt>
                <c:pt idx="2">
                  <c:v>433108363.62857145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360-4514-AF59-F0B339654A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49951456"/>
        <c:axId val="1149952704"/>
      </c:barChart>
      <c:lineChart>
        <c:grouping val="standard"/>
        <c:varyColors val="0"/>
        <c:ser>
          <c:idx val="5"/>
          <c:order val="5"/>
          <c:tx>
            <c:strRef>
              <c:f>Future_Cost!$A$96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Future_Cost!$B$90:$D$90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Future_Cost!$B$96:$D$96</c:f>
              <c:numCache>
                <c:formatCode>"$"#,##0</c:formatCode>
                <c:ptCount val="3"/>
                <c:pt idx="0">
                  <c:v>250238513.01631129</c:v>
                </c:pt>
                <c:pt idx="1">
                  <c:v>577865333.01076686</c:v>
                </c:pt>
                <c:pt idx="2">
                  <c:v>1021265025.2685089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EF-4EED-91D0-8D11F3FC03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9951456"/>
        <c:axId val="1149952704"/>
      </c:lineChart>
      <c:catAx>
        <c:axId val="1149951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en-US"/>
          </a:p>
        </c:txPr>
        <c:crossAx val="1149952704"/>
        <c:crosses val="autoZero"/>
        <c:auto val="1"/>
        <c:lblAlgn val="ctr"/>
        <c:lblOffset val="100"/>
        <c:noMultiLvlLbl val="0"/>
      </c:catAx>
      <c:valAx>
        <c:axId val="114995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r>
                  <a:rPr lang="en-US"/>
                  <a:t>Cost ($US)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Helvetica" panose="020B0604020202020204" pitchFamily="34" charset="0"/>
                  <a:ea typeface="+mn-ea"/>
                  <a:cs typeface="Helvetica" panose="020B0604020202020204" pitchFamily="34" charset="0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en-US"/>
          </a:p>
        </c:txPr>
        <c:crossAx val="1149951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5"/>
        <c:delete val="1"/>
      </c:legendEntry>
      <c:layout>
        <c:manualLayout>
          <c:xMode val="edge"/>
          <c:yMode val="edge"/>
          <c:x val="0"/>
          <c:y val="0.84788992298873722"/>
          <c:w val="0.99880752642509341"/>
          <c:h val="0.1521104197273351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Helvetica" panose="020B0604020202020204" pitchFamily="34" charset="0"/>
          <a:cs typeface="Helvetica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Cost of Production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'Costs - DTE'!$AF$2</c:f>
              <c:strCache>
                <c:ptCount val="1"/>
                <c:pt idx="0">
                  <c:v>Fixed cost ($m)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'Costs - DTE'!$AC$4:$AC$28</c:f>
              <c:numCache>
                <c:formatCode>_(* #,##0_);_(* \(#,##0\);_(* "-"??_);_(@_)</c:formatCode>
                <c:ptCount val="25"/>
                <c:pt idx="0">
                  <c:v>525600</c:v>
                </c:pt>
                <c:pt idx="1">
                  <c:v>1051200</c:v>
                </c:pt>
                <c:pt idx="2">
                  <c:v>1576800</c:v>
                </c:pt>
                <c:pt idx="3">
                  <c:v>2102400</c:v>
                </c:pt>
                <c:pt idx="4">
                  <c:v>2628000</c:v>
                </c:pt>
                <c:pt idx="5">
                  <c:v>3153600</c:v>
                </c:pt>
                <c:pt idx="6">
                  <c:v>3679200</c:v>
                </c:pt>
                <c:pt idx="7">
                  <c:v>4204800</c:v>
                </c:pt>
                <c:pt idx="8">
                  <c:v>4730400</c:v>
                </c:pt>
                <c:pt idx="9">
                  <c:v>5256000</c:v>
                </c:pt>
                <c:pt idx="10">
                  <c:v>5781600</c:v>
                </c:pt>
                <c:pt idx="11">
                  <c:v>6307200</c:v>
                </c:pt>
                <c:pt idx="12">
                  <c:v>6832800</c:v>
                </c:pt>
                <c:pt idx="13">
                  <c:v>7358400</c:v>
                </c:pt>
                <c:pt idx="14">
                  <c:v>7884000</c:v>
                </c:pt>
                <c:pt idx="15">
                  <c:v>8409600</c:v>
                </c:pt>
                <c:pt idx="16">
                  <c:v>8935200</c:v>
                </c:pt>
                <c:pt idx="17">
                  <c:v>9460800</c:v>
                </c:pt>
                <c:pt idx="18">
                  <c:v>9986400</c:v>
                </c:pt>
                <c:pt idx="19">
                  <c:v>10512000</c:v>
                </c:pt>
                <c:pt idx="20">
                  <c:v>11037600</c:v>
                </c:pt>
                <c:pt idx="21">
                  <c:v>11563200</c:v>
                </c:pt>
                <c:pt idx="22">
                  <c:v>12088800</c:v>
                </c:pt>
                <c:pt idx="23">
                  <c:v>12614400</c:v>
                </c:pt>
                <c:pt idx="24">
                  <c:v>13140000</c:v>
                </c:pt>
              </c:numCache>
            </c:numRef>
          </c:cat>
          <c:val>
            <c:numRef>
              <c:f>'Costs - DTE'!$AF$4:$AF$28</c:f>
              <c:numCache>
                <c:formatCode>_(* #,##0_);_(* \(#,##0\);_(* "-"??_);_(@_)</c:formatCode>
                <c:ptCount val="25"/>
                <c:pt idx="0">
                  <c:v>109.11184486104776</c:v>
                </c:pt>
                <c:pt idx="1">
                  <c:v>109.11184486104776</c:v>
                </c:pt>
                <c:pt idx="2">
                  <c:v>109.11184486104776</c:v>
                </c:pt>
                <c:pt idx="3">
                  <c:v>109.11184486104776</c:v>
                </c:pt>
                <c:pt idx="4">
                  <c:v>109.11184486104776</c:v>
                </c:pt>
                <c:pt idx="5">
                  <c:v>109.11184486104776</c:v>
                </c:pt>
                <c:pt idx="6">
                  <c:v>109.11184486104776</c:v>
                </c:pt>
                <c:pt idx="7">
                  <c:v>109.11184486104776</c:v>
                </c:pt>
                <c:pt idx="8">
                  <c:v>109.11184486104776</c:v>
                </c:pt>
                <c:pt idx="9">
                  <c:v>109.11184486104776</c:v>
                </c:pt>
                <c:pt idx="10">
                  <c:v>109.11184486104776</c:v>
                </c:pt>
                <c:pt idx="11">
                  <c:v>109.11184486104776</c:v>
                </c:pt>
                <c:pt idx="12">
                  <c:v>109.11184486104776</c:v>
                </c:pt>
                <c:pt idx="13">
                  <c:v>109.11184486104776</c:v>
                </c:pt>
                <c:pt idx="14">
                  <c:v>109.11184486104776</c:v>
                </c:pt>
                <c:pt idx="15">
                  <c:v>109.11184486104776</c:v>
                </c:pt>
                <c:pt idx="16">
                  <c:v>109.11184486104776</c:v>
                </c:pt>
                <c:pt idx="17">
                  <c:v>109.11184486104776</c:v>
                </c:pt>
                <c:pt idx="18">
                  <c:v>109.11184486104776</c:v>
                </c:pt>
                <c:pt idx="19">
                  <c:v>109.11184486104776</c:v>
                </c:pt>
                <c:pt idx="20">
                  <c:v>109.11184486104776</c:v>
                </c:pt>
                <c:pt idx="21">
                  <c:v>109.11184486104776</c:v>
                </c:pt>
                <c:pt idx="22">
                  <c:v>109.11184486104776</c:v>
                </c:pt>
                <c:pt idx="23">
                  <c:v>109.11184486104776</c:v>
                </c:pt>
                <c:pt idx="24">
                  <c:v>109.11184486104776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AC-4CAF-93F4-01F6C7B9BA1E}"/>
            </c:ext>
          </c:extLst>
        </c:ser>
        <c:ser>
          <c:idx val="2"/>
          <c:order val="2"/>
          <c:tx>
            <c:strRef>
              <c:f>'Costs - DTE'!$AG$2</c:f>
              <c:strCache>
                <c:ptCount val="1"/>
                <c:pt idx="0">
                  <c:v>Variable cost ($m)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'Costs - DTE'!$AC$4:$AC$28</c:f>
              <c:numCache>
                <c:formatCode>_(* #,##0_);_(* \(#,##0\);_(* "-"??_);_(@_)</c:formatCode>
                <c:ptCount val="25"/>
                <c:pt idx="0">
                  <c:v>525600</c:v>
                </c:pt>
                <c:pt idx="1">
                  <c:v>1051200</c:v>
                </c:pt>
                <c:pt idx="2">
                  <c:v>1576800</c:v>
                </c:pt>
                <c:pt idx="3">
                  <c:v>2102400</c:v>
                </c:pt>
                <c:pt idx="4">
                  <c:v>2628000</c:v>
                </c:pt>
                <c:pt idx="5">
                  <c:v>3153600</c:v>
                </c:pt>
                <c:pt idx="6">
                  <c:v>3679200</c:v>
                </c:pt>
                <c:pt idx="7">
                  <c:v>4204800</c:v>
                </c:pt>
                <c:pt idx="8">
                  <c:v>4730400</c:v>
                </c:pt>
                <c:pt idx="9">
                  <c:v>5256000</c:v>
                </c:pt>
                <c:pt idx="10">
                  <c:v>5781600</c:v>
                </c:pt>
                <c:pt idx="11">
                  <c:v>6307200</c:v>
                </c:pt>
                <c:pt idx="12">
                  <c:v>6832800</c:v>
                </c:pt>
                <c:pt idx="13">
                  <c:v>7358400</c:v>
                </c:pt>
                <c:pt idx="14">
                  <c:v>7884000</c:v>
                </c:pt>
                <c:pt idx="15">
                  <c:v>8409600</c:v>
                </c:pt>
                <c:pt idx="16">
                  <c:v>8935200</c:v>
                </c:pt>
                <c:pt idx="17">
                  <c:v>9460800</c:v>
                </c:pt>
                <c:pt idx="18">
                  <c:v>9986400</c:v>
                </c:pt>
                <c:pt idx="19">
                  <c:v>10512000</c:v>
                </c:pt>
                <c:pt idx="20">
                  <c:v>11037600</c:v>
                </c:pt>
                <c:pt idx="21">
                  <c:v>11563200</c:v>
                </c:pt>
                <c:pt idx="22">
                  <c:v>12088800</c:v>
                </c:pt>
                <c:pt idx="23">
                  <c:v>12614400</c:v>
                </c:pt>
                <c:pt idx="24">
                  <c:v>13140000</c:v>
                </c:pt>
              </c:numCache>
            </c:numRef>
          </c:cat>
          <c:val>
            <c:numRef>
              <c:f>'Costs - DTE'!$AG$4:$AG$28</c:f>
              <c:numCache>
                <c:formatCode>_(* #,##0_);_(* \(#,##0\);_(* "-"??_);_(@_)</c:formatCode>
                <c:ptCount val="25"/>
                <c:pt idx="0" formatCode="General">
                  <c:v>0</c:v>
                </c:pt>
                <c:pt idx="1">
                  <c:v>19.254842010290965</c:v>
                </c:pt>
                <c:pt idx="2">
                  <c:v>38.509684020581929</c:v>
                </c:pt>
                <c:pt idx="3">
                  <c:v>57.764526030872894</c:v>
                </c:pt>
                <c:pt idx="4">
                  <c:v>77.019368041163858</c:v>
                </c:pt>
                <c:pt idx="5">
                  <c:v>96.274210051454816</c:v>
                </c:pt>
                <c:pt idx="6">
                  <c:v>115.52905206174577</c:v>
                </c:pt>
                <c:pt idx="7">
                  <c:v>134.78389407203673</c:v>
                </c:pt>
                <c:pt idx="8">
                  <c:v>154.03873608232769</c:v>
                </c:pt>
                <c:pt idx="9">
                  <c:v>173.29357809261865</c:v>
                </c:pt>
                <c:pt idx="10">
                  <c:v>192.5484201029096</c:v>
                </c:pt>
                <c:pt idx="11">
                  <c:v>211.80326211320056</c:v>
                </c:pt>
                <c:pt idx="12">
                  <c:v>231.05810412349152</c:v>
                </c:pt>
                <c:pt idx="13">
                  <c:v>250.31294613378248</c:v>
                </c:pt>
                <c:pt idx="14">
                  <c:v>269.56778814407346</c:v>
                </c:pt>
                <c:pt idx="15">
                  <c:v>288.82263015436445</c:v>
                </c:pt>
                <c:pt idx="16">
                  <c:v>308.07747216465543</c:v>
                </c:pt>
                <c:pt idx="17">
                  <c:v>327.33231417494642</c:v>
                </c:pt>
                <c:pt idx="18">
                  <c:v>346.5871561852374</c:v>
                </c:pt>
                <c:pt idx="19">
                  <c:v>365.84199819552839</c:v>
                </c:pt>
                <c:pt idx="20">
                  <c:v>385.09684020581938</c:v>
                </c:pt>
                <c:pt idx="21">
                  <c:v>404.35168221611036</c:v>
                </c:pt>
                <c:pt idx="22">
                  <c:v>423.60652422640135</c:v>
                </c:pt>
                <c:pt idx="23">
                  <c:v>442.86136623669233</c:v>
                </c:pt>
                <c:pt idx="24">
                  <c:v>462.11620824698332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AC-4CAF-93F4-01F6C7B9BA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75648544"/>
        <c:axId val="1521493440"/>
      </c:barChart>
      <c:lineChart>
        <c:grouping val="standard"/>
        <c:varyColors val="0"/>
        <c:ser>
          <c:idx val="0"/>
          <c:order val="0"/>
          <c:tx>
            <c:strRef>
              <c:f>'Costs - DTE'!$AE$2</c:f>
              <c:strCache>
                <c:ptCount val="1"/>
                <c:pt idx="0">
                  <c:v>Total cost ($m)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'Costs - DTE'!$AE$4:$AE$28</c:f>
              <c:numCache>
                <c:formatCode>_(* #,##0_);_(* \(#,##0\);_(* "-"??_);_(@_)</c:formatCode>
                <c:ptCount val="25"/>
                <c:pt idx="0">
                  <c:v>109.11184486104776</c:v>
                </c:pt>
                <c:pt idx="1">
                  <c:v>128.36668687133871</c:v>
                </c:pt>
                <c:pt idx="2">
                  <c:v>147.62152888162967</c:v>
                </c:pt>
                <c:pt idx="3">
                  <c:v>166.87637089192066</c:v>
                </c:pt>
                <c:pt idx="4">
                  <c:v>186.13121290221162</c:v>
                </c:pt>
                <c:pt idx="5">
                  <c:v>205.38605491250257</c:v>
                </c:pt>
                <c:pt idx="6">
                  <c:v>224.64089692279353</c:v>
                </c:pt>
                <c:pt idx="7">
                  <c:v>243.89573893308449</c:v>
                </c:pt>
                <c:pt idx="8">
                  <c:v>263.15058094337542</c:v>
                </c:pt>
                <c:pt idx="9">
                  <c:v>282.4054229536664</c:v>
                </c:pt>
                <c:pt idx="10">
                  <c:v>301.66026496395739</c:v>
                </c:pt>
                <c:pt idx="11">
                  <c:v>320.91510697424832</c:v>
                </c:pt>
                <c:pt idx="12">
                  <c:v>340.16994898453925</c:v>
                </c:pt>
                <c:pt idx="13">
                  <c:v>359.42479099483023</c:v>
                </c:pt>
                <c:pt idx="14">
                  <c:v>378.67963300512122</c:v>
                </c:pt>
                <c:pt idx="15">
                  <c:v>397.9344750154122</c:v>
                </c:pt>
                <c:pt idx="16">
                  <c:v>417.18931702570319</c:v>
                </c:pt>
                <c:pt idx="17">
                  <c:v>436.44415903599418</c:v>
                </c:pt>
                <c:pt idx="18">
                  <c:v>455.69900104628516</c:v>
                </c:pt>
                <c:pt idx="19">
                  <c:v>474.95384305657615</c:v>
                </c:pt>
                <c:pt idx="20">
                  <c:v>494.20868506686713</c:v>
                </c:pt>
                <c:pt idx="21">
                  <c:v>513.46352707715812</c:v>
                </c:pt>
                <c:pt idx="22">
                  <c:v>532.7183690874491</c:v>
                </c:pt>
                <c:pt idx="23">
                  <c:v>551.97321109774009</c:v>
                </c:pt>
                <c:pt idx="24">
                  <c:v>571.22805310803108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8AC-4CAF-93F4-01F6C7B9BA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5648544"/>
        <c:axId val="1521493440"/>
      </c:lineChart>
      <c:catAx>
        <c:axId val="1575648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Total Output of DTE Ground Station (Minutes)</a:t>
                </a:r>
                <a:endParaRPr lang="en-US" sz="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12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493440"/>
        <c:crosses val="autoZero"/>
        <c:auto val="1"/>
        <c:lblAlgn val="ctr"/>
        <c:lblOffset val="100"/>
        <c:noMultiLvlLbl val="0"/>
      </c:catAx>
      <c:valAx>
        <c:axId val="152149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 (US$ Mn)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64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Total Cost Per Minute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'Costs - DTE'!$AI$2</c:f>
              <c:strCache>
                <c:ptCount val="1"/>
                <c:pt idx="0">
                  <c:v>Average fixed cost (US$/Min)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'Costs - DTE'!$AC$4:$AC$28</c:f>
              <c:numCache>
                <c:formatCode>_(* #,##0_);_(* \(#,##0\);_(* "-"??_);_(@_)</c:formatCode>
                <c:ptCount val="25"/>
                <c:pt idx="0">
                  <c:v>525600</c:v>
                </c:pt>
                <c:pt idx="1">
                  <c:v>1051200</c:v>
                </c:pt>
                <c:pt idx="2">
                  <c:v>1576800</c:v>
                </c:pt>
                <c:pt idx="3">
                  <c:v>2102400</c:v>
                </c:pt>
                <c:pt idx="4">
                  <c:v>2628000</c:v>
                </c:pt>
                <c:pt idx="5">
                  <c:v>3153600</c:v>
                </c:pt>
                <c:pt idx="6">
                  <c:v>3679200</c:v>
                </c:pt>
                <c:pt idx="7">
                  <c:v>4204800</c:v>
                </c:pt>
                <c:pt idx="8">
                  <c:v>4730400</c:v>
                </c:pt>
                <c:pt idx="9">
                  <c:v>5256000</c:v>
                </c:pt>
                <c:pt idx="10">
                  <c:v>5781600</c:v>
                </c:pt>
                <c:pt idx="11">
                  <c:v>6307200</c:v>
                </c:pt>
                <c:pt idx="12">
                  <c:v>6832800</c:v>
                </c:pt>
                <c:pt idx="13">
                  <c:v>7358400</c:v>
                </c:pt>
                <c:pt idx="14">
                  <c:v>7884000</c:v>
                </c:pt>
                <c:pt idx="15">
                  <c:v>8409600</c:v>
                </c:pt>
                <c:pt idx="16">
                  <c:v>8935200</c:v>
                </c:pt>
                <c:pt idx="17">
                  <c:v>9460800</c:v>
                </c:pt>
                <c:pt idx="18">
                  <c:v>9986400</c:v>
                </c:pt>
                <c:pt idx="19">
                  <c:v>10512000</c:v>
                </c:pt>
                <c:pt idx="20">
                  <c:v>11037600</c:v>
                </c:pt>
                <c:pt idx="21">
                  <c:v>11563200</c:v>
                </c:pt>
                <c:pt idx="22">
                  <c:v>12088800</c:v>
                </c:pt>
                <c:pt idx="23">
                  <c:v>12614400</c:v>
                </c:pt>
                <c:pt idx="24">
                  <c:v>13140000</c:v>
                </c:pt>
              </c:numCache>
            </c:numRef>
          </c:cat>
          <c:val>
            <c:numRef>
              <c:f>'Costs - DTE'!$AI$4:$AI$28</c:f>
              <c:numCache>
                <c:formatCode>_(* #,##0_);_(* \(#,##0\);_(* "-"??_);_(@_)</c:formatCode>
                <c:ptCount val="25"/>
                <c:pt idx="0">
                  <c:v>207.59483421051704</c:v>
                </c:pt>
                <c:pt idx="1">
                  <c:v>103.79741710525852</c:v>
                </c:pt>
                <c:pt idx="2">
                  <c:v>69.198278070172336</c:v>
                </c:pt>
                <c:pt idx="3">
                  <c:v>51.898708552629259</c:v>
                </c:pt>
                <c:pt idx="4">
                  <c:v>41.518966842103403</c:v>
                </c:pt>
                <c:pt idx="5">
                  <c:v>34.599139035086168</c:v>
                </c:pt>
                <c:pt idx="6">
                  <c:v>29.65640488721672</c:v>
                </c:pt>
                <c:pt idx="7">
                  <c:v>25.949354276314629</c:v>
                </c:pt>
                <c:pt idx="8">
                  <c:v>23.066092690057449</c:v>
                </c:pt>
                <c:pt idx="9">
                  <c:v>20.759483421051701</c:v>
                </c:pt>
                <c:pt idx="10">
                  <c:v>18.872257655501549</c:v>
                </c:pt>
                <c:pt idx="11">
                  <c:v>17.299569517543084</c:v>
                </c:pt>
                <c:pt idx="12">
                  <c:v>15.968833400809004</c:v>
                </c:pt>
                <c:pt idx="13">
                  <c:v>14.82820244360836</c:v>
                </c:pt>
                <c:pt idx="14">
                  <c:v>13.83965561403447</c:v>
                </c:pt>
                <c:pt idx="15">
                  <c:v>12.974677138157315</c:v>
                </c:pt>
                <c:pt idx="16">
                  <c:v>12.211460835912767</c:v>
                </c:pt>
                <c:pt idx="17">
                  <c:v>11.533046345028724</c:v>
                </c:pt>
                <c:pt idx="18">
                  <c:v>10.926043905816686</c:v>
                </c:pt>
                <c:pt idx="19">
                  <c:v>10.379741710525851</c:v>
                </c:pt>
                <c:pt idx="20">
                  <c:v>9.8854682957389066</c:v>
                </c:pt>
                <c:pt idx="21">
                  <c:v>9.4361288277507747</c:v>
                </c:pt>
                <c:pt idx="22">
                  <c:v>9.0258623569790029</c:v>
                </c:pt>
                <c:pt idx="23">
                  <c:v>8.649784758771542</c:v>
                </c:pt>
                <c:pt idx="24">
                  <c:v>8.3037933684206813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BC-4FD2-BBBD-4A01AF5DEE60}"/>
            </c:ext>
          </c:extLst>
        </c:ser>
        <c:ser>
          <c:idx val="2"/>
          <c:order val="2"/>
          <c:tx>
            <c:strRef>
              <c:f>'Costs - DTE'!$AJ$2</c:f>
              <c:strCache>
                <c:ptCount val="1"/>
                <c:pt idx="0">
                  <c:v>Average variable cost (US$/Min)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'Costs - DTE'!$AC$4:$AC$28</c:f>
              <c:numCache>
                <c:formatCode>_(* #,##0_);_(* \(#,##0\);_(* "-"??_);_(@_)</c:formatCode>
                <c:ptCount val="25"/>
                <c:pt idx="0">
                  <c:v>525600</c:v>
                </c:pt>
                <c:pt idx="1">
                  <c:v>1051200</c:v>
                </c:pt>
                <c:pt idx="2">
                  <c:v>1576800</c:v>
                </c:pt>
                <c:pt idx="3">
                  <c:v>2102400</c:v>
                </c:pt>
                <c:pt idx="4">
                  <c:v>2628000</c:v>
                </c:pt>
                <c:pt idx="5">
                  <c:v>3153600</c:v>
                </c:pt>
                <c:pt idx="6">
                  <c:v>3679200</c:v>
                </c:pt>
                <c:pt idx="7">
                  <c:v>4204800</c:v>
                </c:pt>
                <c:pt idx="8">
                  <c:v>4730400</c:v>
                </c:pt>
                <c:pt idx="9">
                  <c:v>5256000</c:v>
                </c:pt>
                <c:pt idx="10">
                  <c:v>5781600</c:v>
                </c:pt>
                <c:pt idx="11">
                  <c:v>6307200</c:v>
                </c:pt>
                <c:pt idx="12">
                  <c:v>6832800</c:v>
                </c:pt>
                <c:pt idx="13">
                  <c:v>7358400</c:v>
                </c:pt>
                <c:pt idx="14">
                  <c:v>7884000</c:v>
                </c:pt>
                <c:pt idx="15">
                  <c:v>8409600</c:v>
                </c:pt>
                <c:pt idx="16">
                  <c:v>8935200</c:v>
                </c:pt>
                <c:pt idx="17">
                  <c:v>9460800</c:v>
                </c:pt>
                <c:pt idx="18">
                  <c:v>9986400</c:v>
                </c:pt>
                <c:pt idx="19">
                  <c:v>10512000</c:v>
                </c:pt>
                <c:pt idx="20">
                  <c:v>11037600</c:v>
                </c:pt>
                <c:pt idx="21">
                  <c:v>11563200</c:v>
                </c:pt>
                <c:pt idx="22">
                  <c:v>12088800</c:v>
                </c:pt>
                <c:pt idx="23">
                  <c:v>12614400</c:v>
                </c:pt>
                <c:pt idx="24">
                  <c:v>13140000</c:v>
                </c:pt>
              </c:numCache>
            </c:numRef>
          </c:cat>
          <c:val>
            <c:numRef>
              <c:f>'Costs - DTE'!$AJ$4:$AJ$28</c:f>
              <c:numCache>
                <c:formatCode>_(* #,##0_);_(* \(#,##0\);_(* "-"??_);_(@_)</c:formatCode>
                <c:ptCount val="25"/>
                <c:pt idx="0">
                  <c:v>0</c:v>
                </c:pt>
                <c:pt idx="1">
                  <c:v>18.31701104479734</c:v>
                </c:pt>
                <c:pt idx="2">
                  <c:v>24.422681393063122</c:v>
                </c:pt>
                <c:pt idx="3">
                  <c:v>27.47551656719601</c:v>
                </c:pt>
                <c:pt idx="4">
                  <c:v>29.307217671675744</c:v>
                </c:pt>
                <c:pt idx="5">
                  <c:v>30.528351741328898</c:v>
                </c:pt>
                <c:pt idx="6">
                  <c:v>31.400590362509725</c:v>
                </c:pt>
                <c:pt idx="7">
                  <c:v>32.054769328395345</c:v>
                </c:pt>
                <c:pt idx="8">
                  <c:v>32.563575190750825</c:v>
                </c:pt>
                <c:pt idx="9">
                  <c:v>32.970619880635212</c:v>
                </c:pt>
                <c:pt idx="10">
                  <c:v>33.303656445086069</c:v>
                </c:pt>
                <c:pt idx="11">
                  <c:v>33.581186915461785</c:v>
                </c:pt>
                <c:pt idx="12">
                  <c:v>33.816020390395082</c:v>
                </c:pt>
                <c:pt idx="13">
                  <c:v>34.017306226052199</c:v>
                </c:pt>
                <c:pt idx="14">
                  <c:v>34.191753950288366</c:v>
                </c:pt>
                <c:pt idx="15">
                  <c:v>34.344395708995009</c:v>
                </c:pt>
                <c:pt idx="16">
                  <c:v>34.479079613736168</c:v>
                </c:pt>
                <c:pt idx="17">
                  <c:v>34.598798640172753</c:v>
                </c:pt>
                <c:pt idx="18">
                  <c:v>34.705915663826538</c:v>
                </c:pt>
                <c:pt idx="19">
                  <c:v>34.802320985114953</c:v>
                </c:pt>
                <c:pt idx="20">
                  <c:v>34.889544847233033</c:v>
                </c:pt>
                <c:pt idx="21">
                  <c:v>34.968839267340385</c:v>
                </c:pt>
                <c:pt idx="22">
                  <c:v>35.041238520481883</c:v>
                </c:pt>
                <c:pt idx="23">
                  <c:v>35.107604502528247</c:v>
                </c:pt>
                <c:pt idx="24">
                  <c:v>35.16866120601091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BC-4FD2-BBBD-4A01AF5DEE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75648544"/>
        <c:axId val="1521493440"/>
      </c:barChart>
      <c:lineChart>
        <c:grouping val="standard"/>
        <c:varyColors val="0"/>
        <c:ser>
          <c:idx val="0"/>
          <c:order val="0"/>
          <c:tx>
            <c:strRef>
              <c:f>'Costs - DTE'!$AH$2</c:f>
              <c:strCache>
                <c:ptCount val="1"/>
                <c:pt idx="0">
                  <c:v>Average total cost ($/Min)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'Costs - DTE'!$AH$4:$AH$28</c:f>
              <c:numCache>
                <c:formatCode>_(* #,##0_);_(* \(#,##0\);_(* "-"??_);_(@_)</c:formatCode>
                <c:ptCount val="25"/>
                <c:pt idx="0">
                  <c:v>207.59483421051704</c:v>
                </c:pt>
                <c:pt idx="1">
                  <c:v>122.11442815005586</c:v>
                </c:pt>
                <c:pt idx="2">
                  <c:v>93.620959463235465</c:v>
                </c:pt>
                <c:pt idx="3">
                  <c:v>79.374225119825269</c:v>
                </c:pt>
                <c:pt idx="4">
                  <c:v>70.82618451377914</c:v>
                </c:pt>
                <c:pt idx="5">
                  <c:v>65.127490776415073</c:v>
                </c:pt>
                <c:pt idx="6">
                  <c:v>61.056995249726441</c:v>
                </c:pt>
                <c:pt idx="7">
                  <c:v>58.004123604709974</c:v>
                </c:pt>
                <c:pt idx="8">
                  <c:v>55.62966788080827</c:v>
                </c:pt>
                <c:pt idx="9">
                  <c:v>53.73010330168691</c:v>
                </c:pt>
                <c:pt idx="10">
                  <c:v>52.175914100587619</c:v>
                </c:pt>
                <c:pt idx="11">
                  <c:v>50.880756433004869</c:v>
                </c:pt>
                <c:pt idx="12">
                  <c:v>49.784853791204085</c:v>
                </c:pt>
                <c:pt idx="13">
                  <c:v>48.84550866966056</c:v>
                </c:pt>
                <c:pt idx="14">
                  <c:v>48.031409564322836</c:v>
                </c:pt>
                <c:pt idx="15">
                  <c:v>47.319072847152327</c:v>
                </c:pt>
                <c:pt idx="16">
                  <c:v>46.690540449648935</c:v>
                </c:pt>
                <c:pt idx="17">
                  <c:v>46.131844985201475</c:v>
                </c:pt>
                <c:pt idx="18">
                  <c:v>45.631959569643222</c:v>
                </c:pt>
                <c:pt idx="19">
                  <c:v>45.182062695640802</c:v>
                </c:pt>
                <c:pt idx="20">
                  <c:v>44.775013142971943</c:v>
                </c:pt>
                <c:pt idx="21">
                  <c:v>44.404968095091164</c:v>
                </c:pt>
                <c:pt idx="22">
                  <c:v>44.067100877460888</c:v>
                </c:pt>
                <c:pt idx="23">
                  <c:v>43.757389261299792</c:v>
                </c:pt>
                <c:pt idx="24">
                  <c:v>43.472454574431595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DBC-4FD2-BBBD-4A01AF5DEE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5648544"/>
        <c:axId val="1521493440"/>
      </c:lineChart>
      <c:catAx>
        <c:axId val="1575648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Output of </a:t>
                </a:r>
                <a:r>
                  <a:rPr lang="en-US" sz="1000" b="0" i="0" u="none" strike="noStrike" baseline="0">
                    <a:effectLst/>
                  </a:rPr>
                  <a:t>LEO </a:t>
                </a:r>
                <a:r>
                  <a:rPr lang="en-US"/>
                  <a:t>Network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12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493440"/>
        <c:crosses val="autoZero"/>
        <c:auto val="1"/>
        <c:lblAlgn val="ctr"/>
        <c:lblOffset val="100"/>
        <c:noMultiLvlLbl val="0"/>
      </c:catAx>
      <c:valAx>
        <c:axId val="152149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 (US$)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64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Cost of Production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'Costs - SR - LEO'!$AF$2</c:f>
              <c:strCache>
                <c:ptCount val="1"/>
                <c:pt idx="0">
                  <c:v>Fixed cost ($M)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'Costs - SR - LEO'!$AA$4:$AA$55</c:f>
              <c:numCache>
                <c:formatCode>_(* #,##0_);_(* \(#,##0\);_(* "-"??_);_(@_)</c:formatCode>
                <c:ptCount val="52"/>
                <c:pt idx="0">
                  <c:v>21000000</c:v>
                </c:pt>
                <c:pt idx="1">
                  <c:v>42000000</c:v>
                </c:pt>
                <c:pt idx="2">
                  <c:v>63000000</c:v>
                </c:pt>
                <c:pt idx="3">
                  <c:v>84000000</c:v>
                </c:pt>
                <c:pt idx="4">
                  <c:v>105000000</c:v>
                </c:pt>
                <c:pt idx="5">
                  <c:v>126000000</c:v>
                </c:pt>
                <c:pt idx="6">
                  <c:v>147000000</c:v>
                </c:pt>
                <c:pt idx="7">
                  <c:v>168000000</c:v>
                </c:pt>
                <c:pt idx="8">
                  <c:v>189000000</c:v>
                </c:pt>
                <c:pt idx="9">
                  <c:v>210000000</c:v>
                </c:pt>
                <c:pt idx="10">
                  <c:v>231000000</c:v>
                </c:pt>
                <c:pt idx="11">
                  <c:v>252000000</c:v>
                </c:pt>
                <c:pt idx="12">
                  <c:v>273000000</c:v>
                </c:pt>
                <c:pt idx="13">
                  <c:v>294000000</c:v>
                </c:pt>
                <c:pt idx="14">
                  <c:v>315000000</c:v>
                </c:pt>
                <c:pt idx="15">
                  <c:v>336000000</c:v>
                </c:pt>
                <c:pt idx="16">
                  <c:v>357000000</c:v>
                </c:pt>
                <c:pt idx="17">
                  <c:v>378000000</c:v>
                </c:pt>
                <c:pt idx="18">
                  <c:v>399000000</c:v>
                </c:pt>
                <c:pt idx="19">
                  <c:v>420000000</c:v>
                </c:pt>
                <c:pt idx="20">
                  <c:v>441000000</c:v>
                </c:pt>
                <c:pt idx="21">
                  <c:v>462000000</c:v>
                </c:pt>
                <c:pt idx="22">
                  <c:v>483000000</c:v>
                </c:pt>
                <c:pt idx="23">
                  <c:v>504000000</c:v>
                </c:pt>
                <c:pt idx="24">
                  <c:v>525000000</c:v>
                </c:pt>
                <c:pt idx="25">
                  <c:v>546000000</c:v>
                </c:pt>
                <c:pt idx="26">
                  <c:v>567000000</c:v>
                </c:pt>
                <c:pt idx="27">
                  <c:v>588000000</c:v>
                </c:pt>
                <c:pt idx="28">
                  <c:v>609000000</c:v>
                </c:pt>
                <c:pt idx="29">
                  <c:v>630000000</c:v>
                </c:pt>
                <c:pt idx="30">
                  <c:v>651000000</c:v>
                </c:pt>
                <c:pt idx="31">
                  <c:v>672000000</c:v>
                </c:pt>
                <c:pt idx="32">
                  <c:v>693000000</c:v>
                </c:pt>
                <c:pt idx="33">
                  <c:v>714000000</c:v>
                </c:pt>
                <c:pt idx="34">
                  <c:v>735000000</c:v>
                </c:pt>
                <c:pt idx="35">
                  <c:v>756000000</c:v>
                </c:pt>
                <c:pt idx="36">
                  <c:v>777000000</c:v>
                </c:pt>
                <c:pt idx="37">
                  <c:v>798000000</c:v>
                </c:pt>
                <c:pt idx="38">
                  <c:v>819000000</c:v>
                </c:pt>
                <c:pt idx="39">
                  <c:v>840000000</c:v>
                </c:pt>
                <c:pt idx="40">
                  <c:v>861000000</c:v>
                </c:pt>
                <c:pt idx="41">
                  <c:v>882000000</c:v>
                </c:pt>
                <c:pt idx="42">
                  <c:v>903000000</c:v>
                </c:pt>
                <c:pt idx="43">
                  <c:v>924000000</c:v>
                </c:pt>
                <c:pt idx="44">
                  <c:v>945000000</c:v>
                </c:pt>
                <c:pt idx="45">
                  <c:v>966000000</c:v>
                </c:pt>
                <c:pt idx="46">
                  <c:v>987000000</c:v>
                </c:pt>
                <c:pt idx="47">
                  <c:v>1008000000</c:v>
                </c:pt>
                <c:pt idx="48">
                  <c:v>1029000000</c:v>
                </c:pt>
                <c:pt idx="49">
                  <c:v>1050000000</c:v>
                </c:pt>
                <c:pt idx="50">
                  <c:v>1071000000</c:v>
                </c:pt>
                <c:pt idx="51">
                  <c:v>1092000000</c:v>
                </c:pt>
              </c:numCache>
            </c:numRef>
          </c:cat>
          <c:val>
            <c:numRef>
              <c:f>'Costs - SR - LEO'!$AF$4:$AF$55</c:f>
              <c:numCache>
                <c:formatCode>_(* #,##0_);_(* \(#,##0\);_(* "-"??_);_(@_)</c:formatCode>
                <c:ptCount val="52"/>
                <c:pt idx="0">
                  <c:v>657.44476798848643</c:v>
                </c:pt>
                <c:pt idx="1">
                  <c:v>657.44476798848643</c:v>
                </c:pt>
                <c:pt idx="2">
                  <c:v>657.44476798848643</c:v>
                </c:pt>
                <c:pt idx="3">
                  <c:v>657.44476798848643</c:v>
                </c:pt>
                <c:pt idx="4">
                  <c:v>657.44476798848643</c:v>
                </c:pt>
                <c:pt idx="5">
                  <c:v>657.44476798848643</c:v>
                </c:pt>
                <c:pt idx="6">
                  <c:v>657.44476798848643</c:v>
                </c:pt>
                <c:pt idx="7">
                  <c:v>657.44476798848643</c:v>
                </c:pt>
                <c:pt idx="8">
                  <c:v>657.44476798848643</c:v>
                </c:pt>
                <c:pt idx="9">
                  <c:v>657.44476798848643</c:v>
                </c:pt>
                <c:pt idx="10">
                  <c:v>657.44476798848643</c:v>
                </c:pt>
                <c:pt idx="11">
                  <c:v>657.44476798848643</c:v>
                </c:pt>
                <c:pt idx="12">
                  <c:v>657.44476798848643</c:v>
                </c:pt>
                <c:pt idx="13">
                  <c:v>657.44476798848643</c:v>
                </c:pt>
                <c:pt idx="14">
                  <c:v>657.44476798848643</c:v>
                </c:pt>
                <c:pt idx="15">
                  <c:v>657.44476798848643</c:v>
                </c:pt>
                <c:pt idx="16">
                  <c:v>657.44476798848643</c:v>
                </c:pt>
                <c:pt idx="17">
                  <c:v>657.44476798848643</c:v>
                </c:pt>
                <c:pt idx="18">
                  <c:v>657.44476798848643</c:v>
                </c:pt>
                <c:pt idx="19">
                  <c:v>657.44476798848643</c:v>
                </c:pt>
                <c:pt idx="20">
                  <c:v>657.44476798848643</c:v>
                </c:pt>
                <c:pt idx="21">
                  <c:v>657.44476798848643</c:v>
                </c:pt>
                <c:pt idx="22">
                  <c:v>657.44476798848643</c:v>
                </c:pt>
                <c:pt idx="23">
                  <c:v>657.44476798848643</c:v>
                </c:pt>
                <c:pt idx="24">
                  <c:v>657.44476798848643</c:v>
                </c:pt>
                <c:pt idx="25">
                  <c:v>657.44476798848643</c:v>
                </c:pt>
                <c:pt idx="26">
                  <c:v>657.44476798848643</c:v>
                </c:pt>
                <c:pt idx="27">
                  <c:v>657.44476798848643</c:v>
                </c:pt>
                <c:pt idx="28">
                  <c:v>657.44476798848643</c:v>
                </c:pt>
                <c:pt idx="29">
                  <c:v>657.44476798848643</c:v>
                </c:pt>
                <c:pt idx="30">
                  <c:v>657.44476798848643</c:v>
                </c:pt>
                <c:pt idx="31">
                  <c:v>657.44476798848643</c:v>
                </c:pt>
                <c:pt idx="32">
                  <c:v>657.44476798848643</c:v>
                </c:pt>
                <c:pt idx="33">
                  <c:v>657.44476798848643</c:v>
                </c:pt>
                <c:pt idx="34">
                  <c:v>657.44476798848643</c:v>
                </c:pt>
                <c:pt idx="35">
                  <c:v>657.44476798848643</c:v>
                </c:pt>
                <c:pt idx="36">
                  <c:v>657.44476798848643</c:v>
                </c:pt>
                <c:pt idx="37">
                  <c:v>657.44476798848643</c:v>
                </c:pt>
                <c:pt idx="38">
                  <c:v>657.44476798848643</c:v>
                </c:pt>
                <c:pt idx="39">
                  <c:v>657.44476798848643</c:v>
                </c:pt>
                <c:pt idx="40">
                  <c:v>657.44476798848643</c:v>
                </c:pt>
                <c:pt idx="41">
                  <c:v>657.44476798848643</c:v>
                </c:pt>
                <c:pt idx="42">
                  <c:v>657.44476798848643</c:v>
                </c:pt>
                <c:pt idx="43">
                  <c:v>657.44476798848643</c:v>
                </c:pt>
                <c:pt idx="44">
                  <c:v>657.44476798848643</c:v>
                </c:pt>
                <c:pt idx="45">
                  <c:v>657.44476798848643</c:v>
                </c:pt>
                <c:pt idx="46">
                  <c:v>657.44476798848643</c:v>
                </c:pt>
                <c:pt idx="47">
                  <c:v>657.44476798848643</c:v>
                </c:pt>
                <c:pt idx="48">
                  <c:v>657.44476798848643</c:v>
                </c:pt>
                <c:pt idx="49">
                  <c:v>657.44476798848643</c:v>
                </c:pt>
                <c:pt idx="50">
                  <c:v>657.44476798848643</c:v>
                </c:pt>
                <c:pt idx="51">
                  <c:v>657.44476798848643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2B-4CA3-ABAD-87EE4512C91D}"/>
            </c:ext>
          </c:extLst>
        </c:ser>
        <c:ser>
          <c:idx val="2"/>
          <c:order val="2"/>
          <c:tx>
            <c:strRef>
              <c:f>'Costs - SR - LEO'!$AG$2</c:f>
              <c:strCache>
                <c:ptCount val="1"/>
                <c:pt idx="0">
                  <c:v>Variable cost ($M)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'Costs - SR - LEO'!$AA$4:$AA$55</c:f>
              <c:numCache>
                <c:formatCode>_(* #,##0_);_(* \(#,##0\);_(* "-"??_);_(@_)</c:formatCode>
                <c:ptCount val="52"/>
                <c:pt idx="0">
                  <c:v>21000000</c:v>
                </c:pt>
                <c:pt idx="1">
                  <c:v>42000000</c:v>
                </c:pt>
                <c:pt idx="2">
                  <c:v>63000000</c:v>
                </c:pt>
                <c:pt idx="3">
                  <c:v>84000000</c:v>
                </c:pt>
                <c:pt idx="4">
                  <c:v>105000000</c:v>
                </c:pt>
                <c:pt idx="5">
                  <c:v>126000000</c:v>
                </c:pt>
                <c:pt idx="6">
                  <c:v>147000000</c:v>
                </c:pt>
                <c:pt idx="7">
                  <c:v>168000000</c:v>
                </c:pt>
                <c:pt idx="8">
                  <c:v>189000000</c:v>
                </c:pt>
                <c:pt idx="9">
                  <c:v>210000000</c:v>
                </c:pt>
                <c:pt idx="10">
                  <c:v>231000000</c:v>
                </c:pt>
                <c:pt idx="11">
                  <c:v>252000000</c:v>
                </c:pt>
                <c:pt idx="12">
                  <c:v>273000000</c:v>
                </c:pt>
                <c:pt idx="13">
                  <c:v>294000000</c:v>
                </c:pt>
                <c:pt idx="14">
                  <c:v>315000000</c:v>
                </c:pt>
                <c:pt idx="15">
                  <c:v>336000000</c:v>
                </c:pt>
                <c:pt idx="16">
                  <c:v>357000000</c:v>
                </c:pt>
                <c:pt idx="17">
                  <c:v>378000000</c:v>
                </c:pt>
                <c:pt idx="18">
                  <c:v>399000000</c:v>
                </c:pt>
                <c:pt idx="19">
                  <c:v>420000000</c:v>
                </c:pt>
                <c:pt idx="20">
                  <c:v>441000000</c:v>
                </c:pt>
                <c:pt idx="21">
                  <c:v>462000000</c:v>
                </c:pt>
                <c:pt idx="22">
                  <c:v>483000000</c:v>
                </c:pt>
                <c:pt idx="23">
                  <c:v>504000000</c:v>
                </c:pt>
                <c:pt idx="24">
                  <c:v>525000000</c:v>
                </c:pt>
                <c:pt idx="25">
                  <c:v>546000000</c:v>
                </c:pt>
                <c:pt idx="26">
                  <c:v>567000000</c:v>
                </c:pt>
                <c:pt idx="27">
                  <c:v>588000000</c:v>
                </c:pt>
                <c:pt idx="28">
                  <c:v>609000000</c:v>
                </c:pt>
                <c:pt idx="29">
                  <c:v>630000000</c:v>
                </c:pt>
                <c:pt idx="30">
                  <c:v>651000000</c:v>
                </c:pt>
                <c:pt idx="31">
                  <c:v>672000000</c:v>
                </c:pt>
                <c:pt idx="32">
                  <c:v>693000000</c:v>
                </c:pt>
                <c:pt idx="33">
                  <c:v>714000000</c:v>
                </c:pt>
                <c:pt idx="34">
                  <c:v>735000000</c:v>
                </c:pt>
                <c:pt idx="35">
                  <c:v>756000000</c:v>
                </c:pt>
                <c:pt idx="36">
                  <c:v>777000000</c:v>
                </c:pt>
                <c:pt idx="37">
                  <c:v>798000000</c:v>
                </c:pt>
                <c:pt idx="38">
                  <c:v>819000000</c:v>
                </c:pt>
                <c:pt idx="39">
                  <c:v>840000000</c:v>
                </c:pt>
                <c:pt idx="40">
                  <c:v>861000000</c:v>
                </c:pt>
                <c:pt idx="41">
                  <c:v>882000000</c:v>
                </c:pt>
                <c:pt idx="42">
                  <c:v>903000000</c:v>
                </c:pt>
                <c:pt idx="43">
                  <c:v>924000000</c:v>
                </c:pt>
                <c:pt idx="44">
                  <c:v>945000000</c:v>
                </c:pt>
                <c:pt idx="45">
                  <c:v>966000000</c:v>
                </c:pt>
                <c:pt idx="46">
                  <c:v>987000000</c:v>
                </c:pt>
                <c:pt idx="47">
                  <c:v>1008000000</c:v>
                </c:pt>
                <c:pt idx="48">
                  <c:v>1029000000</c:v>
                </c:pt>
                <c:pt idx="49">
                  <c:v>1050000000</c:v>
                </c:pt>
                <c:pt idx="50">
                  <c:v>1071000000</c:v>
                </c:pt>
                <c:pt idx="51">
                  <c:v>1092000000</c:v>
                </c:pt>
              </c:numCache>
            </c:numRef>
          </c:cat>
          <c:val>
            <c:numRef>
              <c:f>'Costs - SR - LEO'!$AG$4:$AG$55</c:f>
              <c:numCache>
                <c:formatCode>_(* #,##0_);_(* \(#,##0\);_(* "-"??_);_(@_)</c:formatCode>
                <c:ptCount val="52"/>
                <c:pt idx="0">
                  <c:v>0</c:v>
                </c:pt>
                <c:pt idx="1">
                  <c:v>93.239800129849542</c:v>
                </c:pt>
                <c:pt idx="2">
                  <c:v>186.47960025969908</c:v>
                </c:pt>
                <c:pt idx="3">
                  <c:v>279.71940038954864</c:v>
                </c:pt>
                <c:pt idx="4">
                  <c:v>372.95920051939817</c:v>
                </c:pt>
                <c:pt idx="5">
                  <c:v>466.19900064924769</c:v>
                </c:pt>
                <c:pt idx="6">
                  <c:v>559.43880077909728</c:v>
                </c:pt>
                <c:pt idx="7">
                  <c:v>652.67860090894681</c:v>
                </c:pt>
                <c:pt idx="8">
                  <c:v>745.91840103879633</c:v>
                </c:pt>
                <c:pt idx="9">
                  <c:v>839.15820116864586</c:v>
                </c:pt>
                <c:pt idx="10">
                  <c:v>932.39800129849539</c:v>
                </c:pt>
                <c:pt idx="11">
                  <c:v>1025.637801428345</c:v>
                </c:pt>
                <c:pt idx="12">
                  <c:v>1118.8776015581946</c:v>
                </c:pt>
                <c:pt idx="13">
                  <c:v>1212.1174016880441</c:v>
                </c:pt>
                <c:pt idx="14">
                  <c:v>1305.3572018178936</c:v>
                </c:pt>
                <c:pt idx="15">
                  <c:v>1398.5970019477431</c:v>
                </c:pt>
                <c:pt idx="16">
                  <c:v>1491.8368020775927</c:v>
                </c:pt>
                <c:pt idx="17">
                  <c:v>1585.0766022074422</c:v>
                </c:pt>
                <c:pt idx="18">
                  <c:v>1678.3164023372917</c:v>
                </c:pt>
                <c:pt idx="19">
                  <c:v>1771.5562024671412</c:v>
                </c:pt>
                <c:pt idx="20">
                  <c:v>1864.7960025969908</c:v>
                </c:pt>
                <c:pt idx="21">
                  <c:v>1958.0358027268403</c:v>
                </c:pt>
                <c:pt idx="22">
                  <c:v>2051.2756028566901</c:v>
                </c:pt>
                <c:pt idx="23">
                  <c:v>2144.5154029865398</c:v>
                </c:pt>
                <c:pt idx="24">
                  <c:v>2237.7552031163896</c:v>
                </c:pt>
                <c:pt idx="25">
                  <c:v>2330.9950032462393</c:v>
                </c:pt>
                <c:pt idx="26">
                  <c:v>2424.2348033760891</c:v>
                </c:pt>
                <c:pt idx="27">
                  <c:v>2517.4746035059388</c:v>
                </c:pt>
                <c:pt idx="28">
                  <c:v>2610.7144036357886</c:v>
                </c:pt>
                <c:pt idx="29">
                  <c:v>2703.9542037656383</c:v>
                </c:pt>
                <c:pt idx="30">
                  <c:v>2797.1940038954881</c:v>
                </c:pt>
                <c:pt idx="31">
                  <c:v>2890.4338040253378</c:v>
                </c:pt>
                <c:pt idx="32">
                  <c:v>2983.6736041551876</c:v>
                </c:pt>
                <c:pt idx="33">
                  <c:v>3076.9134042850374</c:v>
                </c:pt>
                <c:pt idx="34">
                  <c:v>3170.1532044148871</c:v>
                </c:pt>
                <c:pt idx="35">
                  <c:v>3263.3930045447369</c:v>
                </c:pt>
                <c:pt idx="36">
                  <c:v>3356.6328046745866</c:v>
                </c:pt>
                <c:pt idx="37">
                  <c:v>3449.8726048044364</c:v>
                </c:pt>
                <c:pt idx="38">
                  <c:v>3543.1124049342861</c:v>
                </c:pt>
                <c:pt idx="39">
                  <c:v>3636.3522050641359</c:v>
                </c:pt>
                <c:pt idx="40">
                  <c:v>3729.5920051939856</c:v>
                </c:pt>
                <c:pt idx="41">
                  <c:v>3822.8318053238354</c:v>
                </c:pt>
                <c:pt idx="42">
                  <c:v>3916.0716054536852</c:v>
                </c:pt>
                <c:pt idx="43">
                  <c:v>4009.3114055835349</c:v>
                </c:pt>
                <c:pt idx="44">
                  <c:v>4102.5512057133847</c:v>
                </c:pt>
                <c:pt idx="45">
                  <c:v>4195.7910058432344</c:v>
                </c:pt>
                <c:pt idx="46">
                  <c:v>4289.0308059730842</c:v>
                </c:pt>
                <c:pt idx="47">
                  <c:v>4382.2706061029339</c:v>
                </c:pt>
                <c:pt idx="48">
                  <c:v>4475.5104062327837</c:v>
                </c:pt>
                <c:pt idx="49">
                  <c:v>4568.7502063626334</c:v>
                </c:pt>
                <c:pt idx="50">
                  <c:v>4661.9900064924832</c:v>
                </c:pt>
                <c:pt idx="51">
                  <c:v>4755.2298066223329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2B-4CA3-ABAD-87EE4512C9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75648544"/>
        <c:axId val="1521493440"/>
      </c:barChart>
      <c:lineChart>
        <c:grouping val="standard"/>
        <c:varyColors val="0"/>
        <c:ser>
          <c:idx val="0"/>
          <c:order val="0"/>
          <c:tx>
            <c:strRef>
              <c:f>'Costs - SR - LEO'!$AE$2</c:f>
              <c:strCache>
                <c:ptCount val="1"/>
                <c:pt idx="0">
                  <c:v>Total cost ($M)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'Costs - SR - LEO'!$AA$4:$AA$55</c:f>
              <c:numCache>
                <c:formatCode>_(* #,##0_);_(* \(#,##0\);_(* "-"??_);_(@_)</c:formatCode>
                <c:ptCount val="52"/>
                <c:pt idx="0">
                  <c:v>21000000</c:v>
                </c:pt>
                <c:pt idx="1">
                  <c:v>42000000</c:v>
                </c:pt>
                <c:pt idx="2">
                  <c:v>63000000</c:v>
                </c:pt>
                <c:pt idx="3">
                  <c:v>84000000</c:v>
                </c:pt>
                <c:pt idx="4">
                  <c:v>105000000</c:v>
                </c:pt>
                <c:pt idx="5">
                  <c:v>126000000</c:v>
                </c:pt>
                <c:pt idx="6">
                  <c:v>147000000</c:v>
                </c:pt>
                <c:pt idx="7">
                  <c:v>168000000</c:v>
                </c:pt>
                <c:pt idx="8">
                  <c:v>189000000</c:v>
                </c:pt>
                <c:pt idx="9">
                  <c:v>210000000</c:v>
                </c:pt>
                <c:pt idx="10">
                  <c:v>231000000</c:v>
                </c:pt>
                <c:pt idx="11">
                  <c:v>252000000</c:v>
                </c:pt>
                <c:pt idx="12">
                  <c:v>273000000</c:v>
                </c:pt>
                <c:pt idx="13">
                  <c:v>294000000</c:v>
                </c:pt>
                <c:pt idx="14">
                  <c:v>315000000</c:v>
                </c:pt>
                <c:pt idx="15">
                  <c:v>336000000</c:v>
                </c:pt>
                <c:pt idx="16">
                  <c:v>357000000</c:v>
                </c:pt>
                <c:pt idx="17">
                  <c:v>378000000</c:v>
                </c:pt>
                <c:pt idx="18">
                  <c:v>399000000</c:v>
                </c:pt>
                <c:pt idx="19">
                  <c:v>420000000</c:v>
                </c:pt>
                <c:pt idx="20">
                  <c:v>441000000</c:v>
                </c:pt>
                <c:pt idx="21">
                  <c:v>462000000</c:v>
                </c:pt>
                <c:pt idx="22">
                  <c:v>483000000</c:v>
                </c:pt>
                <c:pt idx="23">
                  <c:v>504000000</c:v>
                </c:pt>
                <c:pt idx="24">
                  <c:v>525000000</c:v>
                </c:pt>
                <c:pt idx="25">
                  <c:v>546000000</c:v>
                </c:pt>
                <c:pt idx="26">
                  <c:v>567000000</c:v>
                </c:pt>
                <c:pt idx="27">
                  <c:v>588000000</c:v>
                </c:pt>
                <c:pt idx="28">
                  <c:v>609000000</c:v>
                </c:pt>
                <c:pt idx="29">
                  <c:v>630000000</c:v>
                </c:pt>
                <c:pt idx="30">
                  <c:v>651000000</c:v>
                </c:pt>
                <c:pt idx="31">
                  <c:v>672000000</c:v>
                </c:pt>
                <c:pt idx="32">
                  <c:v>693000000</c:v>
                </c:pt>
                <c:pt idx="33">
                  <c:v>714000000</c:v>
                </c:pt>
                <c:pt idx="34">
                  <c:v>735000000</c:v>
                </c:pt>
                <c:pt idx="35">
                  <c:v>756000000</c:v>
                </c:pt>
                <c:pt idx="36">
                  <c:v>777000000</c:v>
                </c:pt>
                <c:pt idx="37">
                  <c:v>798000000</c:v>
                </c:pt>
                <c:pt idx="38">
                  <c:v>819000000</c:v>
                </c:pt>
                <c:pt idx="39">
                  <c:v>840000000</c:v>
                </c:pt>
                <c:pt idx="40">
                  <c:v>861000000</c:v>
                </c:pt>
                <c:pt idx="41">
                  <c:v>882000000</c:v>
                </c:pt>
                <c:pt idx="42">
                  <c:v>903000000</c:v>
                </c:pt>
                <c:pt idx="43">
                  <c:v>924000000</c:v>
                </c:pt>
                <c:pt idx="44">
                  <c:v>945000000</c:v>
                </c:pt>
                <c:pt idx="45">
                  <c:v>966000000</c:v>
                </c:pt>
                <c:pt idx="46">
                  <c:v>987000000</c:v>
                </c:pt>
                <c:pt idx="47">
                  <c:v>1008000000</c:v>
                </c:pt>
                <c:pt idx="48">
                  <c:v>1029000000</c:v>
                </c:pt>
                <c:pt idx="49">
                  <c:v>1050000000</c:v>
                </c:pt>
                <c:pt idx="50">
                  <c:v>1071000000</c:v>
                </c:pt>
                <c:pt idx="51">
                  <c:v>1092000000</c:v>
                </c:pt>
              </c:numCache>
            </c:numRef>
          </c:cat>
          <c:val>
            <c:numRef>
              <c:f>'Costs - SR - LEO'!$AE$4:$AE$55</c:f>
              <c:numCache>
                <c:formatCode>_(* #,##0_);_(* \(#,##0\);_(* "-"??_);_(@_)</c:formatCode>
                <c:ptCount val="52"/>
                <c:pt idx="0">
                  <c:v>657.44476798848643</c:v>
                </c:pt>
                <c:pt idx="1">
                  <c:v>750.68456811833596</c:v>
                </c:pt>
                <c:pt idx="2">
                  <c:v>843.92436824818549</c:v>
                </c:pt>
                <c:pt idx="3">
                  <c:v>937.16416837803513</c:v>
                </c:pt>
                <c:pt idx="4">
                  <c:v>1030.4039685078847</c:v>
                </c:pt>
                <c:pt idx="5">
                  <c:v>1123.6437686377342</c:v>
                </c:pt>
                <c:pt idx="6">
                  <c:v>1216.8835687675837</c:v>
                </c:pt>
                <c:pt idx="7">
                  <c:v>1310.1233688974332</c:v>
                </c:pt>
                <c:pt idx="8">
                  <c:v>1403.3631690272828</c:v>
                </c:pt>
                <c:pt idx="9">
                  <c:v>1496.6029691571323</c:v>
                </c:pt>
                <c:pt idx="10">
                  <c:v>1589.8427692869818</c:v>
                </c:pt>
                <c:pt idx="11">
                  <c:v>1683.0825694168316</c:v>
                </c:pt>
                <c:pt idx="12">
                  <c:v>1776.3223695466809</c:v>
                </c:pt>
                <c:pt idx="13">
                  <c:v>1869.5621696765306</c:v>
                </c:pt>
                <c:pt idx="14">
                  <c:v>1962.8019698063799</c:v>
                </c:pt>
                <c:pt idx="15">
                  <c:v>2056.0417699362297</c:v>
                </c:pt>
                <c:pt idx="16">
                  <c:v>2149.281570066079</c:v>
                </c:pt>
                <c:pt idx="17">
                  <c:v>2242.5213701959287</c:v>
                </c:pt>
                <c:pt idx="18">
                  <c:v>2335.761170325778</c:v>
                </c:pt>
                <c:pt idx="19">
                  <c:v>2429.0009704556278</c:v>
                </c:pt>
                <c:pt idx="20">
                  <c:v>2522.2407705854771</c:v>
                </c:pt>
                <c:pt idx="21">
                  <c:v>2615.4805707153268</c:v>
                </c:pt>
                <c:pt idx="22">
                  <c:v>2708.7203708451766</c:v>
                </c:pt>
                <c:pt idx="23">
                  <c:v>2801.9601709750264</c:v>
                </c:pt>
                <c:pt idx="24">
                  <c:v>2895.1999711048761</c:v>
                </c:pt>
                <c:pt idx="25">
                  <c:v>2988.4397712347259</c:v>
                </c:pt>
                <c:pt idx="26">
                  <c:v>3081.6795713645756</c:v>
                </c:pt>
                <c:pt idx="27">
                  <c:v>3174.9193714944254</c:v>
                </c:pt>
                <c:pt idx="28">
                  <c:v>3268.1591716242751</c:v>
                </c:pt>
                <c:pt idx="29">
                  <c:v>3361.3989717541249</c:v>
                </c:pt>
                <c:pt idx="30">
                  <c:v>3454.6387718839746</c:v>
                </c:pt>
                <c:pt idx="31">
                  <c:v>3547.8785720138244</c:v>
                </c:pt>
                <c:pt idx="32">
                  <c:v>3641.1183721436742</c:v>
                </c:pt>
                <c:pt idx="33">
                  <c:v>3734.3581722735239</c:v>
                </c:pt>
                <c:pt idx="34">
                  <c:v>3827.5979724033737</c:v>
                </c:pt>
                <c:pt idx="35">
                  <c:v>3920.8377725332234</c:v>
                </c:pt>
                <c:pt idx="36">
                  <c:v>4014.0775726630732</c:v>
                </c:pt>
                <c:pt idx="37">
                  <c:v>4107.3173727929225</c:v>
                </c:pt>
                <c:pt idx="38">
                  <c:v>4200.5571729227722</c:v>
                </c:pt>
                <c:pt idx="39">
                  <c:v>4293.796973052622</c:v>
                </c:pt>
                <c:pt idx="40">
                  <c:v>4387.0367731824717</c:v>
                </c:pt>
                <c:pt idx="41">
                  <c:v>4480.2765733123215</c:v>
                </c:pt>
                <c:pt idx="42">
                  <c:v>4573.5163734421712</c:v>
                </c:pt>
                <c:pt idx="43">
                  <c:v>4666.756173572021</c:v>
                </c:pt>
                <c:pt idx="44">
                  <c:v>4759.9959737018708</c:v>
                </c:pt>
                <c:pt idx="45">
                  <c:v>4853.2357738317205</c:v>
                </c:pt>
                <c:pt idx="46">
                  <c:v>4946.4755739615703</c:v>
                </c:pt>
                <c:pt idx="47">
                  <c:v>5039.71537409142</c:v>
                </c:pt>
                <c:pt idx="48">
                  <c:v>5132.9551742212698</c:v>
                </c:pt>
                <c:pt idx="49">
                  <c:v>5226.1949743511195</c:v>
                </c:pt>
                <c:pt idx="50">
                  <c:v>5319.4347744809693</c:v>
                </c:pt>
                <c:pt idx="51">
                  <c:v>5412.674574610819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2B-4CA3-ABAD-87EE4512C9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5648544"/>
        <c:axId val="1521493440"/>
      </c:lineChart>
      <c:catAx>
        <c:axId val="1575648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Output of LEO Network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493440"/>
        <c:crosses val="autoZero"/>
        <c:auto val="1"/>
        <c:lblAlgn val="ctr"/>
        <c:lblOffset val="100"/>
        <c:noMultiLvlLbl val="0"/>
      </c:catAx>
      <c:valAx>
        <c:axId val="152149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 (US$ Mn)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64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Total Cost Per Minute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'Costs - SR - LEO'!$AI$2</c:f>
              <c:strCache>
                <c:ptCount val="1"/>
                <c:pt idx="0">
                  <c:v>Average fixed cost (US$/Min)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'Costs - SR - LEO'!$AI$4:$AI$55</c:f>
              <c:numCache>
                <c:formatCode>0</c:formatCode>
                <c:ptCount val="52"/>
                <c:pt idx="0">
                  <c:v>31.306893713737452</c:v>
                </c:pt>
                <c:pt idx="1">
                  <c:v>15.653446856868726</c:v>
                </c:pt>
                <c:pt idx="2">
                  <c:v>10.435631237912483</c:v>
                </c:pt>
                <c:pt idx="3">
                  <c:v>7.826723428434363</c:v>
                </c:pt>
                <c:pt idx="4">
                  <c:v>6.2613787427474898</c:v>
                </c:pt>
                <c:pt idx="5">
                  <c:v>5.2178156189562417</c:v>
                </c:pt>
                <c:pt idx="6">
                  <c:v>4.4724133876767782</c:v>
                </c:pt>
                <c:pt idx="7">
                  <c:v>3.9133617142171815</c:v>
                </c:pt>
                <c:pt idx="8">
                  <c:v>3.4785437459708275</c:v>
                </c:pt>
                <c:pt idx="9">
                  <c:v>3.1306893713737449</c:v>
                </c:pt>
                <c:pt idx="10">
                  <c:v>2.8460812467034047</c:v>
                </c:pt>
                <c:pt idx="11">
                  <c:v>2.6089078094781208</c:v>
                </c:pt>
                <c:pt idx="12">
                  <c:v>2.4082225933644192</c:v>
                </c:pt>
                <c:pt idx="13">
                  <c:v>2.2362066938383891</c:v>
                </c:pt>
                <c:pt idx="14">
                  <c:v>2.0871262475824963</c:v>
                </c:pt>
                <c:pt idx="15">
                  <c:v>1.9566808571085907</c:v>
                </c:pt>
                <c:pt idx="16">
                  <c:v>1.8415819831610265</c:v>
                </c:pt>
                <c:pt idx="17">
                  <c:v>1.7392718729854137</c:v>
                </c:pt>
                <c:pt idx="18">
                  <c:v>1.6477312480914446</c:v>
                </c:pt>
                <c:pt idx="19">
                  <c:v>1.5653446856868725</c:v>
                </c:pt>
                <c:pt idx="20">
                  <c:v>1.4908044625589263</c:v>
                </c:pt>
                <c:pt idx="21">
                  <c:v>1.4230406233517023</c:v>
                </c:pt>
                <c:pt idx="22">
                  <c:v>1.3611692919016283</c:v>
                </c:pt>
                <c:pt idx="23">
                  <c:v>1.3044539047390604</c:v>
                </c:pt>
                <c:pt idx="24">
                  <c:v>1.252275748549498</c:v>
                </c:pt>
                <c:pt idx="25">
                  <c:v>1.2041112966822096</c:v>
                </c:pt>
                <c:pt idx="26">
                  <c:v>1.1595145819902759</c:v>
                </c:pt>
                <c:pt idx="27">
                  <c:v>1.1181033469191946</c:v>
                </c:pt>
                <c:pt idx="28">
                  <c:v>1.0795480590943949</c:v>
                </c:pt>
                <c:pt idx="29">
                  <c:v>1.0435631237912482</c:v>
                </c:pt>
                <c:pt idx="30">
                  <c:v>1.0098997972173371</c:v>
                </c:pt>
                <c:pt idx="31">
                  <c:v>0.97834042855429537</c:v>
                </c:pt>
                <c:pt idx="32">
                  <c:v>0.94869374890113489</c:v>
                </c:pt>
                <c:pt idx="33">
                  <c:v>0.92079099158051325</c:v>
                </c:pt>
                <c:pt idx="34">
                  <c:v>0.89448267753535571</c:v>
                </c:pt>
                <c:pt idx="35">
                  <c:v>0.86963593649270687</c:v>
                </c:pt>
                <c:pt idx="36">
                  <c:v>0.84613226253344453</c:v>
                </c:pt>
                <c:pt idx="37">
                  <c:v>0.82386562404572228</c:v>
                </c:pt>
                <c:pt idx="38">
                  <c:v>0.80274086445480641</c:v>
                </c:pt>
                <c:pt idx="39">
                  <c:v>0.78267234284343623</c:v>
                </c:pt>
                <c:pt idx="40">
                  <c:v>0.7635827735057914</c:v>
                </c:pt>
                <c:pt idx="41">
                  <c:v>0.74540223127946315</c:v>
                </c:pt>
                <c:pt idx="42">
                  <c:v>0.72806729566831285</c:v>
                </c:pt>
                <c:pt idx="43">
                  <c:v>0.71152031167585117</c:v>
                </c:pt>
                <c:pt idx="44">
                  <c:v>0.69570874919416548</c:v>
                </c:pt>
                <c:pt idx="45">
                  <c:v>0.68058464595081414</c:v>
                </c:pt>
                <c:pt idx="46">
                  <c:v>0.66610412156888188</c:v>
                </c:pt>
                <c:pt idx="47">
                  <c:v>0.65222695236953021</c:v>
                </c:pt>
                <c:pt idx="48">
                  <c:v>0.63891619823953982</c:v>
                </c:pt>
                <c:pt idx="49">
                  <c:v>0.62613787427474898</c:v>
                </c:pt>
                <c:pt idx="50">
                  <c:v>0.61386066105367554</c:v>
                </c:pt>
                <c:pt idx="51">
                  <c:v>0.60205564834110481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79-4F26-8560-D54D7DEF289A}"/>
            </c:ext>
          </c:extLst>
        </c:ser>
        <c:ser>
          <c:idx val="2"/>
          <c:order val="2"/>
          <c:tx>
            <c:strRef>
              <c:f>'Costs - SR - LEO'!$AJ$2</c:f>
              <c:strCache>
                <c:ptCount val="1"/>
                <c:pt idx="0">
                  <c:v>Average variable cost (US$/Min)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invertIfNegative val="0"/>
          <c:cat>
            <c:numRef>
              <c:f>'Costs - SR - LEO'!$AA$4:$AA$55</c:f>
              <c:numCache>
                <c:formatCode>_(* #,##0_);_(* \(#,##0\);_(* "-"??_);_(@_)</c:formatCode>
                <c:ptCount val="52"/>
                <c:pt idx="0">
                  <c:v>21000000</c:v>
                </c:pt>
                <c:pt idx="1">
                  <c:v>42000000</c:v>
                </c:pt>
                <c:pt idx="2">
                  <c:v>63000000</c:v>
                </c:pt>
                <c:pt idx="3">
                  <c:v>84000000</c:v>
                </c:pt>
                <c:pt idx="4">
                  <c:v>105000000</c:v>
                </c:pt>
                <c:pt idx="5">
                  <c:v>126000000</c:v>
                </c:pt>
                <c:pt idx="6">
                  <c:v>147000000</c:v>
                </c:pt>
                <c:pt idx="7">
                  <c:v>168000000</c:v>
                </c:pt>
                <c:pt idx="8">
                  <c:v>189000000</c:v>
                </c:pt>
                <c:pt idx="9">
                  <c:v>210000000</c:v>
                </c:pt>
                <c:pt idx="10">
                  <c:v>231000000</c:v>
                </c:pt>
                <c:pt idx="11">
                  <c:v>252000000</c:v>
                </c:pt>
                <c:pt idx="12">
                  <c:v>273000000</c:v>
                </c:pt>
                <c:pt idx="13">
                  <c:v>294000000</c:v>
                </c:pt>
                <c:pt idx="14">
                  <c:v>315000000</c:v>
                </c:pt>
                <c:pt idx="15">
                  <c:v>336000000</c:v>
                </c:pt>
                <c:pt idx="16">
                  <c:v>357000000</c:v>
                </c:pt>
                <c:pt idx="17">
                  <c:v>378000000</c:v>
                </c:pt>
                <c:pt idx="18">
                  <c:v>399000000</c:v>
                </c:pt>
                <c:pt idx="19">
                  <c:v>420000000</c:v>
                </c:pt>
                <c:pt idx="20">
                  <c:v>441000000</c:v>
                </c:pt>
                <c:pt idx="21">
                  <c:v>462000000</c:v>
                </c:pt>
                <c:pt idx="22">
                  <c:v>483000000</c:v>
                </c:pt>
                <c:pt idx="23">
                  <c:v>504000000</c:v>
                </c:pt>
                <c:pt idx="24">
                  <c:v>525000000</c:v>
                </c:pt>
                <c:pt idx="25">
                  <c:v>546000000</c:v>
                </c:pt>
                <c:pt idx="26">
                  <c:v>567000000</c:v>
                </c:pt>
                <c:pt idx="27">
                  <c:v>588000000</c:v>
                </c:pt>
                <c:pt idx="28">
                  <c:v>609000000</c:v>
                </c:pt>
                <c:pt idx="29">
                  <c:v>630000000</c:v>
                </c:pt>
                <c:pt idx="30">
                  <c:v>651000000</c:v>
                </c:pt>
                <c:pt idx="31">
                  <c:v>672000000</c:v>
                </c:pt>
                <c:pt idx="32">
                  <c:v>693000000</c:v>
                </c:pt>
                <c:pt idx="33">
                  <c:v>714000000</c:v>
                </c:pt>
                <c:pt idx="34">
                  <c:v>735000000</c:v>
                </c:pt>
                <c:pt idx="35">
                  <c:v>756000000</c:v>
                </c:pt>
                <c:pt idx="36">
                  <c:v>777000000</c:v>
                </c:pt>
                <c:pt idx="37">
                  <c:v>798000000</c:v>
                </c:pt>
                <c:pt idx="38">
                  <c:v>819000000</c:v>
                </c:pt>
                <c:pt idx="39">
                  <c:v>840000000</c:v>
                </c:pt>
                <c:pt idx="40">
                  <c:v>861000000</c:v>
                </c:pt>
                <c:pt idx="41">
                  <c:v>882000000</c:v>
                </c:pt>
                <c:pt idx="42">
                  <c:v>903000000</c:v>
                </c:pt>
                <c:pt idx="43">
                  <c:v>924000000</c:v>
                </c:pt>
                <c:pt idx="44">
                  <c:v>945000000</c:v>
                </c:pt>
                <c:pt idx="45">
                  <c:v>966000000</c:v>
                </c:pt>
                <c:pt idx="46">
                  <c:v>987000000</c:v>
                </c:pt>
                <c:pt idx="47">
                  <c:v>1008000000</c:v>
                </c:pt>
                <c:pt idx="48">
                  <c:v>1029000000</c:v>
                </c:pt>
                <c:pt idx="49">
                  <c:v>1050000000</c:v>
                </c:pt>
                <c:pt idx="50">
                  <c:v>1071000000</c:v>
                </c:pt>
                <c:pt idx="51">
                  <c:v>1092000000</c:v>
                </c:pt>
              </c:numCache>
            </c:numRef>
          </c:cat>
          <c:val>
            <c:numRef>
              <c:f>'Costs - SR - LEO'!$AJ$4:$AJ$55</c:f>
              <c:numCache>
                <c:formatCode>0</c:formatCode>
                <c:ptCount val="52"/>
                <c:pt idx="0">
                  <c:v>0</c:v>
                </c:pt>
                <c:pt idx="1">
                  <c:v>2.219995241186894</c:v>
                </c:pt>
                <c:pt idx="2">
                  <c:v>2.9599936549158583</c:v>
                </c:pt>
                <c:pt idx="3">
                  <c:v>3.3299928617803412</c:v>
                </c:pt>
                <c:pt idx="4">
                  <c:v>3.5519923858990299</c:v>
                </c:pt>
                <c:pt idx="5">
                  <c:v>3.6999920686448231</c:v>
                </c:pt>
                <c:pt idx="6">
                  <c:v>3.805706127748961</c:v>
                </c:pt>
                <c:pt idx="7">
                  <c:v>3.8849916720770641</c:v>
                </c:pt>
                <c:pt idx="8">
                  <c:v>3.9466582065544782</c:v>
                </c:pt>
                <c:pt idx="9">
                  <c:v>3.9959914341364091</c:v>
                </c:pt>
                <c:pt idx="10">
                  <c:v>4.036354983976171</c:v>
                </c:pt>
                <c:pt idx="11">
                  <c:v>4.0699912755093051</c:v>
                </c:pt>
                <c:pt idx="12">
                  <c:v>4.0984527529604193</c:v>
                </c:pt>
                <c:pt idx="13">
                  <c:v>4.1228483050613747</c:v>
                </c:pt>
                <c:pt idx="14">
                  <c:v>4.1439911168822015</c:v>
                </c:pt>
                <c:pt idx="15">
                  <c:v>4.1624910772254262</c:v>
                </c:pt>
                <c:pt idx="16">
                  <c:v>4.1788145716459182</c:v>
                </c:pt>
                <c:pt idx="17">
                  <c:v>4.1933243444641333</c:v>
                </c:pt>
                <c:pt idx="18">
                  <c:v>4.206306772775168</c:v>
                </c:pt>
                <c:pt idx="19">
                  <c:v>4.2179909582550978</c:v>
                </c:pt>
                <c:pt idx="20">
                  <c:v>4.2285623641655121</c:v>
                </c:pt>
                <c:pt idx="21">
                  <c:v>4.238172733174979</c:v>
                </c:pt>
                <c:pt idx="22">
                  <c:v>4.2469474179227538</c:v>
                </c:pt>
                <c:pt idx="23">
                  <c:v>4.2549908789415474</c:v>
                </c:pt>
                <c:pt idx="24">
                  <c:v>4.2623908630788376</c:v>
                </c:pt>
                <c:pt idx="25">
                  <c:v>4.269221617667105</c:v>
                </c:pt>
                <c:pt idx="26">
                  <c:v>4.2755463904340196</c:v>
                </c:pt>
                <c:pt idx="27">
                  <c:v>4.2814193937175835</c:v>
                </c:pt>
                <c:pt idx="28">
                  <c:v>4.2868873622919352</c:v>
                </c:pt>
                <c:pt idx="29">
                  <c:v>4.2919907996279978</c:v>
                </c:pt>
                <c:pt idx="30">
                  <c:v>4.2967649829423777</c:v>
                </c:pt>
                <c:pt idx="31">
                  <c:v>4.3012407797996097</c:v>
                </c:pt>
                <c:pt idx="32">
                  <c:v>4.3054453162412516</c:v>
                </c:pt>
                <c:pt idx="33">
                  <c:v>4.3094025270098566</c:v>
                </c:pt>
                <c:pt idx="34">
                  <c:v>4.3131336114488263</c:v>
                </c:pt>
                <c:pt idx="35">
                  <c:v>4.3166574134189641</c:v>
                </c:pt>
                <c:pt idx="36">
                  <c:v>4.3199907396069328</c:v>
                </c:pt>
                <c:pt idx="37">
                  <c:v>4.3231486275744819</c:v>
                </c:pt>
                <c:pt idx="38">
                  <c:v>4.3261445725693362</c:v>
                </c:pt>
                <c:pt idx="39">
                  <c:v>4.3289907203144473</c:v>
                </c:pt>
                <c:pt idx="40">
                  <c:v>4.3316980315841871</c:v>
                </c:pt>
                <c:pt idx="41">
                  <c:v>4.3342764232696549</c:v>
                </c:pt>
                <c:pt idx="42">
                  <c:v>4.3367348897604483</c:v>
                </c:pt>
                <c:pt idx="43">
                  <c:v>4.3390816077743883</c:v>
                </c:pt>
                <c:pt idx="44">
                  <c:v>4.3413240272099305</c:v>
                </c:pt>
                <c:pt idx="45">
                  <c:v>4.3434689501482762</c:v>
                </c:pt>
                <c:pt idx="46">
                  <c:v>4.3455225997700957</c:v>
                </c:pt>
                <c:pt idx="47">
                  <c:v>4.3474906806576721</c:v>
                </c:pt>
                <c:pt idx="48">
                  <c:v>4.3493784317131041</c:v>
                </c:pt>
                <c:pt idx="49">
                  <c:v>4.3511906727263172</c:v>
                </c:pt>
                <c:pt idx="50">
                  <c:v>4.3529318454645036</c:v>
                </c:pt>
                <c:pt idx="51">
                  <c:v>4.3546060500204513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C2-4D9C-BBF6-403E44004E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75648544"/>
        <c:axId val="1521493440"/>
      </c:barChart>
      <c:lineChart>
        <c:grouping val="standard"/>
        <c:varyColors val="0"/>
        <c:ser>
          <c:idx val="0"/>
          <c:order val="0"/>
          <c:tx>
            <c:strRef>
              <c:f>'Costs - SR - LEO'!$AH$2</c:f>
              <c:strCache>
                <c:ptCount val="1"/>
                <c:pt idx="0">
                  <c:v> Average total cost ($/Min) 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'Costs - SR - LEO'!$AA$4:$AA$55</c:f>
              <c:numCache>
                <c:formatCode>_(* #,##0_);_(* \(#,##0\);_(* "-"??_);_(@_)</c:formatCode>
                <c:ptCount val="52"/>
                <c:pt idx="0">
                  <c:v>21000000</c:v>
                </c:pt>
                <c:pt idx="1">
                  <c:v>42000000</c:v>
                </c:pt>
                <c:pt idx="2">
                  <c:v>63000000</c:v>
                </c:pt>
                <c:pt idx="3">
                  <c:v>84000000</c:v>
                </c:pt>
                <c:pt idx="4">
                  <c:v>105000000</c:v>
                </c:pt>
                <c:pt idx="5">
                  <c:v>126000000</c:v>
                </c:pt>
                <c:pt idx="6">
                  <c:v>147000000</c:v>
                </c:pt>
                <c:pt idx="7">
                  <c:v>168000000</c:v>
                </c:pt>
                <c:pt idx="8">
                  <c:v>189000000</c:v>
                </c:pt>
                <c:pt idx="9">
                  <c:v>210000000</c:v>
                </c:pt>
                <c:pt idx="10">
                  <c:v>231000000</c:v>
                </c:pt>
                <c:pt idx="11">
                  <c:v>252000000</c:v>
                </c:pt>
                <c:pt idx="12">
                  <c:v>273000000</c:v>
                </c:pt>
                <c:pt idx="13">
                  <c:v>294000000</c:v>
                </c:pt>
                <c:pt idx="14">
                  <c:v>315000000</c:v>
                </c:pt>
                <c:pt idx="15">
                  <c:v>336000000</c:v>
                </c:pt>
                <c:pt idx="16">
                  <c:v>357000000</c:v>
                </c:pt>
                <c:pt idx="17">
                  <c:v>378000000</c:v>
                </c:pt>
                <c:pt idx="18">
                  <c:v>399000000</c:v>
                </c:pt>
                <c:pt idx="19">
                  <c:v>420000000</c:v>
                </c:pt>
                <c:pt idx="20">
                  <c:v>441000000</c:v>
                </c:pt>
                <c:pt idx="21">
                  <c:v>462000000</c:v>
                </c:pt>
                <c:pt idx="22">
                  <c:v>483000000</c:v>
                </c:pt>
                <c:pt idx="23">
                  <c:v>504000000</c:v>
                </c:pt>
                <c:pt idx="24">
                  <c:v>525000000</c:v>
                </c:pt>
                <c:pt idx="25">
                  <c:v>546000000</c:v>
                </c:pt>
                <c:pt idx="26">
                  <c:v>567000000</c:v>
                </c:pt>
                <c:pt idx="27">
                  <c:v>588000000</c:v>
                </c:pt>
                <c:pt idx="28">
                  <c:v>609000000</c:v>
                </c:pt>
                <c:pt idx="29">
                  <c:v>630000000</c:v>
                </c:pt>
                <c:pt idx="30">
                  <c:v>651000000</c:v>
                </c:pt>
                <c:pt idx="31">
                  <c:v>672000000</c:v>
                </c:pt>
                <c:pt idx="32">
                  <c:v>693000000</c:v>
                </c:pt>
                <c:pt idx="33">
                  <c:v>714000000</c:v>
                </c:pt>
                <c:pt idx="34">
                  <c:v>735000000</c:v>
                </c:pt>
                <c:pt idx="35">
                  <c:v>756000000</c:v>
                </c:pt>
                <c:pt idx="36">
                  <c:v>777000000</c:v>
                </c:pt>
                <c:pt idx="37">
                  <c:v>798000000</c:v>
                </c:pt>
                <c:pt idx="38">
                  <c:v>819000000</c:v>
                </c:pt>
                <c:pt idx="39">
                  <c:v>840000000</c:v>
                </c:pt>
                <c:pt idx="40">
                  <c:v>861000000</c:v>
                </c:pt>
                <c:pt idx="41">
                  <c:v>882000000</c:v>
                </c:pt>
                <c:pt idx="42">
                  <c:v>903000000</c:v>
                </c:pt>
                <c:pt idx="43">
                  <c:v>924000000</c:v>
                </c:pt>
                <c:pt idx="44">
                  <c:v>945000000</c:v>
                </c:pt>
                <c:pt idx="45">
                  <c:v>966000000</c:v>
                </c:pt>
                <c:pt idx="46">
                  <c:v>987000000</c:v>
                </c:pt>
                <c:pt idx="47">
                  <c:v>1008000000</c:v>
                </c:pt>
                <c:pt idx="48">
                  <c:v>1029000000</c:v>
                </c:pt>
                <c:pt idx="49">
                  <c:v>1050000000</c:v>
                </c:pt>
                <c:pt idx="50">
                  <c:v>1071000000</c:v>
                </c:pt>
                <c:pt idx="51">
                  <c:v>1092000000</c:v>
                </c:pt>
              </c:numCache>
            </c:numRef>
          </c:cat>
          <c:val>
            <c:numRef>
              <c:f>'Costs - SR - LEO'!$AH$4:$AH$55</c:f>
              <c:numCache>
                <c:formatCode>_(* #,##0.0_);_(* \(#,##0.0\);_(* "-"??_);_(@_)</c:formatCode>
                <c:ptCount val="52"/>
                <c:pt idx="0">
                  <c:v>31.306893713737452</c:v>
                </c:pt>
                <c:pt idx="1">
                  <c:v>17.873442098055619</c:v>
                </c:pt>
                <c:pt idx="2">
                  <c:v>13.395624892828341</c:v>
                </c:pt>
                <c:pt idx="3">
                  <c:v>11.156716290214703</c:v>
                </c:pt>
                <c:pt idx="4">
                  <c:v>9.8133711286465193</c:v>
                </c:pt>
                <c:pt idx="5">
                  <c:v>8.9178076876010657</c:v>
                </c:pt>
                <c:pt idx="6">
                  <c:v>8.2781195154257396</c:v>
                </c:pt>
                <c:pt idx="7">
                  <c:v>7.7983533862942451</c:v>
                </c:pt>
                <c:pt idx="8">
                  <c:v>7.4252019525253061</c:v>
                </c:pt>
                <c:pt idx="9">
                  <c:v>7.126680805510154</c:v>
                </c:pt>
                <c:pt idx="10">
                  <c:v>6.8824362306795752</c:v>
                </c:pt>
                <c:pt idx="11">
                  <c:v>6.6788990849874263</c:v>
                </c:pt>
                <c:pt idx="12">
                  <c:v>6.5066753463248386</c:v>
                </c:pt>
                <c:pt idx="13">
                  <c:v>6.3590549988997633</c:v>
                </c:pt>
                <c:pt idx="14">
                  <c:v>6.2311173644646978</c:v>
                </c:pt>
                <c:pt idx="15">
                  <c:v>6.119171934334017</c:v>
                </c:pt>
                <c:pt idx="16">
                  <c:v>6.0203965548069451</c:v>
                </c:pt>
                <c:pt idx="17">
                  <c:v>5.9325962174495466</c:v>
                </c:pt>
                <c:pt idx="18">
                  <c:v>5.8540380208666125</c:v>
                </c:pt>
                <c:pt idx="19">
                  <c:v>5.7833356439419701</c:v>
                </c:pt>
                <c:pt idx="20">
                  <c:v>5.7193668267244382</c:v>
                </c:pt>
                <c:pt idx="21">
                  <c:v>5.6612133565266811</c:v>
                </c:pt>
                <c:pt idx="22">
                  <c:v>5.6081167098243823</c:v>
                </c:pt>
                <c:pt idx="23">
                  <c:v>5.5594447836806076</c:v>
                </c:pt>
                <c:pt idx="24">
                  <c:v>5.5146666116283356</c:v>
                </c:pt>
                <c:pt idx="25">
                  <c:v>5.4733329143493146</c:v>
                </c:pt>
                <c:pt idx="26">
                  <c:v>5.4350609724242958</c:v>
                </c:pt>
                <c:pt idx="27">
                  <c:v>5.3995227406367778</c:v>
                </c:pt>
                <c:pt idx="28">
                  <c:v>5.3664354213863303</c:v>
                </c:pt>
                <c:pt idx="29">
                  <c:v>5.3355539234192459</c:v>
                </c:pt>
                <c:pt idx="30">
                  <c:v>5.3066647801597151</c:v>
                </c:pt>
                <c:pt idx="31">
                  <c:v>5.2795812083539051</c:v>
                </c:pt>
                <c:pt idx="32">
                  <c:v>5.254139065142386</c:v>
                </c:pt>
                <c:pt idx="33">
                  <c:v>5.2301935185903696</c:v>
                </c:pt>
                <c:pt idx="34">
                  <c:v>5.2076162889841822</c:v>
                </c:pt>
                <c:pt idx="35">
                  <c:v>5.1862933499116712</c:v>
                </c:pt>
                <c:pt idx="36">
                  <c:v>5.1661230021403775</c:v>
                </c:pt>
                <c:pt idx="37">
                  <c:v>5.1470142516202042</c:v>
                </c:pt>
                <c:pt idx="38">
                  <c:v>5.1288854370241426</c:v>
                </c:pt>
                <c:pt idx="39">
                  <c:v>5.1116630631578834</c:v>
                </c:pt>
                <c:pt idx="40">
                  <c:v>5.0952808050899785</c:v>
                </c:pt>
                <c:pt idx="41">
                  <c:v>5.0796786545491184</c:v>
                </c:pt>
                <c:pt idx="42">
                  <c:v>5.0648021854287615</c:v>
                </c:pt>
                <c:pt idx="43">
                  <c:v>5.0506019194502398</c:v>
                </c:pt>
                <c:pt idx="44">
                  <c:v>5.0370327764040956</c:v>
                </c:pt>
                <c:pt idx="45">
                  <c:v>5.0240535960990904</c:v>
                </c:pt>
                <c:pt idx="46">
                  <c:v>5.0116267213389776</c:v>
                </c:pt>
                <c:pt idx="47">
                  <c:v>4.9997176330272026</c:v>
                </c:pt>
                <c:pt idx="48">
                  <c:v>4.9882946299526436</c:v>
                </c:pt>
                <c:pt idx="49">
                  <c:v>4.9773285470010666</c:v>
                </c:pt>
                <c:pt idx="50">
                  <c:v>4.9667925065181793</c:v>
                </c:pt>
                <c:pt idx="51">
                  <c:v>4.9566616983615557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479-4F26-8560-D54D7DEF28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5648544"/>
        <c:axId val="1521493440"/>
      </c:lineChart>
      <c:catAx>
        <c:axId val="1575648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Output of LEO Network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493440"/>
        <c:crosses val="autoZero"/>
        <c:auto val="1"/>
        <c:lblAlgn val="ctr"/>
        <c:lblOffset val="100"/>
        <c:noMultiLvlLbl val="0"/>
      </c:catAx>
      <c:valAx>
        <c:axId val="152149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 (US$)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64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Cost of Production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'Costs - SR - GEO'!$AG$2</c:f>
              <c:strCache>
                <c:ptCount val="1"/>
                <c:pt idx="0">
                  <c:v>Fixed cost ($M)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'Costs - SR - GEO'!$AB$4:$AB$55</c:f>
              <c:numCache>
                <c:formatCode>_(* #,##0_);_(* \(#,##0\);_(* "-"??_);_(@_)</c:formatCode>
                <c:ptCount val="52"/>
                <c:pt idx="0">
                  <c:v>21000000</c:v>
                </c:pt>
                <c:pt idx="1">
                  <c:v>42000000</c:v>
                </c:pt>
                <c:pt idx="2">
                  <c:v>63000000</c:v>
                </c:pt>
                <c:pt idx="3">
                  <c:v>84000000</c:v>
                </c:pt>
                <c:pt idx="4">
                  <c:v>105000000</c:v>
                </c:pt>
                <c:pt idx="5">
                  <c:v>126000000</c:v>
                </c:pt>
                <c:pt idx="6">
                  <c:v>147000000</c:v>
                </c:pt>
                <c:pt idx="7">
                  <c:v>168000000</c:v>
                </c:pt>
                <c:pt idx="8">
                  <c:v>189000000</c:v>
                </c:pt>
                <c:pt idx="9">
                  <c:v>210000000</c:v>
                </c:pt>
                <c:pt idx="10">
                  <c:v>231000000</c:v>
                </c:pt>
                <c:pt idx="11">
                  <c:v>252000000</c:v>
                </c:pt>
                <c:pt idx="12">
                  <c:v>273000000</c:v>
                </c:pt>
                <c:pt idx="13">
                  <c:v>294000000</c:v>
                </c:pt>
                <c:pt idx="14">
                  <c:v>315000000</c:v>
                </c:pt>
                <c:pt idx="15">
                  <c:v>336000000</c:v>
                </c:pt>
                <c:pt idx="16">
                  <c:v>357000000</c:v>
                </c:pt>
                <c:pt idx="17">
                  <c:v>378000000</c:v>
                </c:pt>
                <c:pt idx="18">
                  <c:v>399000000</c:v>
                </c:pt>
                <c:pt idx="19">
                  <c:v>420000000</c:v>
                </c:pt>
                <c:pt idx="20">
                  <c:v>441000000</c:v>
                </c:pt>
                <c:pt idx="21">
                  <c:v>462000000</c:v>
                </c:pt>
                <c:pt idx="22">
                  <c:v>483000000</c:v>
                </c:pt>
                <c:pt idx="23">
                  <c:v>504000000</c:v>
                </c:pt>
                <c:pt idx="24">
                  <c:v>525000000</c:v>
                </c:pt>
                <c:pt idx="25">
                  <c:v>546000000</c:v>
                </c:pt>
                <c:pt idx="26">
                  <c:v>567000000</c:v>
                </c:pt>
                <c:pt idx="27">
                  <c:v>588000000</c:v>
                </c:pt>
                <c:pt idx="28">
                  <c:v>609000000</c:v>
                </c:pt>
                <c:pt idx="29">
                  <c:v>630000000</c:v>
                </c:pt>
                <c:pt idx="30">
                  <c:v>651000000</c:v>
                </c:pt>
                <c:pt idx="31">
                  <c:v>672000000</c:v>
                </c:pt>
                <c:pt idx="32">
                  <c:v>693000000</c:v>
                </c:pt>
                <c:pt idx="33">
                  <c:v>714000000</c:v>
                </c:pt>
                <c:pt idx="34">
                  <c:v>735000000</c:v>
                </c:pt>
                <c:pt idx="35">
                  <c:v>756000000</c:v>
                </c:pt>
                <c:pt idx="36">
                  <c:v>777000000</c:v>
                </c:pt>
                <c:pt idx="37">
                  <c:v>798000000</c:v>
                </c:pt>
                <c:pt idx="38">
                  <c:v>819000000</c:v>
                </c:pt>
                <c:pt idx="39">
                  <c:v>840000000</c:v>
                </c:pt>
                <c:pt idx="40">
                  <c:v>861000000</c:v>
                </c:pt>
                <c:pt idx="41">
                  <c:v>882000000</c:v>
                </c:pt>
                <c:pt idx="42">
                  <c:v>903000000</c:v>
                </c:pt>
                <c:pt idx="43">
                  <c:v>924000000</c:v>
                </c:pt>
                <c:pt idx="44">
                  <c:v>945000000</c:v>
                </c:pt>
                <c:pt idx="45">
                  <c:v>966000000</c:v>
                </c:pt>
                <c:pt idx="46">
                  <c:v>987000000</c:v>
                </c:pt>
                <c:pt idx="47">
                  <c:v>1008000000</c:v>
                </c:pt>
                <c:pt idx="48">
                  <c:v>1029000000</c:v>
                </c:pt>
                <c:pt idx="49">
                  <c:v>1050000000</c:v>
                </c:pt>
                <c:pt idx="50">
                  <c:v>1071000000</c:v>
                </c:pt>
                <c:pt idx="51">
                  <c:v>1092000000</c:v>
                </c:pt>
              </c:numCache>
            </c:numRef>
          </c:cat>
          <c:val>
            <c:numRef>
              <c:f>'Costs - SR - GEO'!$AG$4:$AG$55</c:f>
              <c:numCache>
                <c:formatCode>_(* #,##0_);_(* \(#,##0\);_(* "-"??_);_(@_)</c:formatCode>
                <c:ptCount val="52"/>
                <c:pt idx="0">
                  <c:v>1518.427193582557</c:v>
                </c:pt>
                <c:pt idx="1">
                  <c:v>1518.427193582557</c:v>
                </c:pt>
                <c:pt idx="2">
                  <c:v>1518.427193582557</c:v>
                </c:pt>
                <c:pt idx="3">
                  <c:v>1518.427193582557</c:v>
                </c:pt>
                <c:pt idx="4">
                  <c:v>1518.427193582557</c:v>
                </c:pt>
                <c:pt idx="5">
                  <c:v>1518.427193582557</c:v>
                </c:pt>
                <c:pt idx="6">
                  <c:v>1518.427193582557</c:v>
                </c:pt>
                <c:pt idx="7">
                  <c:v>1518.427193582557</c:v>
                </c:pt>
                <c:pt idx="8">
                  <c:v>1518.427193582557</c:v>
                </c:pt>
                <c:pt idx="9">
                  <c:v>1518.427193582557</c:v>
                </c:pt>
                <c:pt idx="10">
                  <c:v>1518.427193582557</c:v>
                </c:pt>
                <c:pt idx="11">
                  <c:v>1518.427193582557</c:v>
                </c:pt>
                <c:pt idx="12">
                  <c:v>1518.427193582557</c:v>
                </c:pt>
                <c:pt idx="13">
                  <c:v>1518.427193582557</c:v>
                </c:pt>
                <c:pt idx="14">
                  <c:v>1518.427193582557</c:v>
                </c:pt>
                <c:pt idx="15">
                  <c:v>1518.427193582557</c:v>
                </c:pt>
                <c:pt idx="16">
                  <c:v>1518.427193582557</c:v>
                </c:pt>
                <c:pt idx="17">
                  <c:v>1518.427193582557</c:v>
                </c:pt>
                <c:pt idx="18">
                  <c:v>1518.427193582557</c:v>
                </c:pt>
                <c:pt idx="19">
                  <c:v>1518.427193582557</c:v>
                </c:pt>
                <c:pt idx="20">
                  <c:v>1518.427193582557</c:v>
                </c:pt>
                <c:pt idx="21">
                  <c:v>1518.427193582557</c:v>
                </c:pt>
                <c:pt idx="22">
                  <c:v>1518.427193582557</c:v>
                </c:pt>
                <c:pt idx="23">
                  <c:v>1518.427193582557</c:v>
                </c:pt>
                <c:pt idx="24">
                  <c:v>1518.427193582557</c:v>
                </c:pt>
                <c:pt idx="25">
                  <c:v>1518.427193582557</c:v>
                </c:pt>
                <c:pt idx="26">
                  <c:v>1518.427193582557</c:v>
                </c:pt>
                <c:pt idx="27">
                  <c:v>1518.427193582557</c:v>
                </c:pt>
                <c:pt idx="28">
                  <c:v>1518.427193582557</c:v>
                </c:pt>
                <c:pt idx="29">
                  <c:v>1518.427193582557</c:v>
                </c:pt>
                <c:pt idx="30">
                  <c:v>1518.427193582557</c:v>
                </c:pt>
                <c:pt idx="31">
                  <c:v>1518.427193582557</c:v>
                </c:pt>
                <c:pt idx="32">
                  <c:v>1518.427193582557</c:v>
                </c:pt>
                <c:pt idx="33">
                  <c:v>1518.427193582557</c:v>
                </c:pt>
                <c:pt idx="34">
                  <c:v>1518.427193582557</c:v>
                </c:pt>
                <c:pt idx="35">
                  <c:v>1518.427193582557</c:v>
                </c:pt>
                <c:pt idx="36">
                  <c:v>1518.427193582557</c:v>
                </c:pt>
                <c:pt idx="37">
                  <c:v>1518.427193582557</c:v>
                </c:pt>
                <c:pt idx="38">
                  <c:v>1518.427193582557</c:v>
                </c:pt>
                <c:pt idx="39">
                  <c:v>1518.427193582557</c:v>
                </c:pt>
                <c:pt idx="40">
                  <c:v>1518.427193582557</c:v>
                </c:pt>
                <c:pt idx="41">
                  <c:v>1518.427193582557</c:v>
                </c:pt>
                <c:pt idx="42">
                  <c:v>1518.427193582557</c:v>
                </c:pt>
                <c:pt idx="43">
                  <c:v>1518.427193582557</c:v>
                </c:pt>
                <c:pt idx="44">
                  <c:v>1518.427193582557</c:v>
                </c:pt>
                <c:pt idx="45">
                  <c:v>1518.427193582557</c:v>
                </c:pt>
                <c:pt idx="46">
                  <c:v>1518.427193582557</c:v>
                </c:pt>
                <c:pt idx="47">
                  <c:v>1518.427193582557</c:v>
                </c:pt>
                <c:pt idx="48">
                  <c:v>1518.427193582557</c:v>
                </c:pt>
                <c:pt idx="49">
                  <c:v>1518.427193582557</c:v>
                </c:pt>
                <c:pt idx="50">
                  <c:v>1518.427193582557</c:v>
                </c:pt>
                <c:pt idx="51">
                  <c:v>1518.427193582557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37-420D-B5C4-F0CA925C4597}"/>
            </c:ext>
          </c:extLst>
        </c:ser>
        <c:ser>
          <c:idx val="2"/>
          <c:order val="2"/>
          <c:tx>
            <c:strRef>
              <c:f>'Costs - SR - GEO'!$AH$2</c:f>
              <c:strCache>
                <c:ptCount val="1"/>
                <c:pt idx="0">
                  <c:v>Variable cost ($M)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'Costs - SR - GEO'!$AB$4:$AB$55</c:f>
              <c:numCache>
                <c:formatCode>_(* #,##0_);_(* \(#,##0\);_(* "-"??_);_(@_)</c:formatCode>
                <c:ptCount val="52"/>
                <c:pt idx="0">
                  <c:v>21000000</c:v>
                </c:pt>
                <c:pt idx="1">
                  <c:v>42000000</c:v>
                </c:pt>
                <c:pt idx="2">
                  <c:v>63000000</c:v>
                </c:pt>
                <c:pt idx="3">
                  <c:v>84000000</c:v>
                </c:pt>
                <c:pt idx="4">
                  <c:v>105000000</c:v>
                </c:pt>
                <c:pt idx="5">
                  <c:v>126000000</c:v>
                </c:pt>
                <c:pt idx="6">
                  <c:v>147000000</c:v>
                </c:pt>
                <c:pt idx="7">
                  <c:v>168000000</c:v>
                </c:pt>
                <c:pt idx="8">
                  <c:v>189000000</c:v>
                </c:pt>
                <c:pt idx="9">
                  <c:v>210000000</c:v>
                </c:pt>
                <c:pt idx="10">
                  <c:v>231000000</c:v>
                </c:pt>
                <c:pt idx="11">
                  <c:v>252000000</c:v>
                </c:pt>
                <c:pt idx="12">
                  <c:v>273000000</c:v>
                </c:pt>
                <c:pt idx="13">
                  <c:v>294000000</c:v>
                </c:pt>
                <c:pt idx="14">
                  <c:v>315000000</c:v>
                </c:pt>
                <c:pt idx="15">
                  <c:v>336000000</c:v>
                </c:pt>
                <c:pt idx="16">
                  <c:v>357000000</c:v>
                </c:pt>
                <c:pt idx="17">
                  <c:v>378000000</c:v>
                </c:pt>
                <c:pt idx="18">
                  <c:v>399000000</c:v>
                </c:pt>
                <c:pt idx="19">
                  <c:v>420000000</c:v>
                </c:pt>
                <c:pt idx="20">
                  <c:v>441000000</c:v>
                </c:pt>
                <c:pt idx="21">
                  <c:v>462000000</c:v>
                </c:pt>
                <c:pt idx="22">
                  <c:v>483000000</c:v>
                </c:pt>
                <c:pt idx="23">
                  <c:v>504000000</c:v>
                </c:pt>
                <c:pt idx="24">
                  <c:v>525000000</c:v>
                </c:pt>
                <c:pt idx="25">
                  <c:v>546000000</c:v>
                </c:pt>
                <c:pt idx="26">
                  <c:v>567000000</c:v>
                </c:pt>
                <c:pt idx="27">
                  <c:v>588000000</c:v>
                </c:pt>
                <c:pt idx="28">
                  <c:v>609000000</c:v>
                </c:pt>
                <c:pt idx="29">
                  <c:v>630000000</c:v>
                </c:pt>
                <c:pt idx="30">
                  <c:v>651000000</c:v>
                </c:pt>
                <c:pt idx="31">
                  <c:v>672000000</c:v>
                </c:pt>
                <c:pt idx="32">
                  <c:v>693000000</c:v>
                </c:pt>
                <c:pt idx="33">
                  <c:v>714000000</c:v>
                </c:pt>
                <c:pt idx="34">
                  <c:v>735000000</c:v>
                </c:pt>
                <c:pt idx="35">
                  <c:v>756000000</c:v>
                </c:pt>
                <c:pt idx="36">
                  <c:v>777000000</c:v>
                </c:pt>
                <c:pt idx="37">
                  <c:v>798000000</c:v>
                </c:pt>
                <c:pt idx="38">
                  <c:v>819000000</c:v>
                </c:pt>
                <c:pt idx="39">
                  <c:v>840000000</c:v>
                </c:pt>
                <c:pt idx="40">
                  <c:v>861000000</c:v>
                </c:pt>
                <c:pt idx="41">
                  <c:v>882000000</c:v>
                </c:pt>
                <c:pt idx="42">
                  <c:v>903000000</c:v>
                </c:pt>
                <c:pt idx="43">
                  <c:v>924000000</c:v>
                </c:pt>
                <c:pt idx="44">
                  <c:v>945000000</c:v>
                </c:pt>
                <c:pt idx="45">
                  <c:v>966000000</c:v>
                </c:pt>
                <c:pt idx="46">
                  <c:v>987000000</c:v>
                </c:pt>
                <c:pt idx="47">
                  <c:v>1008000000</c:v>
                </c:pt>
                <c:pt idx="48">
                  <c:v>1029000000</c:v>
                </c:pt>
                <c:pt idx="49">
                  <c:v>1050000000</c:v>
                </c:pt>
                <c:pt idx="50">
                  <c:v>1071000000</c:v>
                </c:pt>
                <c:pt idx="51">
                  <c:v>1092000000</c:v>
                </c:pt>
              </c:numCache>
            </c:numRef>
          </c:cat>
          <c:val>
            <c:numRef>
              <c:f>'Costs - SR - GEO'!$AH$4:$AH$55</c:f>
              <c:numCache>
                <c:formatCode>_(* #,##0_);_(* \(#,##0\);_(* "-"??_);_(@_)</c:formatCode>
                <c:ptCount val="52"/>
                <c:pt idx="0">
                  <c:v>0</c:v>
                </c:pt>
                <c:pt idx="1">
                  <c:v>433.93557647937666</c:v>
                </c:pt>
                <c:pt idx="2">
                  <c:v>867.87115295875333</c:v>
                </c:pt>
                <c:pt idx="3">
                  <c:v>1301.8067294381299</c:v>
                </c:pt>
                <c:pt idx="4">
                  <c:v>1735.7423059175067</c:v>
                </c:pt>
                <c:pt idx="5">
                  <c:v>2169.6778823968834</c:v>
                </c:pt>
                <c:pt idx="6">
                  <c:v>2603.6134588762602</c:v>
                </c:pt>
                <c:pt idx="7">
                  <c:v>3037.549035355637</c:v>
                </c:pt>
                <c:pt idx="8">
                  <c:v>3471.4846118350138</c:v>
                </c:pt>
                <c:pt idx="9">
                  <c:v>3905.4201883143905</c:v>
                </c:pt>
                <c:pt idx="10">
                  <c:v>4339.3557647937669</c:v>
                </c:pt>
                <c:pt idx="11">
                  <c:v>4773.2913412731432</c:v>
                </c:pt>
                <c:pt idx="12">
                  <c:v>5207.2269177525195</c:v>
                </c:pt>
                <c:pt idx="13">
                  <c:v>5641.1624942318958</c:v>
                </c:pt>
                <c:pt idx="14">
                  <c:v>6075.0980707112722</c:v>
                </c:pt>
                <c:pt idx="15">
                  <c:v>6509.0336471906485</c:v>
                </c:pt>
                <c:pt idx="16">
                  <c:v>6942.9692236700248</c:v>
                </c:pt>
                <c:pt idx="17">
                  <c:v>7376.9048001494011</c:v>
                </c:pt>
                <c:pt idx="18">
                  <c:v>7810.8403766287774</c:v>
                </c:pt>
                <c:pt idx="19">
                  <c:v>8244.7759531081538</c:v>
                </c:pt>
                <c:pt idx="20">
                  <c:v>8678.7115295875301</c:v>
                </c:pt>
                <c:pt idx="21">
                  <c:v>9112.6471060669064</c:v>
                </c:pt>
                <c:pt idx="22">
                  <c:v>9546.5826825462827</c:v>
                </c:pt>
                <c:pt idx="23">
                  <c:v>9980.5182590256591</c:v>
                </c:pt>
                <c:pt idx="24">
                  <c:v>10414.453835505035</c:v>
                </c:pt>
                <c:pt idx="25">
                  <c:v>10848.389411984412</c:v>
                </c:pt>
                <c:pt idx="26">
                  <c:v>11282.324988463788</c:v>
                </c:pt>
                <c:pt idx="27">
                  <c:v>11716.260564943164</c:v>
                </c:pt>
                <c:pt idx="28">
                  <c:v>12150.196141422541</c:v>
                </c:pt>
                <c:pt idx="29">
                  <c:v>12584.131717901917</c:v>
                </c:pt>
                <c:pt idx="30">
                  <c:v>13018.067294381293</c:v>
                </c:pt>
                <c:pt idx="31">
                  <c:v>13452.00287086067</c:v>
                </c:pt>
                <c:pt idx="32">
                  <c:v>13885.938447340046</c:v>
                </c:pt>
                <c:pt idx="33">
                  <c:v>14319.874023819422</c:v>
                </c:pt>
                <c:pt idx="34">
                  <c:v>14753.809600298799</c:v>
                </c:pt>
                <c:pt idx="35">
                  <c:v>15187.745176778175</c:v>
                </c:pt>
                <c:pt idx="36">
                  <c:v>15621.680753257551</c:v>
                </c:pt>
                <c:pt idx="37">
                  <c:v>16055.616329736928</c:v>
                </c:pt>
                <c:pt idx="38">
                  <c:v>16489.551906216304</c:v>
                </c:pt>
                <c:pt idx="39">
                  <c:v>16923.48748269568</c:v>
                </c:pt>
                <c:pt idx="40">
                  <c:v>17357.423059175057</c:v>
                </c:pt>
                <c:pt idx="41">
                  <c:v>17791.358635654433</c:v>
                </c:pt>
                <c:pt idx="42">
                  <c:v>18225.294212133809</c:v>
                </c:pt>
                <c:pt idx="43">
                  <c:v>18659.229788613186</c:v>
                </c:pt>
                <c:pt idx="44">
                  <c:v>19093.165365092562</c:v>
                </c:pt>
                <c:pt idx="45">
                  <c:v>19527.100941571938</c:v>
                </c:pt>
                <c:pt idx="46">
                  <c:v>19961.036518051314</c:v>
                </c:pt>
                <c:pt idx="47">
                  <c:v>20394.972094530691</c:v>
                </c:pt>
                <c:pt idx="48">
                  <c:v>20828.907671010067</c:v>
                </c:pt>
                <c:pt idx="49">
                  <c:v>21262.843247489443</c:v>
                </c:pt>
                <c:pt idx="50">
                  <c:v>21696.77882396882</c:v>
                </c:pt>
                <c:pt idx="51">
                  <c:v>22130.714400448196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37-420D-B5C4-F0CA925C45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75648544"/>
        <c:axId val="1521493440"/>
      </c:barChart>
      <c:lineChart>
        <c:grouping val="standard"/>
        <c:varyColors val="0"/>
        <c:ser>
          <c:idx val="0"/>
          <c:order val="0"/>
          <c:tx>
            <c:strRef>
              <c:f>'Costs - SR - GEO'!$AF$2</c:f>
              <c:strCache>
                <c:ptCount val="1"/>
                <c:pt idx="0">
                  <c:v>Total cost ($M)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'Costs - SR - GEO'!$AB$4:$AB$55</c:f>
              <c:numCache>
                <c:formatCode>_(* #,##0_);_(* \(#,##0\);_(* "-"??_);_(@_)</c:formatCode>
                <c:ptCount val="52"/>
                <c:pt idx="0">
                  <c:v>21000000</c:v>
                </c:pt>
                <c:pt idx="1">
                  <c:v>42000000</c:v>
                </c:pt>
                <c:pt idx="2">
                  <c:v>63000000</c:v>
                </c:pt>
                <c:pt idx="3">
                  <c:v>84000000</c:v>
                </c:pt>
                <c:pt idx="4">
                  <c:v>105000000</c:v>
                </c:pt>
                <c:pt idx="5">
                  <c:v>126000000</c:v>
                </c:pt>
                <c:pt idx="6">
                  <c:v>147000000</c:v>
                </c:pt>
                <c:pt idx="7">
                  <c:v>168000000</c:v>
                </c:pt>
                <c:pt idx="8">
                  <c:v>189000000</c:v>
                </c:pt>
                <c:pt idx="9">
                  <c:v>210000000</c:v>
                </c:pt>
                <c:pt idx="10">
                  <c:v>231000000</c:v>
                </c:pt>
                <c:pt idx="11">
                  <c:v>252000000</c:v>
                </c:pt>
                <c:pt idx="12">
                  <c:v>273000000</c:v>
                </c:pt>
                <c:pt idx="13">
                  <c:v>294000000</c:v>
                </c:pt>
                <c:pt idx="14">
                  <c:v>315000000</c:v>
                </c:pt>
                <c:pt idx="15">
                  <c:v>336000000</c:v>
                </c:pt>
                <c:pt idx="16">
                  <c:v>357000000</c:v>
                </c:pt>
                <c:pt idx="17">
                  <c:v>378000000</c:v>
                </c:pt>
                <c:pt idx="18">
                  <c:v>399000000</c:v>
                </c:pt>
                <c:pt idx="19">
                  <c:v>420000000</c:v>
                </c:pt>
                <c:pt idx="20">
                  <c:v>441000000</c:v>
                </c:pt>
                <c:pt idx="21">
                  <c:v>462000000</c:v>
                </c:pt>
                <c:pt idx="22">
                  <c:v>483000000</c:v>
                </c:pt>
                <c:pt idx="23">
                  <c:v>504000000</c:v>
                </c:pt>
                <c:pt idx="24">
                  <c:v>525000000</c:v>
                </c:pt>
                <c:pt idx="25">
                  <c:v>546000000</c:v>
                </c:pt>
                <c:pt idx="26">
                  <c:v>567000000</c:v>
                </c:pt>
                <c:pt idx="27">
                  <c:v>588000000</c:v>
                </c:pt>
                <c:pt idx="28">
                  <c:v>609000000</c:v>
                </c:pt>
                <c:pt idx="29">
                  <c:v>630000000</c:v>
                </c:pt>
                <c:pt idx="30">
                  <c:v>651000000</c:v>
                </c:pt>
                <c:pt idx="31">
                  <c:v>672000000</c:v>
                </c:pt>
                <c:pt idx="32">
                  <c:v>693000000</c:v>
                </c:pt>
                <c:pt idx="33">
                  <c:v>714000000</c:v>
                </c:pt>
                <c:pt idx="34">
                  <c:v>735000000</c:v>
                </c:pt>
                <c:pt idx="35">
                  <c:v>756000000</c:v>
                </c:pt>
                <c:pt idx="36">
                  <c:v>777000000</c:v>
                </c:pt>
                <c:pt idx="37">
                  <c:v>798000000</c:v>
                </c:pt>
                <c:pt idx="38">
                  <c:v>819000000</c:v>
                </c:pt>
                <c:pt idx="39">
                  <c:v>840000000</c:v>
                </c:pt>
                <c:pt idx="40">
                  <c:v>861000000</c:v>
                </c:pt>
                <c:pt idx="41">
                  <c:v>882000000</c:v>
                </c:pt>
                <c:pt idx="42">
                  <c:v>903000000</c:v>
                </c:pt>
                <c:pt idx="43">
                  <c:v>924000000</c:v>
                </c:pt>
                <c:pt idx="44">
                  <c:v>945000000</c:v>
                </c:pt>
                <c:pt idx="45">
                  <c:v>966000000</c:v>
                </c:pt>
                <c:pt idx="46">
                  <c:v>987000000</c:v>
                </c:pt>
                <c:pt idx="47">
                  <c:v>1008000000</c:v>
                </c:pt>
                <c:pt idx="48">
                  <c:v>1029000000</c:v>
                </c:pt>
                <c:pt idx="49">
                  <c:v>1050000000</c:v>
                </c:pt>
                <c:pt idx="50">
                  <c:v>1071000000</c:v>
                </c:pt>
                <c:pt idx="51">
                  <c:v>1092000000</c:v>
                </c:pt>
              </c:numCache>
            </c:numRef>
          </c:cat>
          <c:val>
            <c:numRef>
              <c:f>'Costs - SR - GEO'!$AF$4:$AF$55</c:f>
              <c:numCache>
                <c:formatCode>_(* #,##0_);_(* \(#,##0\);_(* "-"??_);_(@_)</c:formatCode>
                <c:ptCount val="52"/>
                <c:pt idx="0">
                  <c:v>1518.427193582557</c:v>
                </c:pt>
                <c:pt idx="1">
                  <c:v>1952.3627700619336</c:v>
                </c:pt>
                <c:pt idx="2">
                  <c:v>2386.2983465413104</c:v>
                </c:pt>
                <c:pt idx="3">
                  <c:v>2820.2339230206871</c:v>
                </c:pt>
                <c:pt idx="4">
                  <c:v>3254.1694995000635</c:v>
                </c:pt>
                <c:pt idx="5">
                  <c:v>3688.1050759794407</c:v>
                </c:pt>
                <c:pt idx="6">
                  <c:v>4122.040652458817</c:v>
                </c:pt>
                <c:pt idx="7">
                  <c:v>4555.9762289381943</c:v>
                </c:pt>
                <c:pt idx="8">
                  <c:v>4989.9118054175706</c:v>
                </c:pt>
                <c:pt idx="9">
                  <c:v>5423.8473818969478</c:v>
                </c:pt>
                <c:pt idx="10">
                  <c:v>5857.7829583763241</c:v>
                </c:pt>
                <c:pt idx="11">
                  <c:v>6291.7185348557005</c:v>
                </c:pt>
                <c:pt idx="12">
                  <c:v>6725.6541113350768</c:v>
                </c:pt>
                <c:pt idx="13">
                  <c:v>7159.5896878144531</c:v>
                </c:pt>
                <c:pt idx="14">
                  <c:v>7593.5252642938294</c:v>
                </c:pt>
                <c:pt idx="15">
                  <c:v>8027.4608407732057</c:v>
                </c:pt>
                <c:pt idx="16">
                  <c:v>8461.3964172525812</c:v>
                </c:pt>
                <c:pt idx="17">
                  <c:v>8895.3319937319575</c:v>
                </c:pt>
                <c:pt idx="18">
                  <c:v>9329.2675702113338</c:v>
                </c:pt>
                <c:pt idx="19">
                  <c:v>9763.2031466907101</c:v>
                </c:pt>
                <c:pt idx="20">
                  <c:v>10197.138723170086</c:v>
                </c:pt>
                <c:pt idx="21">
                  <c:v>10631.074299649463</c:v>
                </c:pt>
                <c:pt idx="22">
                  <c:v>11065.009876128839</c:v>
                </c:pt>
                <c:pt idx="23">
                  <c:v>11498.945452608215</c:v>
                </c:pt>
                <c:pt idx="24">
                  <c:v>11932.881029087592</c:v>
                </c:pt>
                <c:pt idx="25">
                  <c:v>12366.816605566968</c:v>
                </c:pt>
                <c:pt idx="26">
                  <c:v>12800.752182046344</c:v>
                </c:pt>
                <c:pt idx="27">
                  <c:v>13234.687758525721</c:v>
                </c:pt>
                <c:pt idx="28">
                  <c:v>13668.623335005097</c:v>
                </c:pt>
                <c:pt idx="29">
                  <c:v>14102.558911484473</c:v>
                </c:pt>
                <c:pt idx="30">
                  <c:v>14536.49448796385</c:v>
                </c:pt>
                <c:pt idx="31">
                  <c:v>14970.430064443226</c:v>
                </c:pt>
                <c:pt idx="32">
                  <c:v>15404.365640922602</c:v>
                </c:pt>
                <c:pt idx="33">
                  <c:v>15838.301217401979</c:v>
                </c:pt>
                <c:pt idx="34">
                  <c:v>16272.236793881355</c:v>
                </c:pt>
                <c:pt idx="35">
                  <c:v>16706.172370360731</c:v>
                </c:pt>
                <c:pt idx="36">
                  <c:v>17140.107946840108</c:v>
                </c:pt>
                <c:pt idx="37">
                  <c:v>17574.043523319484</c:v>
                </c:pt>
                <c:pt idx="38">
                  <c:v>18007.97909979886</c:v>
                </c:pt>
                <c:pt idx="39">
                  <c:v>18441.914676278237</c:v>
                </c:pt>
                <c:pt idx="40">
                  <c:v>18875.850252757613</c:v>
                </c:pt>
                <c:pt idx="41">
                  <c:v>19309.785829236989</c:v>
                </c:pt>
                <c:pt idx="42">
                  <c:v>19743.721405716366</c:v>
                </c:pt>
                <c:pt idx="43">
                  <c:v>20177.656982195742</c:v>
                </c:pt>
                <c:pt idx="44">
                  <c:v>20611.592558675118</c:v>
                </c:pt>
                <c:pt idx="45">
                  <c:v>21045.528135154495</c:v>
                </c:pt>
                <c:pt idx="46">
                  <c:v>21479.463711633871</c:v>
                </c:pt>
                <c:pt idx="47">
                  <c:v>21913.399288113247</c:v>
                </c:pt>
                <c:pt idx="48">
                  <c:v>22347.334864592623</c:v>
                </c:pt>
                <c:pt idx="49">
                  <c:v>22781.270441072</c:v>
                </c:pt>
                <c:pt idx="50">
                  <c:v>23215.206017551376</c:v>
                </c:pt>
                <c:pt idx="51">
                  <c:v>23649.141594030752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137-420D-B5C4-F0CA925C45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5648544"/>
        <c:axId val="1521493440"/>
      </c:lineChart>
      <c:catAx>
        <c:axId val="1575648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Output of LEO Network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493440"/>
        <c:crosses val="autoZero"/>
        <c:auto val="1"/>
        <c:lblAlgn val="ctr"/>
        <c:lblOffset val="100"/>
        <c:noMultiLvlLbl val="0"/>
      </c:catAx>
      <c:valAx>
        <c:axId val="152149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 (US$ Mn)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64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Total Cost Per Minute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'Costs - SR - GEO'!$AJ$2</c:f>
              <c:strCache>
                <c:ptCount val="1"/>
                <c:pt idx="0">
                  <c:v>Average fixed cost (US$/Min)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'Costs - SR - GEO'!$AB$4:$AB$55</c:f>
              <c:numCache>
                <c:formatCode>_(* #,##0_);_(* \(#,##0\);_(* "-"??_);_(@_)</c:formatCode>
                <c:ptCount val="52"/>
                <c:pt idx="0">
                  <c:v>21000000</c:v>
                </c:pt>
                <c:pt idx="1">
                  <c:v>42000000</c:v>
                </c:pt>
                <c:pt idx="2">
                  <c:v>63000000</c:v>
                </c:pt>
                <c:pt idx="3">
                  <c:v>84000000</c:v>
                </c:pt>
                <c:pt idx="4">
                  <c:v>105000000</c:v>
                </c:pt>
                <c:pt idx="5">
                  <c:v>126000000</c:v>
                </c:pt>
                <c:pt idx="6">
                  <c:v>147000000</c:v>
                </c:pt>
                <c:pt idx="7">
                  <c:v>168000000</c:v>
                </c:pt>
                <c:pt idx="8">
                  <c:v>189000000</c:v>
                </c:pt>
                <c:pt idx="9">
                  <c:v>210000000</c:v>
                </c:pt>
                <c:pt idx="10">
                  <c:v>231000000</c:v>
                </c:pt>
                <c:pt idx="11">
                  <c:v>252000000</c:v>
                </c:pt>
                <c:pt idx="12">
                  <c:v>273000000</c:v>
                </c:pt>
                <c:pt idx="13">
                  <c:v>294000000</c:v>
                </c:pt>
                <c:pt idx="14">
                  <c:v>315000000</c:v>
                </c:pt>
                <c:pt idx="15">
                  <c:v>336000000</c:v>
                </c:pt>
                <c:pt idx="16">
                  <c:v>357000000</c:v>
                </c:pt>
                <c:pt idx="17">
                  <c:v>378000000</c:v>
                </c:pt>
                <c:pt idx="18">
                  <c:v>399000000</c:v>
                </c:pt>
                <c:pt idx="19">
                  <c:v>420000000</c:v>
                </c:pt>
                <c:pt idx="20">
                  <c:v>441000000</c:v>
                </c:pt>
                <c:pt idx="21">
                  <c:v>462000000</c:v>
                </c:pt>
                <c:pt idx="22">
                  <c:v>483000000</c:v>
                </c:pt>
                <c:pt idx="23">
                  <c:v>504000000</c:v>
                </c:pt>
                <c:pt idx="24">
                  <c:v>525000000</c:v>
                </c:pt>
                <c:pt idx="25">
                  <c:v>546000000</c:v>
                </c:pt>
                <c:pt idx="26">
                  <c:v>567000000</c:v>
                </c:pt>
                <c:pt idx="27">
                  <c:v>588000000</c:v>
                </c:pt>
                <c:pt idx="28">
                  <c:v>609000000</c:v>
                </c:pt>
                <c:pt idx="29">
                  <c:v>630000000</c:v>
                </c:pt>
                <c:pt idx="30">
                  <c:v>651000000</c:v>
                </c:pt>
                <c:pt idx="31">
                  <c:v>672000000</c:v>
                </c:pt>
                <c:pt idx="32">
                  <c:v>693000000</c:v>
                </c:pt>
                <c:pt idx="33">
                  <c:v>714000000</c:v>
                </c:pt>
                <c:pt idx="34">
                  <c:v>735000000</c:v>
                </c:pt>
                <c:pt idx="35">
                  <c:v>756000000</c:v>
                </c:pt>
                <c:pt idx="36">
                  <c:v>777000000</c:v>
                </c:pt>
                <c:pt idx="37">
                  <c:v>798000000</c:v>
                </c:pt>
                <c:pt idx="38">
                  <c:v>819000000</c:v>
                </c:pt>
                <c:pt idx="39">
                  <c:v>840000000</c:v>
                </c:pt>
                <c:pt idx="40">
                  <c:v>861000000</c:v>
                </c:pt>
                <c:pt idx="41">
                  <c:v>882000000</c:v>
                </c:pt>
                <c:pt idx="42">
                  <c:v>903000000</c:v>
                </c:pt>
                <c:pt idx="43">
                  <c:v>924000000</c:v>
                </c:pt>
                <c:pt idx="44">
                  <c:v>945000000</c:v>
                </c:pt>
                <c:pt idx="45">
                  <c:v>966000000</c:v>
                </c:pt>
                <c:pt idx="46">
                  <c:v>987000000</c:v>
                </c:pt>
                <c:pt idx="47">
                  <c:v>1008000000</c:v>
                </c:pt>
                <c:pt idx="48">
                  <c:v>1029000000</c:v>
                </c:pt>
                <c:pt idx="49">
                  <c:v>1050000000</c:v>
                </c:pt>
                <c:pt idx="50">
                  <c:v>1071000000</c:v>
                </c:pt>
                <c:pt idx="51">
                  <c:v>1092000000</c:v>
                </c:pt>
              </c:numCache>
            </c:numRef>
          </c:cat>
          <c:val>
            <c:numRef>
              <c:f>'Costs - SR - GEO'!$AJ$4:$AJ$55</c:f>
              <c:numCache>
                <c:formatCode>_(* #,##0_);_(* \(#,##0\);_(* "-"??_);_(@_)</c:formatCode>
                <c:ptCount val="52"/>
                <c:pt idx="0">
                  <c:v>72.30605683726462</c:v>
                </c:pt>
                <c:pt idx="1">
                  <c:v>36.15302841863231</c:v>
                </c:pt>
                <c:pt idx="2">
                  <c:v>24.102018945754875</c:v>
                </c:pt>
                <c:pt idx="3">
                  <c:v>18.076514209316155</c:v>
                </c:pt>
                <c:pt idx="4">
                  <c:v>14.461211367452925</c:v>
                </c:pt>
                <c:pt idx="5">
                  <c:v>12.051009472877437</c:v>
                </c:pt>
                <c:pt idx="6">
                  <c:v>10.329436691037802</c:v>
                </c:pt>
                <c:pt idx="7">
                  <c:v>9.0382571046580775</c:v>
                </c:pt>
                <c:pt idx="8">
                  <c:v>8.0340063152516255</c:v>
                </c:pt>
                <c:pt idx="9">
                  <c:v>7.2306056837264627</c:v>
                </c:pt>
                <c:pt idx="10">
                  <c:v>6.5732778942967842</c:v>
                </c:pt>
                <c:pt idx="11">
                  <c:v>6.0255047364387186</c:v>
                </c:pt>
                <c:pt idx="12">
                  <c:v>5.5620043720972792</c:v>
                </c:pt>
                <c:pt idx="13">
                  <c:v>5.1647183455189012</c:v>
                </c:pt>
                <c:pt idx="14">
                  <c:v>4.8204037891509746</c:v>
                </c:pt>
                <c:pt idx="15">
                  <c:v>4.5191285523290388</c:v>
                </c:pt>
                <c:pt idx="16">
                  <c:v>4.253297461015566</c:v>
                </c:pt>
                <c:pt idx="17">
                  <c:v>4.0170031576258127</c:v>
                </c:pt>
                <c:pt idx="18">
                  <c:v>3.8055819388034009</c:v>
                </c:pt>
                <c:pt idx="19">
                  <c:v>3.6153028418632314</c:v>
                </c:pt>
                <c:pt idx="20">
                  <c:v>3.4431455636792676</c:v>
                </c:pt>
                <c:pt idx="21">
                  <c:v>3.2866389471483921</c:v>
                </c:pt>
                <c:pt idx="22">
                  <c:v>3.1437416016202011</c:v>
                </c:pt>
                <c:pt idx="23">
                  <c:v>3.0127523682193593</c:v>
                </c:pt>
                <c:pt idx="24">
                  <c:v>2.8922422734905848</c:v>
                </c:pt>
                <c:pt idx="25">
                  <c:v>2.7810021860486396</c:v>
                </c:pt>
                <c:pt idx="26">
                  <c:v>2.6780021050838747</c:v>
                </c:pt>
                <c:pt idx="27">
                  <c:v>2.5823591727594506</c:v>
                </c:pt>
                <c:pt idx="28">
                  <c:v>2.493312304733263</c:v>
                </c:pt>
                <c:pt idx="29">
                  <c:v>2.4102018945754873</c:v>
                </c:pt>
                <c:pt idx="30">
                  <c:v>2.3324534463633748</c:v>
                </c:pt>
                <c:pt idx="31">
                  <c:v>2.2595642761645194</c:v>
                </c:pt>
                <c:pt idx="32">
                  <c:v>2.1910926314322614</c:v>
                </c:pt>
                <c:pt idx="33">
                  <c:v>2.126648730507783</c:v>
                </c:pt>
                <c:pt idx="34">
                  <c:v>2.0658873382075607</c:v>
                </c:pt>
                <c:pt idx="35">
                  <c:v>2.0085015788129064</c:v>
                </c:pt>
                <c:pt idx="36">
                  <c:v>1.9542177523585031</c:v>
                </c:pt>
                <c:pt idx="37">
                  <c:v>1.9027909694017004</c:v>
                </c:pt>
                <c:pt idx="38">
                  <c:v>1.8540014573657595</c:v>
                </c:pt>
                <c:pt idx="39">
                  <c:v>1.8076514209316157</c:v>
                </c:pt>
                <c:pt idx="40">
                  <c:v>1.7635623618845031</c:v>
                </c:pt>
                <c:pt idx="41">
                  <c:v>1.7215727818396338</c:v>
                </c:pt>
                <c:pt idx="42">
                  <c:v>1.681536205517782</c:v>
                </c:pt>
                <c:pt idx="43">
                  <c:v>1.6433194735741961</c:v>
                </c:pt>
                <c:pt idx="44">
                  <c:v>1.6068012630503248</c:v>
                </c:pt>
                <c:pt idx="45">
                  <c:v>1.5718708008101006</c:v>
                </c:pt>
                <c:pt idx="46">
                  <c:v>1.5384267412183961</c:v>
                </c:pt>
                <c:pt idx="47">
                  <c:v>1.5063761841096797</c:v>
                </c:pt>
                <c:pt idx="48">
                  <c:v>1.4756338130054005</c:v>
                </c:pt>
                <c:pt idx="49">
                  <c:v>1.4461211367452924</c:v>
                </c:pt>
                <c:pt idx="50">
                  <c:v>1.4177658203385219</c:v>
                </c:pt>
                <c:pt idx="51">
                  <c:v>1.3905010930243198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B7-49BF-AAF8-C08600C99AAE}"/>
            </c:ext>
          </c:extLst>
        </c:ser>
        <c:ser>
          <c:idx val="2"/>
          <c:order val="2"/>
          <c:tx>
            <c:strRef>
              <c:f>'Costs - SR - GEO'!$AK$2</c:f>
              <c:strCache>
                <c:ptCount val="1"/>
                <c:pt idx="0">
                  <c:v>Average variable cost (US$/Min)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'Costs - SR - GEO'!$AB$4:$AB$55</c:f>
              <c:numCache>
                <c:formatCode>_(* #,##0_);_(* \(#,##0\);_(* "-"??_);_(@_)</c:formatCode>
                <c:ptCount val="52"/>
                <c:pt idx="0">
                  <c:v>21000000</c:v>
                </c:pt>
                <c:pt idx="1">
                  <c:v>42000000</c:v>
                </c:pt>
                <c:pt idx="2">
                  <c:v>63000000</c:v>
                </c:pt>
                <c:pt idx="3">
                  <c:v>84000000</c:v>
                </c:pt>
                <c:pt idx="4">
                  <c:v>105000000</c:v>
                </c:pt>
                <c:pt idx="5">
                  <c:v>126000000</c:v>
                </c:pt>
                <c:pt idx="6">
                  <c:v>147000000</c:v>
                </c:pt>
                <c:pt idx="7">
                  <c:v>168000000</c:v>
                </c:pt>
                <c:pt idx="8">
                  <c:v>189000000</c:v>
                </c:pt>
                <c:pt idx="9">
                  <c:v>210000000</c:v>
                </c:pt>
                <c:pt idx="10">
                  <c:v>231000000</c:v>
                </c:pt>
                <c:pt idx="11">
                  <c:v>252000000</c:v>
                </c:pt>
                <c:pt idx="12">
                  <c:v>273000000</c:v>
                </c:pt>
                <c:pt idx="13">
                  <c:v>294000000</c:v>
                </c:pt>
                <c:pt idx="14">
                  <c:v>315000000</c:v>
                </c:pt>
                <c:pt idx="15">
                  <c:v>336000000</c:v>
                </c:pt>
                <c:pt idx="16">
                  <c:v>357000000</c:v>
                </c:pt>
                <c:pt idx="17">
                  <c:v>378000000</c:v>
                </c:pt>
                <c:pt idx="18">
                  <c:v>399000000</c:v>
                </c:pt>
                <c:pt idx="19">
                  <c:v>420000000</c:v>
                </c:pt>
                <c:pt idx="20">
                  <c:v>441000000</c:v>
                </c:pt>
                <c:pt idx="21">
                  <c:v>462000000</c:v>
                </c:pt>
                <c:pt idx="22">
                  <c:v>483000000</c:v>
                </c:pt>
                <c:pt idx="23">
                  <c:v>504000000</c:v>
                </c:pt>
                <c:pt idx="24">
                  <c:v>525000000</c:v>
                </c:pt>
                <c:pt idx="25">
                  <c:v>546000000</c:v>
                </c:pt>
                <c:pt idx="26">
                  <c:v>567000000</c:v>
                </c:pt>
                <c:pt idx="27">
                  <c:v>588000000</c:v>
                </c:pt>
                <c:pt idx="28">
                  <c:v>609000000</c:v>
                </c:pt>
                <c:pt idx="29">
                  <c:v>630000000</c:v>
                </c:pt>
                <c:pt idx="30">
                  <c:v>651000000</c:v>
                </c:pt>
                <c:pt idx="31">
                  <c:v>672000000</c:v>
                </c:pt>
                <c:pt idx="32">
                  <c:v>693000000</c:v>
                </c:pt>
                <c:pt idx="33">
                  <c:v>714000000</c:v>
                </c:pt>
                <c:pt idx="34">
                  <c:v>735000000</c:v>
                </c:pt>
                <c:pt idx="35">
                  <c:v>756000000</c:v>
                </c:pt>
                <c:pt idx="36">
                  <c:v>777000000</c:v>
                </c:pt>
                <c:pt idx="37">
                  <c:v>798000000</c:v>
                </c:pt>
                <c:pt idx="38">
                  <c:v>819000000</c:v>
                </c:pt>
                <c:pt idx="39">
                  <c:v>840000000</c:v>
                </c:pt>
                <c:pt idx="40">
                  <c:v>861000000</c:v>
                </c:pt>
                <c:pt idx="41">
                  <c:v>882000000</c:v>
                </c:pt>
                <c:pt idx="42">
                  <c:v>903000000</c:v>
                </c:pt>
                <c:pt idx="43">
                  <c:v>924000000</c:v>
                </c:pt>
                <c:pt idx="44">
                  <c:v>945000000</c:v>
                </c:pt>
                <c:pt idx="45">
                  <c:v>966000000</c:v>
                </c:pt>
                <c:pt idx="46">
                  <c:v>987000000</c:v>
                </c:pt>
                <c:pt idx="47">
                  <c:v>1008000000</c:v>
                </c:pt>
                <c:pt idx="48">
                  <c:v>1029000000</c:v>
                </c:pt>
                <c:pt idx="49">
                  <c:v>1050000000</c:v>
                </c:pt>
                <c:pt idx="50">
                  <c:v>1071000000</c:v>
                </c:pt>
                <c:pt idx="51">
                  <c:v>1092000000</c:v>
                </c:pt>
              </c:numCache>
            </c:numRef>
          </c:cat>
          <c:val>
            <c:numRef>
              <c:f>'Costs - SR - GEO'!$AK$4:$AK$55</c:f>
              <c:numCache>
                <c:formatCode>0</c:formatCode>
                <c:ptCount val="52"/>
                <c:pt idx="0">
                  <c:v>0</c:v>
                </c:pt>
                <c:pt idx="1">
                  <c:v>10.331799439985158</c:v>
                </c:pt>
                <c:pt idx="2">
                  <c:v>13.775732586646878</c:v>
                </c:pt>
                <c:pt idx="3">
                  <c:v>15.497699159977737</c:v>
                </c:pt>
                <c:pt idx="4">
                  <c:v>16.530879103976254</c:v>
                </c:pt>
                <c:pt idx="5">
                  <c:v>17.219665733308599</c:v>
                </c:pt>
                <c:pt idx="6">
                  <c:v>17.7116561828317</c:v>
                </c:pt>
                <c:pt idx="7">
                  <c:v>18.080649019974032</c:v>
                </c:pt>
                <c:pt idx="8">
                  <c:v>18.367643448862506</c:v>
                </c:pt>
                <c:pt idx="9">
                  <c:v>18.597238991973288</c:v>
                </c:pt>
                <c:pt idx="10">
                  <c:v>18.785089890882109</c:v>
                </c:pt>
                <c:pt idx="11">
                  <c:v>18.941632306639459</c:v>
                </c:pt>
                <c:pt idx="12">
                  <c:v>19.074091273818752</c:v>
                </c:pt>
                <c:pt idx="13">
                  <c:v>19.187627531401006</c:v>
                </c:pt>
                <c:pt idx="14">
                  <c:v>19.286025621305626</c:v>
                </c:pt>
                <c:pt idx="15">
                  <c:v>19.372123949972167</c:v>
                </c:pt>
                <c:pt idx="16">
                  <c:v>19.448093063501467</c:v>
                </c:pt>
                <c:pt idx="17">
                  <c:v>19.515621164416405</c:v>
                </c:pt>
                <c:pt idx="18">
                  <c:v>19.5760410441824</c:v>
                </c:pt>
                <c:pt idx="19">
                  <c:v>19.630418935971793</c:v>
                </c:pt>
                <c:pt idx="20">
                  <c:v>19.679617980924107</c:v>
                </c:pt>
                <c:pt idx="21">
                  <c:v>19.724344385426207</c:v>
                </c:pt>
                <c:pt idx="22">
                  <c:v>19.765181537362906</c:v>
                </c:pt>
                <c:pt idx="23">
                  <c:v>19.802615593304878</c:v>
                </c:pt>
                <c:pt idx="24">
                  <c:v>19.837054924771493</c:v>
                </c:pt>
                <c:pt idx="25">
                  <c:v>19.868845076894527</c:v>
                </c:pt>
                <c:pt idx="26">
                  <c:v>19.898280402934372</c:v>
                </c:pt>
                <c:pt idx="27">
                  <c:v>19.925613205685654</c:v>
                </c:pt>
                <c:pt idx="28">
                  <c:v>19.95106098755754</c:v>
                </c:pt>
                <c:pt idx="29">
                  <c:v>19.974812250637964</c:v>
                </c:pt>
                <c:pt idx="30">
                  <c:v>19.997031174164814</c:v>
                </c:pt>
                <c:pt idx="31">
                  <c:v>20.017861414971236</c:v>
                </c:pt>
                <c:pt idx="32">
                  <c:v>20.037429216940904</c:v>
                </c:pt>
                <c:pt idx="33">
                  <c:v>20.055845971735884</c:v>
                </c:pt>
                <c:pt idx="34">
                  <c:v>20.073210340542584</c:v>
                </c:pt>
                <c:pt idx="35">
                  <c:v>20.089610022193352</c:v>
                </c:pt>
                <c:pt idx="36">
                  <c:v>20.105123234565706</c:v>
                </c:pt>
                <c:pt idx="37">
                  <c:v>20.119819962076352</c:v>
                </c:pt>
                <c:pt idx="38">
                  <c:v>20.133763011253119</c:v>
                </c:pt>
                <c:pt idx="39">
                  <c:v>20.147008907971049</c:v>
                </c:pt>
                <c:pt idx="40">
                  <c:v>20.159608663385665</c:v>
                </c:pt>
                <c:pt idx="41">
                  <c:v>20.171608430447204</c:v>
                </c:pt>
                <c:pt idx="42">
                  <c:v>20.183050068808207</c:v>
                </c:pt>
                <c:pt idx="43">
                  <c:v>20.193971632698254</c:v>
                </c:pt>
                <c:pt idx="44">
                  <c:v>20.204407793748743</c:v>
                </c:pt>
                <c:pt idx="45">
                  <c:v>20.214390208666604</c:v>
                </c:pt>
                <c:pt idx="46">
                  <c:v>20.223947839970936</c:v>
                </c:pt>
                <c:pt idx="47">
                  <c:v>20.23310723663759</c:v>
                </c:pt>
                <c:pt idx="48">
                  <c:v>20.241892780379072</c:v>
                </c:pt>
                <c:pt idx="49">
                  <c:v>20.250326902370901</c:v>
                </c:pt>
                <c:pt idx="50">
                  <c:v>20.258430274480691</c:v>
                </c:pt>
                <c:pt idx="51">
                  <c:v>20.266221978432412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B7-49BF-AAF8-C08600C99A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75648544"/>
        <c:axId val="1521493440"/>
      </c:barChart>
      <c:lineChart>
        <c:grouping val="standard"/>
        <c:varyColors val="0"/>
        <c:ser>
          <c:idx val="0"/>
          <c:order val="0"/>
          <c:tx>
            <c:strRef>
              <c:f>'Costs - SR - GEO'!$AI$2</c:f>
              <c:strCache>
                <c:ptCount val="1"/>
                <c:pt idx="0">
                  <c:v>Average total cost ($/Min)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'Costs - SR - GEO'!$AI$4:$AI$55</c:f>
              <c:numCache>
                <c:formatCode>_(* #,##0_);_(* \(#,##0\);_(* "-"??_);_(@_)</c:formatCode>
                <c:ptCount val="52"/>
                <c:pt idx="0">
                  <c:v>72.30605683726462</c:v>
                </c:pt>
                <c:pt idx="1">
                  <c:v>46.484827858617464</c:v>
                </c:pt>
                <c:pt idx="2">
                  <c:v>37.877751532401753</c:v>
                </c:pt>
                <c:pt idx="3">
                  <c:v>33.574213369293894</c:v>
                </c:pt>
                <c:pt idx="4">
                  <c:v>30.992090471429179</c:v>
                </c:pt>
                <c:pt idx="5">
                  <c:v>29.270675206186034</c:v>
                </c:pt>
                <c:pt idx="6">
                  <c:v>28.041092873869502</c:v>
                </c:pt>
                <c:pt idx="7">
                  <c:v>27.118906124632112</c:v>
                </c:pt>
                <c:pt idx="8">
                  <c:v>26.401649764114133</c:v>
                </c:pt>
                <c:pt idx="9">
                  <c:v>25.827844675699751</c:v>
                </c:pt>
                <c:pt idx="10">
                  <c:v>25.358367785178892</c:v>
                </c:pt>
                <c:pt idx="11">
                  <c:v>24.967137043078178</c:v>
                </c:pt>
                <c:pt idx="12">
                  <c:v>24.636095645916029</c:v>
                </c:pt>
                <c:pt idx="13">
                  <c:v>24.352345876919905</c:v>
                </c:pt>
                <c:pt idx="14">
                  <c:v>24.106429410456599</c:v>
                </c:pt>
                <c:pt idx="15">
                  <c:v>23.891252502301207</c:v>
                </c:pt>
                <c:pt idx="16">
                  <c:v>23.701390524517034</c:v>
                </c:pt>
                <c:pt idx="17">
                  <c:v>23.532624322042217</c:v>
                </c:pt>
                <c:pt idx="18">
                  <c:v>23.3816229829858</c:v>
                </c:pt>
                <c:pt idx="19">
                  <c:v>23.245721777835023</c:v>
                </c:pt>
                <c:pt idx="20">
                  <c:v>23.122763544603373</c:v>
                </c:pt>
                <c:pt idx="21">
                  <c:v>23.0109833325746</c:v>
                </c:pt>
                <c:pt idx="22">
                  <c:v>22.908923138983106</c:v>
                </c:pt>
                <c:pt idx="23">
                  <c:v>22.815367961524238</c:v>
                </c:pt>
                <c:pt idx="24">
                  <c:v>22.729297198262078</c:v>
                </c:pt>
                <c:pt idx="25">
                  <c:v>22.649847262943165</c:v>
                </c:pt>
                <c:pt idx="26">
                  <c:v>22.576282508018245</c:v>
                </c:pt>
                <c:pt idx="27">
                  <c:v>22.507972378445103</c:v>
                </c:pt>
                <c:pt idx="28">
                  <c:v>22.444373292290802</c:v>
                </c:pt>
                <c:pt idx="29">
                  <c:v>22.38501414521345</c:v>
                </c:pt>
                <c:pt idx="30">
                  <c:v>22.329484620528188</c:v>
                </c:pt>
                <c:pt idx="31">
                  <c:v>22.277425691135754</c:v>
                </c:pt>
                <c:pt idx="32">
                  <c:v>22.228521848373166</c:v>
                </c:pt>
                <c:pt idx="33">
                  <c:v>22.182494702243666</c:v>
                </c:pt>
                <c:pt idx="34">
                  <c:v>22.139097678750144</c:v>
                </c:pt>
                <c:pt idx="35">
                  <c:v>22.098111601006259</c:v>
                </c:pt>
                <c:pt idx="36">
                  <c:v>22.059340986924209</c:v>
                </c:pt>
                <c:pt idx="37">
                  <c:v>22.022610931478052</c:v>
                </c:pt>
                <c:pt idx="38">
                  <c:v>21.987764468618877</c:v>
                </c:pt>
                <c:pt idx="39">
                  <c:v>21.954660328902666</c:v>
                </c:pt>
                <c:pt idx="40">
                  <c:v>21.923171025270168</c:v>
                </c:pt>
                <c:pt idx="41">
                  <c:v>21.893181212286837</c:v>
                </c:pt>
                <c:pt idx="42">
                  <c:v>21.86458627432599</c:v>
                </c:pt>
                <c:pt idx="43">
                  <c:v>21.837291106272449</c:v>
                </c:pt>
                <c:pt idx="44">
                  <c:v>21.811209056799068</c:v>
                </c:pt>
                <c:pt idx="45">
                  <c:v>21.786261009476704</c:v>
                </c:pt>
                <c:pt idx="46">
                  <c:v>21.762374581189331</c:v>
                </c:pt>
                <c:pt idx="47">
                  <c:v>21.73948342074727</c:v>
                </c:pt>
                <c:pt idx="48">
                  <c:v>21.717526593384473</c:v>
                </c:pt>
                <c:pt idx="49">
                  <c:v>21.696448039116195</c:v>
                </c:pt>
                <c:pt idx="50">
                  <c:v>21.676196094819215</c:v>
                </c:pt>
                <c:pt idx="51">
                  <c:v>21.656723071456732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BB7-49BF-AAF8-C08600C99A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5648544"/>
        <c:axId val="1521493440"/>
      </c:lineChart>
      <c:catAx>
        <c:axId val="1575648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Output of LEO Network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493440"/>
        <c:crosses val="autoZero"/>
        <c:auto val="1"/>
        <c:lblAlgn val="ctr"/>
        <c:lblOffset val="100"/>
        <c:noMultiLvlLbl val="0"/>
      </c:catAx>
      <c:valAx>
        <c:axId val="152149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 (US$)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64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540812</xdr:colOff>
      <xdr:row>5</xdr:row>
      <xdr:rowOff>147470</xdr:rowOff>
    </xdr:from>
    <xdr:to>
      <xdr:col>3</xdr:col>
      <xdr:colOff>321926</xdr:colOff>
      <xdr:row>13</xdr:row>
      <xdr:rowOff>34602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24BD08B-F7B5-47B2-A205-BB28BC10F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0812" y="1191410"/>
          <a:ext cx="1541334" cy="1289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257657</xdr:colOff>
      <xdr:row>5</xdr:row>
      <xdr:rowOff>153955</xdr:rowOff>
    </xdr:from>
    <xdr:to>
      <xdr:col>7</xdr:col>
      <xdr:colOff>289560</xdr:colOff>
      <xdr:row>12</xdr:row>
      <xdr:rowOff>153434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52B9A8F-7EAE-47A6-A370-13C96F6BCF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86457" y="1197895"/>
          <a:ext cx="2470303" cy="12262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231576</xdr:colOff>
      <xdr:row>6</xdr:row>
      <xdr:rowOff>2876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3992871-862B-494F-8C73-AFEA6A4FFAD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253" b="3871"/>
        <a:stretch/>
      </xdr:blipFill>
      <xdr:spPr bwMode="auto">
        <a:xfrm>
          <a:off x="1" y="0"/>
          <a:ext cx="1253706" cy="1063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376007</xdr:colOff>
      <xdr:row>0</xdr:row>
      <xdr:rowOff>11506</xdr:rowOff>
    </xdr:from>
    <xdr:to>
      <xdr:col>17</xdr:col>
      <xdr:colOff>1</xdr:colOff>
      <xdr:row>6</xdr:row>
      <xdr:rowOff>944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123F857-80C1-4A7A-B725-6B77D81B180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3184" r="4800"/>
        <a:stretch/>
      </xdr:blipFill>
      <xdr:spPr>
        <a:xfrm>
          <a:off x="8300807" y="11506"/>
          <a:ext cx="2062394" cy="1049254"/>
        </a:xfrm>
        <a:prstGeom prst="rect">
          <a:avLst/>
        </a:prstGeom>
      </xdr:spPr>
    </xdr:pic>
    <xdr:clientData/>
  </xdr:twoCellAnchor>
  <xdr:twoCellAnchor editAs="oneCell">
    <xdr:from>
      <xdr:col>0</xdr:col>
      <xdr:colOff>335280</xdr:colOff>
      <xdr:row>46</xdr:row>
      <xdr:rowOff>37061</xdr:rowOff>
    </xdr:from>
    <xdr:to>
      <xdr:col>14</xdr:col>
      <xdr:colOff>476242</xdr:colOff>
      <xdr:row>82</xdr:row>
      <xdr:rowOff>26287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7FFF83B-2BD6-49CF-96E4-A7E2CC4F7F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5280" y="8121881"/>
          <a:ext cx="8477242" cy="6298586"/>
        </a:xfrm>
        <a:prstGeom prst="rect">
          <a:avLst/>
        </a:prstGeom>
        <a:ln>
          <a:solidFill>
            <a:srgbClr val="061F4A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320040</xdr:colOff>
      <xdr:row>51</xdr:row>
      <xdr:rowOff>60960</xdr:rowOff>
    </xdr:from>
    <xdr:to>
      <xdr:col>6</xdr:col>
      <xdr:colOff>922020</xdr:colOff>
      <xdr:row>62</xdr:row>
      <xdr:rowOff>106679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37FE2AA-AF6B-4149-95DC-09B17FE9DF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329901</xdr:colOff>
      <xdr:row>64</xdr:row>
      <xdr:rowOff>80683</xdr:rowOff>
    </xdr:from>
    <xdr:to>
      <xdr:col>6</xdr:col>
      <xdr:colOff>893781</xdr:colOff>
      <xdr:row>75</xdr:row>
      <xdr:rowOff>23309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48766D3-745B-4862-ACC8-E23E42DAE1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329245</xdr:colOff>
      <xdr:row>74</xdr:row>
      <xdr:rowOff>68580</xdr:rowOff>
    </xdr:from>
    <xdr:to>
      <xdr:col>8</xdr:col>
      <xdr:colOff>723900</xdr:colOff>
      <xdr:row>84</xdr:row>
      <xdr:rowOff>152400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7A4E757-D3C4-4F70-A0DE-2C0C7B0CC5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329046</xdr:colOff>
      <xdr:row>86</xdr:row>
      <xdr:rowOff>76891</xdr:rowOff>
    </xdr:from>
    <xdr:to>
      <xdr:col>8</xdr:col>
      <xdr:colOff>746760</xdr:colOff>
      <xdr:row>97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3AF7FC0-EECF-474B-AC9F-1F18A407B5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596438</xdr:colOff>
      <xdr:row>1</xdr:row>
      <xdr:rowOff>10392</xdr:rowOff>
    </xdr:from>
    <xdr:to>
      <xdr:col>25</xdr:col>
      <xdr:colOff>190499</xdr:colOff>
      <xdr:row>23</xdr:row>
      <xdr:rowOff>7620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6C1D905-CC23-4F6B-9FAC-86D304FAFC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593414</xdr:colOff>
      <xdr:row>23</xdr:row>
      <xdr:rowOff>180014</xdr:rowOff>
    </xdr:from>
    <xdr:to>
      <xdr:col>25</xdr:col>
      <xdr:colOff>220980</xdr:colOff>
      <xdr:row>46</xdr:row>
      <xdr:rowOff>15240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9F8E8D1-6124-49AE-87AC-612B4F4337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538842</xdr:colOff>
      <xdr:row>0</xdr:row>
      <xdr:rowOff>189697</xdr:rowOff>
    </xdr:from>
    <xdr:to>
      <xdr:col>24</xdr:col>
      <xdr:colOff>601980</xdr:colOff>
      <xdr:row>23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D2A57F-D9AF-4AA8-9B90-9E554888C6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537654</xdr:colOff>
      <xdr:row>23</xdr:row>
      <xdr:rowOff>154123</xdr:rowOff>
    </xdr:from>
    <xdr:to>
      <xdr:col>24</xdr:col>
      <xdr:colOff>594360</xdr:colOff>
      <xdr:row>49</xdr:row>
      <xdr:rowOff>143148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5794E9B-13FB-4738-8D86-060C51692D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605790</xdr:colOff>
      <xdr:row>0</xdr:row>
      <xdr:rowOff>190157</xdr:rowOff>
    </xdr:from>
    <xdr:to>
      <xdr:col>25</xdr:col>
      <xdr:colOff>579120</xdr:colOff>
      <xdr:row>23</xdr:row>
      <xdr:rowOff>15241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D4D58CB-E73E-42B2-83BC-1A286EEB91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604550</xdr:colOff>
      <xdr:row>23</xdr:row>
      <xdr:rowOff>159133</xdr:rowOff>
    </xdr:from>
    <xdr:to>
      <xdr:col>25</xdr:col>
      <xdr:colOff>571500</xdr:colOff>
      <xdr:row>50</xdr:row>
      <xdr:rowOff>137669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274D42F-5A8E-4ACA-A83E-83E8D23407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212121"/>
  </sheetPr>
  <dimension ref="A1:AZ1007"/>
  <sheetViews>
    <sheetView showGridLines="0" zoomScaleNormal="100" workbookViewId="0">
      <selection activeCell="K11" sqref="K11"/>
    </sheetView>
  </sheetViews>
  <sheetFormatPr defaultColWidth="8.88671875" defaultRowHeight="13.8"/>
  <cols>
    <col min="1" max="1" width="5.77734375" style="2" customWidth="1"/>
    <col min="2" max="16384" width="8.88671875" style="2"/>
  </cols>
  <sheetData>
    <row r="1" spans="1:52" s="6" customFormat="1" ht="16.5" customHeigh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</row>
    <row r="2" spans="1:52" s="8" customFormat="1" ht="14.25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</row>
    <row r="3" spans="1:5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ht="24.6">
      <c r="A4" s="1"/>
      <c r="B4" s="9" t="s">
        <v>14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A5" s="1"/>
      <c r="B5" s="1" t="s">
        <v>12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>
      <c r="A7" s="1"/>
      <c r="C7" s="1"/>
      <c r="D7" s="1"/>
      <c r="E7" s="1"/>
      <c r="F7" s="1"/>
      <c r="G7" s="1"/>
      <c r="H7" s="1"/>
      <c r="I7" s="1"/>
      <c r="J7" s="135" t="s">
        <v>373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>
      <c r="A8" s="1"/>
      <c r="B8" s="1"/>
      <c r="C8" s="1"/>
      <c r="D8" s="1"/>
      <c r="E8" s="1"/>
      <c r="F8" s="1"/>
      <c r="G8" s="1"/>
      <c r="H8" s="1"/>
      <c r="I8" s="1"/>
      <c r="J8" s="136" t="s">
        <v>372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>
      <c r="A9" s="1"/>
      <c r="B9" s="1"/>
      <c r="C9" s="1"/>
      <c r="D9" s="1"/>
      <c r="E9" s="1"/>
      <c r="F9" s="1"/>
      <c r="G9" s="1"/>
      <c r="H9" s="1"/>
      <c r="I9" s="1"/>
      <c r="J9" s="136" t="s">
        <v>374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>
      <c r="A10" s="1"/>
      <c r="B10" s="1"/>
      <c r="C10" s="1"/>
      <c r="D10" s="1"/>
      <c r="E10" s="1"/>
      <c r="F10" s="1"/>
      <c r="G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>
      <c r="A15" s="1"/>
      <c r="B15" s="1" t="s">
        <v>11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>
      <c r="A16" s="1"/>
      <c r="B16" s="10" t="str">
        <f>HYPERLINK("https://github.com/edwardoughton/ascend")</f>
        <v>https://github.com/edwardoughton/ascend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>
      <c r="A17" s="1"/>
      <c r="B17" s="10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ht="18">
      <c r="A18" s="1"/>
      <c r="B18" s="107" t="s">
        <v>343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A20" s="1"/>
      <c r="B20" s="3" t="s">
        <v>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>
      <c r="A21" s="1"/>
      <c r="B21" s="1" t="s">
        <v>524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>
      <c r="A22" s="1"/>
      <c r="B22" s="4" t="s">
        <v>411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>
      <c r="A23" s="1"/>
      <c r="B23" s="4" t="s">
        <v>525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>
      <c r="A24" s="1"/>
      <c r="B24" s="4" t="s">
        <v>344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>
      <c r="A25" s="1"/>
      <c r="B25" s="4" t="s">
        <v>346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>
      <c r="A26" s="1"/>
      <c r="B26" s="4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>
      <c r="A27" s="1"/>
      <c r="B27" s="3" t="s">
        <v>13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>
      <c r="A28" s="1"/>
      <c r="B28" s="4" t="s">
        <v>494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>
      <c r="A29" s="1"/>
      <c r="B29" s="1" t="s">
        <v>340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>
      <c r="A30" s="1"/>
      <c r="B30" s="1" t="s">
        <v>341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>
      <c r="A31" s="1"/>
      <c r="B31" s="1" t="s">
        <v>15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>
      <c r="A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>
      <c r="A33" s="1"/>
      <c r="B33" s="3" t="s">
        <v>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>
      <c r="A34" s="1"/>
      <c r="B34" s="4" t="s">
        <v>526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>
      <c r="A35" s="1"/>
      <c r="B35" s="4" t="s">
        <v>342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>
      <c r="A37" s="1"/>
      <c r="B37" s="3" t="s">
        <v>2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>
      <c r="A38" s="1"/>
      <c r="B38" s="1" t="s">
        <v>345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>
      <c r="A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>
      <c r="A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>
      <c r="A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 spans="1:5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 spans="1:5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 spans="1:5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 spans="1:5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 spans="1:5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 spans="1:5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 spans="1:5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 spans="1:5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 spans="1:5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 spans="1:5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 spans="1:5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 spans="1:5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 spans="1:5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 spans="1:5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 spans="1:5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 spans="1:5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 spans="1:5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 spans="1:5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 spans="1:5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 spans="1:5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 spans="1:5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 spans="1:5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 spans="1:5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 spans="1:5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 spans="1:5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 spans="1:5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 spans="1:5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 spans="1:5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 spans="1:5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 spans="1:5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 spans="1:5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 spans="1:5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 spans="1:5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 spans="1:5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 spans="1:5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 spans="1:5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 spans="1:5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 spans="1:5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 spans="1:5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 spans="1:5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 spans="1:5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 spans="1:5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 spans="1:5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 spans="1:5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 spans="1:5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 spans="1:5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 spans="1:5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 spans="1:5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 spans="1:5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 spans="1:5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 spans="1: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 spans="1:5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 spans="1:5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 spans="1:5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 spans="1:5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 spans="1:5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 spans="1:5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 spans="1:5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 spans="1:5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 spans="1:5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 spans="1:5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 spans="1:5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 spans="1:5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 spans="1:5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 spans="1:5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 spans="1:5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 spans="1:5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 spans="1:5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 spans="1:5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 spans="1:5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 spans="1:5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 spans="1:5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 spans="1:5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 spans="1:5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 spans="1:5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 spans="1:5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 spans="1:5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 spans="1:5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 spans="1:5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 spans="1:5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 spans="1:5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 spans="1:5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 spans="1:5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 spans="1:5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 spans="1:5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 spans="1:5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 spans="1:5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 spans="1:5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 spans="1:5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 spans="1:5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 spans="1:5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 spans="1:5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 spans="1:5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 spans="1:5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 spans="1:5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 spans="1:5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 spans="1:5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 spans="1:5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 spans="1:5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 spans="1:5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 spans="1:5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 spans="1:5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 spans="1:5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 spans="1:5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 spans="1:5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 spans="1:5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 spans="1:5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 spans="1:5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 spans="1:5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 spans="1:5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 spans="1:5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 spans="1:5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 spans="1:5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 spans="1:5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 spans="1:5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 spans="1:5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 spans="1:5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 spans="1:5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 spans="1:5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 spans="1:5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 spans="1:5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 spans="1:5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 spans="1:5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 spans="1:5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 spans="1:5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 spans="1:5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 spans="1:5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 spans="1:5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 spans="1:5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 spans="1:5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 spans="1:5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 spans="1:5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 spans="1:5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 spans="1:5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 spans="1:5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 spans="1:5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 spans="1:5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 spans="1:5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 spans="1:5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 spans="1:5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 spans="1:5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 spans="1:5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 spans="1:5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 spans="1:5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 spans="1:5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 spans="1:5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 spans="1:5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 spans="1:5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 spans="1:5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 spans="1:5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 spans="1: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 spans="1:5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 spans="1:5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 spans="1:5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 spans="1:5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 spans="1:5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 spans="1:5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 spans="1:5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 spans="1:5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 spans="1:5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 spans="1:5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 spans="1:5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 spans="1:5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 spans="1:5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 spans="1:5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 spans="1:5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 spans="1:5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 spans="1:5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 spans="1:5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 spans="1:5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 spans="1:5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 spans="1:5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 spans="1:5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 spans="1:5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 spans="1:5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 spans="1:5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 spans="1:5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 spans="1:5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 spans="1:5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 spans="1:5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 spans="1:5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 spans="1:5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 spans="1:5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 spans="1:5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 spans="1:5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 spans="1:5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 spans="1:5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 spans="1:5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 spans="1:5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 spans="1:5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 spans="1:5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 spans="1:5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 spans="1:5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 spans="1:5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 spans="1:5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 spans="1:5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 spans="1:5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 spans="1:5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 spans="1:5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 spans="1:5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 spans="1:5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 spans="1:5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 spans="1:5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 spans="1:5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 spans="1:5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 spans="1:5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 spans="1:5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 spans="1:5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 spans="1:5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 spans="1:5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 spans="1:5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 spans="1:5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 spans="1:5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 spans="1:5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 spans="1:5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 spans="1:5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 spans="1:5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 spans="1:5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 spans="1:5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 spans="1:5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 spans="1:5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 spans="1:5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 spans="1:5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 spans="1:5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 spans="1:5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 spans="1:5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 spans="1:5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 spans="1:5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 spans="1:5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 spans="1:5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 spans="1:5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 spans="1:5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 spans="1:5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 spans="1:5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 spans="1:5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 spans="1:5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 spans="1:5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 spans="1:5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 spans="1:5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 spans="1:5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 spans="1:5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 spans="1:5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 spans="1:5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 spans="1:5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 spans="1:5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 spans="1:5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 spans="1:5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 spans="1:5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 spans="1:5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 spans="1:5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 spans="1: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 spans="1:5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 spans="1:5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 spans="1:5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 spans="1:5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 spans="1:5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 spans="1:5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 spans="1:5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 spans="1:5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 spans="1:5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 spans="1:5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 spans="1:5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 spans="1:5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 spans="1:5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 spans="1:5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 spans="1:5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 spans="1:5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 spans="1:5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 spans="1:5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 spans="1:5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 spans="1:5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 spans="1:5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 spans="1:5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 spans="1:5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 spans="1:5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 spans="1:5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 spans="1:5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 spans="1:5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 spans="1:5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 spans="1:5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 spans="1:5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 spans="1:5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 spans="1:5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 spans="1:5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 spans="1:5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 spans="1:5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 spans="1:5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 spans="1:5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 spans="1:5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 spans="1:5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 spans="1:5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 spans="1:5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 spans="1:5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 spans="1:5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 spans="1:5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 spans="1:5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 spans="1:5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 spans="1:5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 spans="1:5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 spans="1:5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 spans="1:5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 spans="1:5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 spans="1:5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 spans="1:5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 spans="1:5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 spans="1:5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 spans="1:5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 spans="1:5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 spans="1:5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 spans="1:5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 spans="1:5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 spans="1:5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 spans="1:5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 spans="1:5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 spans="1:5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 spans="1:5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 spans="1:5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 spans="1:5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 spans="1:5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 spans="1:5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 spans="1:5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 spans="1:5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 spans="1:5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 spans="1:5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 spans="1:5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 spans="1:5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 spans="1:5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 spans="1:5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 spans="1:5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 spans="1:5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 spans="1:5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 spans="1:5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 spans="1:5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 spans="1:5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 spans="1:5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 spans="1:5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 spans="1:5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 spans="1:5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 spans="1:5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 spans="1:5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 spans="1:5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 spans="1:5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 spans="1:5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 spans="1:5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 spans="1:5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 spans="1:5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 spans="1:5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 spans="1:5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 spans="1:5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 spans="1:5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 spans="1: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 spans="1:5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 spans="1:5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 spans="1:5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 spans="1:5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 spans="1:5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 spans="1:5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 spans="1:5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 spans="1:5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 spans="1:5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 spans="1:5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 spans="1:5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 spans="1:5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 spans="1:5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 spans="1:5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 spans="1:5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 spans="1:5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 spans="1:5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 spans="1:5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 spans="1:5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 spans="1:5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 spans="1:5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 spans="1:5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 spans="1:5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 spans="1:5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 spans="1:5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 spans="1:5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 spans="1:5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 spans="1:5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 spans="1:5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 spans="1:5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 spans="1:5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 spans="1:5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 spans="1:5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 spans="1:5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 spans="1:5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 spans="1:5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 spans="1:5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 spans="1:5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 spans="1:5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 spans="1:5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 spans="1:5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 spans="1:5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 spans="1:5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 spans="1:5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 spans="1:5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 spans="1:5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 spans="1:5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 spans="1:5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 spans="1:5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 spans="1:5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 spans="1:5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 spans="1:5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 spans="1:5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 spans="1:5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 spans="1:5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 spans="1:5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 spans="1:5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 spans="1:5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 spans="1:5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 spans="1:5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 spans="1:5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 spans="1:5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 spans="1:5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 spans="1:5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 spans="1:5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 spans="1:5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 spans="1:5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 spans="1:5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 spans="1:5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 spans="1:5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 spans="1:5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 spans="1:5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 spans="1:5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 spans="1:5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 spans="1:5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 spans="1:5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 spans="1:5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 spans="1:5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 spans="1:5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 spans="1:5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 spans="1:5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 spans="1:5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 spans="1:5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 spans="1:5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 spans="1:5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 spans="1:5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 spans="1:5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 spans="1:5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 spans="1:5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 spans="1:5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 spans="1:5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 spans="1:5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 spans="1:5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 spans="1:5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 spans="1:5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 spans="1:5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 spans="1:5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 spans="1:5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 spans="1:5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 spans="1: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 spans="1:5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 spans="1:5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 spans="1:5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 spans="1:5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 spans="1:5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 spans="1:5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 spans="1:5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 spans="1:5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 spans="1:5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 spans="1:5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 spans="1:5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 spans="1:5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 spans="1:5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 spans="1:5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 spans="1:5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 spans="1:5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 spans="1:5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 spans="1:5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 spans="1:5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 spans="1:5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 spans="1:5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 spans="1:5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 spans="1:5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 spans="1:5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 spans="1:5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 spans="1:5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 spans="1:5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 spans="1:5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 spans="1:5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 spans="1:5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 spans="1:5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 spans="1:5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 spans="1:5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 spans="1:5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 spans="1:5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 spans="1:5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 spans="1:5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 spans="1:5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 spans="1:5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 spans="1:5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 spans="1:5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 spans="1:5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 spans="1:5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 spans="1:5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 spans="1:5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 spans="1:5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 spans="1:5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 spans="1:5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 spans="1:5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 spans="1:5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 spans="1:5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 spans="1:5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 spans="1:5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 spans="1:5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 spans="1:5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</sheetData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212121"/>
  </sheetPr>
  <dimension ref="A1:AZ1014"/>
  <sheetViews>
    <sheetView showGridLines="0" zoomScaleNormal="100" workbookViewId="0">
      <selection activeCell="B47" sqref="B47"/>
    </sheetView>
  </sheetViews>
  <sheetFormatPr defaultColWidth="8.88671875" defaultRowHeight="13.8"/>
  <cols>
    <col min="1" max="1" width="5.5546875" style="2" customWidth="1"/>
    <col min="2" max="2" width="9.33203125" style="2" bestFit="1" customWidth="1"/>
    <col min="3" max="16384" width="8.88671875" style="2"/>
  </cols>
  <sheetData>
    <row r="1" spans="1:52" ht="14.4" customHeight="1">
      <c r="A1" s="425" t="s">
        <v>3</v>
      </c>
      <c r="B1" s="425"/>
      <c r="C1" s="425"/>
      <c r="D1" s="425"/>
      <c r="E1" s="425"/>
      <c r="F1" s="425"/>
      <c r="G1" s="425"/>
      <c r="H1" s="425"/>
      <c r="I1" s="425"/>
      <c r="J1" s="425"/>
      <c r="K1" s="425"/>
      <c r="L1" s="425"/>
      <c r="M1" s="425"/>
      <c r="N1" s="425"/>
      <c r="O1" s="425"/>
      <c r="P1" s="425"/>
      <c r="Q1" s="425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ht="13.8" customHeight="1">
      <c r="A2" s="425"/>
      <c r="B2" s="425"/>
      <c r="C2" s="425"/>
      <c r="D2" s="425"/>
      <c r="E2" s="425"/>
      <c r="F2" s="425"/>
      <c r="G2" s="425"/>
      <c r="H2" s="425"/>
      <c r="I2" s="425"/>
      <c r="J2" s="425"/>
      <c r="K2" s="425"/>
      <c r="L2" s="425"/>
      <c r="M2" s="425"/>
      <c r="N2" s="425"/>
      <c r="O2" s="425"/>
      <c r="P2" s="425"/>
      <c r="Q2" s="425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ht="13.8" customHeight="1">
      <c r="A3" s="425"/>
      <c r="B3" s="425"/>
      <c r="C3" s="425"/>
      <c r="D3" s="425"/>
      <c r="E3" s="425"/>
      <c r="F3" s="425"/>
      <c r="G3" s="425"/>
      <c r="H3" s="425"/>
      <c r="I3" s="425"/>
      <c r="J3" s="425"/>
      <c r="K3" s="425"/>
      <c r="L3" s="425"/>
      <c r="M3" s="425"/>
      <c r="N3" s="425"/>
      <c r="O3" s="425"/>
      <c r="P3" s="425"/>
      <c r="Q3" s="425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ht="13.8" customHeight="1">
      <c r="A4" s="425"/>
      <c r="B4" s="425"/>
      <c r="C4" s="425"/>
      <c r="D4" s="425"/>
      <c r="E4" s="425"/>
      <c r="F4" s="425"/>
      <c r="G4" s="425"/>
      <c r="H4" s="425"/>
      <c r="I4" s="425"/>
      <c r="J4" s="425"/>
      <c r="K4" s="425"/>
      <c r="L4" s="425"/>
      <c r="M4" s="425"/>
      <c r="N4" s="425"/>
      <c r="O4" s="425"/>
      <c r="P4" s="425"/>
      <c r="Q4" s="425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A5" s="425"/>
      <c r="B5" s="425"/>
      <c r="C5" s="425"/>
      <c r="D5" s="425"/>
      <c r="E5" s="425"/>
      <c r="F5" s="425"/>
      <c r="G5" s="425"/>
      <c r="H5" s="425"/>
      <c r="I5" s="425"/>
      <c r="J5" s="425"/>
      <c r="K5" s="425"/>
      <c r="L5" s="425"/>
      <c r="M5" s="425"/>
      <c r="N5" s="425"/>
      <c r="O5" s="425"/>
      <c r="P5" s="425"/>
      <c r="Q5" s="425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425"/>
      <c r="B6" s="425"/>
      <c r="C6" s="425"/>
      <c r="D6" s="425"/>
      <c r="E6" s="425"/>
      <c r="F6" s="425"/>
      <c r="G6" s="425"/>
      <c r="H6" s="425"/>
      <c r="I6" s="425"/>
      <c r="J6" s="425"/>
      <c r="K6" s="425"/>
      <c r="L6" s="425"/>
      <c r="M6" s="425"/>
      <c r="N6" s="425"/>
      <c r="O6" s="425"/>
      <c r="P6" s="425"/>
      <c r="Q6" s="425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>
      <c r="A8" s="1"/>
      <c r="B8" s="3" t="s">
        <v>347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>
      <c r="A9" s="1"/>
      <c r="B9" s="4" t="s">
        <v>528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>
      <c r="A10" s="1"/>
      <c r="B10" s="4" t="s">
        <v>527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A11" s="1"/>
      <c r="B11" s="108" t="s">
        <v>529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1"/>
      <c r="B12" s="108" t="s">
        <v>530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>
      <c r="A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>
      <c r="A14" s="1"/>
      <c r="B14" s="3" t="s">
        <v>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>
      <c r="A15" s="1"/>
      <c r="B15" s="108" t="s">
        <v>352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>
      <c r="A16" s="1"/>
      <c r="B16" s="108" t="s">
        <v>351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>
      <c r="A17" s="1"/>
      <c r="B17" s="4" t="s">
        <v>348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ht="14.4">
      <c r="A18" s="1"/>
      <c r="B18" s="108" t="s">
        <v>349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A19" s="1"/>
      <c r="B19" s="108" t="s">
        <v>493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A20" s="1"/>
      <c r="B20" s="108" t="s">
        <v>350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>
      <c r="A21" s="1"/>
      <c r="B21" s="108" t="s">
        <v>533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>
      <c r="A23" s="1"/>
      <c r="B23" s="3" t="s">
        <v>460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>
      <c r="A24" s="1"/>
      <c r="B24" s="1" t="s">
        <v>461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ht="14.4">
      <c r="A26" s="1"/>
      <c r="B26" s="349" t="s">
        <v>475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>
      <c r="A27" s="1"/>
      <c r="B27" s="4" t="s">
        <v>462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>
      <c r="A28" s="1"/>
      <c r="B28" s="4" t="s">
        <v>463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>
      <c r="A29" s="1"/>
      <c r="B29" s="4" t="s">
        <v>464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>
      <c r="A30" s="1"/>
      <c r="B30" s="4" t="s">
        <v>465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>
      <c r="A31" s="1"/>
      <c r="B31" s="4" t="s">
        <v>466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>
      <c r="A32" s="1"/>
      <c r="B32" s="4" t="s">
        <v>467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>
      <c r="A33" s="1"/>
      <c r="B33" s="4" t="s">
        <v>531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ht="13.2" customHeight="1">
      <c r="A34" s="1"/>
      <c r="B34" s="4" t="s">
        <v>468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>
      <c r="A35" s="1"/>
      <c r="B35" s="4" t="s">
        <v>469</v>
      </c>
      <c r="C35" s="1"/>
      <c r="D35" s="1"/>
      <c r="E35" s="1"/>
      <c r="F35" s="1"/>
      <c r="G35" s="1"/>
      <c r="H35" s="1"/>
      <c r="I35" s="1"/>
      <c r="J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>
      <c r="A36" s="1"/>
      <c r="B36" s="4" t="s">
        <v>532</v>
      </c>
      <c r="C36" s="1"/>
      <c r="D36" s="1"/>
      <c r="E36" s="1"/>
      <c r="F36" s="1"/>
      <c r="G36" s="1"/>
      <c r="H36" s="1"/>
      <c r="I36" s="1"/>
      <c r="J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>
      <c r="A37" s="1"/>
      <c r="B37" s="4" t="s">
        <v>470</v>
      </c>
      <c r="C37" s="1"/>
      <c r="D37" s="1"/>
      <c r="E37" s="1"/>
      <c r="F37" s="1"/>
      <c r="G37" s="1"/>
      <c r="H37" s="1"/>
      <c r="I37" s="1"/>
      <c r="J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>
      <c r="A38" s="1"/>
      <c r="B38" s="4" t="s">
        <v>471</v>
      </c>
      <c r="C38" s="1"/>
      <c r="D38" s="1"/>
      <c r="E38" s="1"/>
      <c r="F38" s="1"/>
      <c r="G38" s="1"/>
      <c r="H38" s="1"/>
      <c r="I38" s="1"/>
      <c r="J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>
      <c r="A39" s="1"/>
      <c r="B39" s="1"/>
      <c r="C39" s="1"/>
      <c r="D39" s="1"/>
      <c r="E39" s="1"/>
      <c r="F39" s="1"/>
      <c r="G39" s="1"/>
      <c r="H39" s="1"/>
      <c r="I39" s="1"/>
      <c r="J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ht="14.4">
      <c r="A40" s="1"/>
      <c r="B40" s="349" t="s">
        <v>476</v>
      </c>
      <c r="C40" s="1"/>
      <c r="D40" s="1"/>
      <c r="E40" s="1"/>
      <c r="F40" s="1"/>
      <c r="G40" s="1"/>
      <c r="H40" s="1"/>
      <c r="I40" s="1"/>
      <c r="J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>
      <c r="A41" s="1"/>
      <c r="B41" s="4" t="s">
        <v>472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>
      <c r="A42" s="1"/>
      <c r="B42" s="4" t="s">
        <v>473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>
      <c r="A43" s="1"/>
      <c r="B43" s="4" t="s">
        <v>474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>
      <c r="A45" s="1"/>
      <c r="B45" s="421" t="s">
        <v>523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>
      <c r="A46" s="1"/>
      <c r="B46" s="10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ht="14.4">
      <c r="A47" s="1"/>
      <c r="B47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>
      <c r="A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>
      <c r="A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>
      <c r="A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>
      <c r="A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>
      <c r="A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>
      <c r="A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>
      <c r="A55" s="1"/>
      <c r="B55" s="50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ht="13.2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 spans="1:5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 spans="1:5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 spans="1:5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 spans="1:5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 spans="1:5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 spans="1:5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 spans="1:5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 spans="1:5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 spans="1:5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 spans="1:5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 spans="1:5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 spans="1:5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 spans="1:5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 spans="1:5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 spans="1:5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 spans="1:5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 spans="1:5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 spans="1:5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 spans="1:5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 spans="1:5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 spans="1:5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 spans="1:5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 spans="1:5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 spans="1:5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 spans="1:5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 spans="1:5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 spans="1:5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 spans="1:5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 spans="1:5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 spans="1:5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 spans="1:5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 spans="1:5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 spans="1:5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 spans="1:5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 spans="1:5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 spans="1:5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 spans="1:5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 spans="1:5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 spans="1:5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 spans="1:5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 spans="1:5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 spans="1:5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 spans="1:5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 spans="1:5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 spans="1:5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 spans="1:5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 spans="1:5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 spans="1:5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 spans="1:5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 spans="1:5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 spans="1: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 spans="1:5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 spans="1:5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 spans="1:5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 spans="1:5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 spans="1:5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 spans="1:5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 spans="1:5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 spans="1:5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 spans="1:5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 spans="1:5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 spans="1:5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 spans="1:5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 spans="1:5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 spans="1:5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 spans="1:5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 spans="1:5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 spans="1:5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 spans="1:5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 spans="1:5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 spans="1:5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 spans="1:5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 spans="1:5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 spans="1:5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 spans="1:5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 spans="1:5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 spans="1:5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 spans="1:5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 spans="1:5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 spans="1:5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 spans="1:5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 spans="1:5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 spans="1:5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 spans="1:5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 spans="1:5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 spans="1:5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 spans="1:5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 spans="1:5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 spans="1:5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 spans="1:5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 spans="1:5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 spans="1:5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 spans="1:5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 spans="1:5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 spans="1:5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 spans="1:5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 spans="1:5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 spans="1:5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 spans="1:5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 spans="1:5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 spans="1:5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 spans="1:5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 spans="1:5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 spans="1:5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 spans="1:5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 spans="1:5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 spans="1:5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 spans="1:5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 spans="1:5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 spans="1:5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 spans="1:5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 spans="1:5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 spans="1:5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 spans="1:5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 spans="1:5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 spans="1:5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 spans="1:5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 spans="1:5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 spans="1:5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 spans="1:5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 spans="1:5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 spans="1:5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 spans="1:5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 spans="1:5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 spans="1:5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 spans="1:5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 spans="1:5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 spans="1:5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 spans="1:5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 spans="1:5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 spans="1:5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 spans="1:5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 spans="1:5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 spans="1:5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 spans="1:5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 spans="1:5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 spans="1:5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 spans="1:5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 spans="1:5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 spans="1:5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 spans="1:5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 spans="1:5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 spans="1:5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 spans="1:5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 spans="1:5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 spans="1:5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 spans="1:5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 spans="1:5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 spans="1:5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 spans="1:5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 spans="1: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 spans="1:5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 spans="1:5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 spans="1:5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 spans="1:5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 spans="1:5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 spans="1:5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 spans="1:5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 spans="1:5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 spans="1:5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 spans="1:5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 spans="1:5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 spans="1:5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 spans="1:5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 spans="1:5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 spans="1:5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 spans="1:5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 spans="1:5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 spans="1:5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 spans="1:5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 spans="1:5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 spans="1:5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 spans="1:5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 spans="1:5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 spans="1:5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 spans="1:5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 spans="1:5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 spans="1:5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 spans="1:5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 spans="1:5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 spans="1:5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 spans="1:5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 spans="1:5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 spans="1:5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 spans="1:5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 spans="1:5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 spans="1:5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 spans="1:5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 spans="1:5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 spans="1:5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 spans="1:5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 spans="1:5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 spans="1:5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 spans="1:5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 spans="1:5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 spans="1:5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 spans="1:5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 spans="1:5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 spans="1:5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 spans="1:5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 spans="1:5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 spans="1:5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 spans="1:5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 spans="1:5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 spans="1:5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 spans="1:5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 spans="1:5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 spans="1:5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 spans="1:5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 spans="1:5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 spans="1:5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 spans="1:5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 spans="1:5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 spans="1:5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 spans="1:5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 spans="1:5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 spans="1:5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 spans="1:5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 spans="1:5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 spans="1:5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 spans="1:5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 spans="1:5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 spans="1:5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 spans="1:5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 spans="1:5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 spans="1:5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 spans="1:5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 spans="1:5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 spans="1:5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 spans="1:5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 spans="1:5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 spans="1:5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 spans="1:5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 spans="1:5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 spans="1:5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 spans="1:5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 spans="1:5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 spans="1:5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 spans="1:5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 spans="1:5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 spans="1:5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 spans="1:5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 spans="1:5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 spans="1:5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 spans="1:5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 spans="1:5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 spans="1:5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 spans="1:5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 spans="1:5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 spans="1:5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 spans="1: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 spans="1:5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 spans="1:5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 spans="1:5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 spans="1:5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 spans="1:5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 spans="1:5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 spans="1:5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 spans="1:5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 spans="1:5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 spans="1:5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 spans="1:5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 spans="1:5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 spans="1:5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 spans="1:5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 spans="1:5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 spans="1:5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 spans="1:5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 spans="1:5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 spans="1:5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 spans="1:5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 spans="1:5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 spans="1:5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 spans="1:5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 spans="1:5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 spans="1:5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 spans="1:5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 spans="1:5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 spans="1:5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 spans="1:5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 spans="1:5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 spans="1:5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 spans="1:5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 spans="1:5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 spans="1:5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 spans="1:5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 spans="1:5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 spans="1:5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 spans="1:5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 spans="1:5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 spans="1:5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 spans="1:5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 spans="1:5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 spans="1:5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 spans="1:5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 spans="1:5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 spans="1:5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 spans="1:5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 spans="1:5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 spans="1:5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 spans="1:5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 spans="1:5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 spans="1:5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 spans="1:5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 spans="1:5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 spans="1:5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 spans="1:5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 spans="1:5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 spans="1:5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 spans="1:5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 spans="1:5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 spans="1:5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 spans="1:5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 spans="1:5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 spans="1:5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 spans="1:5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 spans="1:5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 spans="1:5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 spans="1:5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 spans="1:5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 spans="1:5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 spans="1:5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 spans="1:5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 spans="1:5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 spans="1:5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 spans="1:5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 spans="1:5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 spans="1:5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 spans="1:5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 spans="1:5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 spans="1:5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 spans="1:5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 spans="1:5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 spans="1:5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 spans="1:5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 spans="1:5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 spans="1:5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 spans="1:5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 spans="1:5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 spans="1:5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 spans="1:5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 spans="1:5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 spans="1:5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 spans="1:5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 spans="1:5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 spans="1:5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 spans="1:5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 spans="1:5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 spans="1:5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 spans="1:5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 spans="1: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 spans="1:5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 spans="1:5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 spans="1:5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 spans="1:5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 spans="1:5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 spans="1:5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 spans="1:5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 spans="1:5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 spans="1:5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 spans="1:5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 spans="1:5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 spans="1:5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 spans="1:5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 spans="1:5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 spans="1:5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 spans="1:5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 spans="1:5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 spans="1:5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 spans="1:5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 spans="1:5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 spans="1:5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 spans="1:5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 spans="1:5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 spans="1:5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 spans="1:5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 spans="1:5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 spans="1:5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 spans="1:5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 spans="1:5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 spans="1:5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 spans="1:5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 spans="1:5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 spans="1:5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 spans="1:5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 spans="1:5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 spans="1:5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 spans="1:5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 spans="1:5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 spans="1:5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 spans="1:5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 spans="1:5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 spans="1:5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 spans="1:5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 spans="1:5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 spans="1:5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 spans="1:5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 spans="1:5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 spans="1:5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 spans="1:5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 spans="1:5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 spans="1:5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 spans="1:5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 spans="1:5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 spans="1:5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 spans="1:5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 spans="1:5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 spans="1:5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 spans="1:5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 spans="1:5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 spans="1:5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 spans="1:5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 spans="1:5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 spans="1:5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 spans="1:5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 spans="1:5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 spans="1:5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 spans="1:5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 spans="1:5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 spans="1:5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 spans="1:5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 spans="1:5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 spans="1:5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 spans="1:5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 spans="1:5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 spans="1:5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 spans="1:5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 spans="1:5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 spans="1:5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 spans="1:5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 spans="1:5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 spans="1:5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 spans="1:5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 spans="1:5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 spans="1:5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 spans="1:5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 spans="1:5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 spans="1:5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 spans="1:5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 spans="1:5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 spans="1:5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 spans="1:5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 spans="1:5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 spans="1:5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 spans="1:5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 spans="1:5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 spans="1:5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 spans="1:5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 spans="1:5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 spans="1:5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 spans="1: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 spans="1:5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 spans="1:5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 spans="1:5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 spans="1:5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 spans="1:5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 spans="1:5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 spans="1:5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 spans="1:5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 spans="1:5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 spans="1:5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 spans="1:5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 spans="1:5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 spans="1:5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 spans="1:5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 spans="1:5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 spans="1:5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 spans="1:5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 spans="1:5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 spans="1:5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 spans="1:5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 spans="1:5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 spans="1:5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 spans="1:5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 spans="1:5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 spans="1:5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 spans="1:5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 spans="1:5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 spans="1:5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 spans="1:5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 spans="1:5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 spans="1:5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 spans="1:5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 spans="1:5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 spans="1:5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 spans="1:5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 spans="1:5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 spans="1:5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 spans="1:5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 spans="1:5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 spans="1:5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 spans="1:5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 spans="1:5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 spans="1:5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 spans="1:5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 spans="1:5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 spans="1:5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 spans="1:5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 spans="1:5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 spans="1:5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 spans="1:5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 spans="1:5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 spans="1:5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 spans="1:5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 spans="1:5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 spans="1:5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 spans="1:5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 spans="1:5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 spans="1:5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 spans="1:5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 spans="1:5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 spans="1:5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 spans="1:5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</sheetData>
  <mergeCells count="1">
    <mergeCell ref="A1:Q6"/>
  </mergeCells>
  <pageMargins left="0.75" right="0.75" top="1" bottom="1" header="0.5" footer="0.5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EC96-EFAE-40CA-9C23-700BE1CA064F}">
  <sheetPr>
    <tabColor rgb="FF105BD8"/>
  </sheetPr>
  <dimension ref="A1:Y181"/>
  <sheetViews>
    <sheetView showGridLines="0" zoomScaleNormal="100" workbookViewId="0">
      <selection activeCell="A3" sqref="A3:I4"/>
    </sheetView>
  </sheetViews>
  <sheetFormatPr defaultColWidth="8.88671875" defaultRowHeight="13.8"/>
  <cols>
    <col min="1" max="1" width="53" style="57" customWidth="1"/>
    <col min="2" max="2" width="27.77734375" style="57" customWidth="1"/>
    <col min="3" max="3" width="17.21875" style="57" customWidth="1"/>
    <col min="4" max="12" width="22.6640625" style="57" customWidth="1"/>
    <col min="13" max="13" width="18.5546875" style="57" customWidth="1"/>
    <col min="14" max="14" width="23.33203125" style="57" customWidth="1"/>
    <col min="15" max="15" width="23.88671875" style="57" bestFit="1" customWidth="1"/>
    <col min="16" max="16" width="27.33203125" style="57" bestFit="1" customWidth="1"/>
    <col min="17" max="17" width="18.109375" style="57" bestFit="1" customWidth="1"/>
    <col min="18" max="18" width="17.44140625" style="57" bestFit="1" customWidth="1"/>
    <col min="19" max="19" width="27.33203125" style="149" bestFit="1" customWidth="1"/>
    <col min="20" max="20" width="12.33203125" style="57" bestFit="1" customWidth="1"/>
    <col min="21" max="21" width="11.44140625" style="57" bestFit="1" customWidth="1"/>
    <col min="22" max="22" width="10.44140625" style="57" bestFit="1" customWidth="1"/>
    <col min="23" max="23" width="11.21875" style="57" bestFit="1" customWidth="1"/>
    <col min="24" max="24" width="11.44140625" style="57" bestFit="1" customWidth="1"/>
    <col min="25" max="25" width="11.77734375" style="57" bestFit="1" customWidth="1"/>
    <col min="26" max="16384" width="8.88671875" style="57"/>
  </cols>
  <sheetData>
    <row r="1" spans="1:25" s="287" customFormat="1">
      <c r="S1" s="288"/>
    </row>
    <row r="2" spans="1:25" s="144" customFormat="1">
      <c r="A2" s="141"/>
      <c r="B2" s="142"/>
      <c r="C2" s="141"/>
      <c r="D2" s="141"/>
      <c r="E2" s="141"/>
      <c r="F2" s="141"/>
      <c r="G2" s="143"/>
      <c r="H2" s="141"/>
      <c r="I2" s="141"/>
      <c r="J2" s="141"/>
      <c r="K2" s="141"/>
      <c r="M2" s="141"/>
      <c r="N2" s="141"/>
      <c r="O2" s="141"/>
      <c r="P2" s="141"/>
      <c r="Q2" s="141"/>
      <c r="R2" s="141"/>
      <c r="S2" s="145"/>
    </row>
    <row r="3" spans="1:25" s="290" customFormat="1" ht="14.4" customHeight="1">
      <c r="A3" s="453" t="s">
        <v>478</v>
      </c>
      <c r="B3" s="453"/>
      <c r="C3" s="453"/>
      <c r="D3" s="453"/>
      <c r="E3" s="453"/>
      <c r="F3" s="453"/>
      <c r="G3" s="453"/>
      <c r="H3" s="453"/>
      <c r="I3" s="453"/>
    </row>
    <row r="4" spans="1:25" s="291" customFormat="1" ht="15.6" customHeight="1">
      <c r="A4" s="454"/>
      <c r="B4" s="454"/>
      <c r="C4" s="454"/>
      <c r="D4" s="454"/>
      <c r="E4" s="454"/>
      <c r="F4" s="454"/>
      <c r="G4" s="454"/>
      <c r="H4" s="454"/>
      <c r="I4" s="454"/>
      <c r="J4" s="294"/>
      <c r="K4" s="294"/>
      <c r="L4" s="294"/>
      <c r="M4" s="294"/>
      <c r="N4" s="294"/>
      <c r="O4" s="294"/>
    </row>
    <row r="5" spans="1:25" s="291" customFormat="1" ht="15.6">
      <c r="A5" s="292"/>
      <c r="B5" s="292"/>
      <c r="C5" s="292"/>
      <c r="D5" s="292"/>
      <c r="E5" s="292"/>
      <c r="F5" s="292"/>
      <c r="G5" s="292"/>
      <c r="H5" s="292"/>
      <c r="I5" s="292"/>
      <c r="J5" s="292"/>
      <c r="K5" s="292"/>
      <c r="L5" s="292"/>
      <c r="M5" s="292"/>
      <c r="N5" s="292"/>
      <c r="O5" s="292"/>
    </row>
    <row r="6" spans="1:25" s="32" customFormat="1" ht="13.8" customHeight="1">
      <c r="D6" s="298"/>
      <c r="E6" s="297"/>
      <c r="F6" s="297"/>
    </row>
    <row r="7" spans="1:25" s="32" customFormat="1" ht="20.399999999999999">
      <c r="A7" s="295" t="s">
        <v>456</v>
      </c>
      <c r="B7" s="295"/>
      <c r="C7" s="295"/>
      <c r="D7" s="295"/>
      <c r="E7" s="295"/>
      <c r="F7" s="295"/>
      <c r="G7" s="295"/>
      <c r="H7" s="295"/>
      <c r="I7" s="295"/>
      <c r="J7" s="295"/>
      <c r="K7" s="295"/>
      <c r="L7" s="295"/>
      <c r="M7" s="295"/>
      <c r="N7" s="295"/>
      <c r="O7" s="295"/>
    </row>
    <row r="8" spans="1:25">
      <c r="A8" s="293" t="s">
        <v>445</v>
      </c>
    </row>
    <row r="10" spans="1:25" ht="16.2" customHeight="1" thickBot="1">
      <c r="A10" s="438" t="s">
        <v>495</v>
      </c>
      <c r="B10" s="438"/>
      <c r="C10" s="438"/>
      <c r="D10" s="434" t="s">
        <v>444</v>
      </c>
      <c r="E10" s="434"/>
      <c r="S10" s="426" t="s">
        <v>224</v>
      </c>
      <c r="T10" s="427"/>
      <c r="U10" s="427"/>
      <c r="V10" s="427"/>
      <c r="W10" s="427"/>
      <c r="X10" s="427"/>
      <c r="Y10" s="428"/>
    </row>
    <row r="11" spans="1:25" ht="14.4">
      <c r="A11" s="137" t="s">
        <v>355</v>
      </c>
      <c r="B11" s="138" t="s">
        <v>245</v>
      </c>
      <c r="C11" s="37"/>
      <c r="D11" s="415" t="s">
        <v>355</v>
      </c>
      <c r="E11" s="230" t="s">
        <v>245</v>
      </c>
      <c r="S11" s="140" t="s">
        <v>266</v>
      </c>
      <c r="T11" s="435" t="s">
        <v>52</v>
      </c>
      <c r="U11" s="436"/>
      <c r="V11" s="437"/>
      <c r="W11" s="435" t="s">
        <v>53</v>
      </c>
      <c r="X11" s="436"/>
      <c r="Y11" s="437"/>
    </row>
    <row r="12" spans="1:25" ht="14.4">
      <c r="A12" s="139" t="s">
        <v>243</v>
      </c>
      <c r="B12" s="131" t="s">
        <v>366</v>
      </c>
      <c r="C12" s="37"/>
      <c r="D12" s="414" t="s">
        <v>243</v>
      </c>
      <c r="E12" s="129" t="s">
        <v>10</v>
      </c>
      <c r="S12" s="246"/>
      <c r="T12" s="248" t="s">
        <v>7</v>
      </c>
      <c r="U12" s="248" t="s">
        <v>55</v>
      </c>
      <c r="V12" s="248" t="s">
        <v>6</v>
      </c>
      <c r="W12" s="248" t="s">
        <v>7</v>
      </c>
      <c r="X12" s="248" t="s">
        <v>55</v>
      </c>
      <c r="Y12" s="248" t="s">
        <v>6</v>
      </c>
    </row>
    <row r="13" spans="1:25" ht="15" thickBot="1">
      <c r="A13" s="134" t="s">
        <v>244</v>
      </c>
      <c r="B13" s="132" t="s">
        <v>367</v>
      </c>
      <c r="C13" s="37"/>
      <c r="D13" s="134" t="s">
        <v>244</v>
      </c>
      <c r="E13" s="130" t="s">
        <v>10</v>
      </c>
      <c r="S13" s="150" t="s">
        <v>267</v>
      </c>
      <c r="T13" s="59">
        <v>702</v>
      </c>
      <c r="U13" s="59">
        <v>250000</v>
      </c>
      <c r="V13" s="59">
        <v>525600</v>
      </c>
      <c r="W13" s="59">
        <v>525600</v>
      </c>
      <c r="X13" s="59">
        <v>750000</v>
      </c>
      <c r="Y13" s="59">
        <v>1000000</v>
      </c>
    </row>
    <row r="14" spans="1:25" s="31" customFormat="1">
      <c r="B14" s="146"/>
      <c r="C14" s="147"/>
      <c r="G14" s="148"/>
      <c r="S14" s="150" t="s">
        <v>268</v>
      </c>
      <c r="T14" s="151">
        <v>89840</v>
      </c>
      <c r="U14" s="151">
        <v>250000</v>
      </c>
      <c r="V14" s="151">
        <v>525600</v>
      </c>
      <c r="W14" s="151">
        <v>525600</v>
      </c>
      <c r="X14" s="151">
        <v>750000</v>
      </c>
      <c r="Y14" s="151">
        <v>1000000</v>
      </c>
    </row>
    <row r="15" spans="1:25" ht="14.4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N15" s="37"/>
      <c r="O15" s="37"/>
      <c r="P15" s="1"/>
      <c r="Q15" s="1"/>
      <c r="S15" s="150" t="s">
        <v>264</v>
      </c>
      <c r="T15" s="152">
        <v>7.7533078571270795E-3</v>
      </c>
      <c r="U15" s="152">
        <v>0.5</v>
      </c>
      <c r="V15" s="152">
        <v>0.5</v>
      </c>
      <c r="W15" s="152">
        <v>0.5</v>
      </c>
      <c r="X15" s="152">
        <v>0.5</v>
      </c>
      <c r="Y15" s="152">
        <v>0.5</v>
      </c>
    </row>
    <row r="16" spans="1:25" s="31" customFormat="1" ht="20.399999999999999">
      <c r="A16" s="295" t="s">
        <v>477</v>
      </c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1"/>
      <c r="M16" s="1"/>
      <c r="N16" s="37"/>
      <c r="O16" s="37"/>
      <c r="P16" s="1"/>
      <c r="Q16" s="1"/>
      <c r="S16" s="150" t="s">
        <v>265</v>
      </c>
      <c r="T16" s="152">
        <v>0.99224669214287287</v>
      </c>
      <c r="U16" s="152">
        <v>0.5</v>
      </c>
      <c r="V16" s="152">
        <v>0.5</v>
      </c>
      <c r="W16" s="152">
        <v>0.5</v>
      </c>
      <c r="X16" s="152">
        <v>0.5</v>
      </c>
      <c r="Y16" s="152">
        <v>0.5</v>
      </c>
    </row>
    <row r="17" spans="1:25" s="31" customFormat="1" ht="14.4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1"/>
      <c r="M17" s="1"/>
      <c r="N17" s="37"/>
      <c r="O17" s="37"/>
      <c r="P17" s="1"/>
      <c r="Q17" s="1"/>
    </row>
    <row r="18" spans="1:25" ht="16.2" thickBot="1">
      <c r="A18" s="433" t="s">
        <v>510</v>
      </c>
      <c r="B18" s="433"/>
      <c r="C18" s="37"/>
      <c r="D18" s="37"/>
      <c r="E18" s="37"/>
      <c r="F18" s="37"/>
      <c r="G18" s="37"/>
      <c r="H18" s="37"/>
      <c r="I18" s="37"/>
      <c r="J18" s="37"/>
      <c r="K18" s="37"/>
      <c r="L18" s="1"/>
      <c r="M18" s="1"/>
      <c r="N18" s="1"/>
      <c r="O18" s="1"/>
      <c r="P18" s="1"/>
      <c r="Q18" s="1"/>
    </row>
    <row r="19" spans="1:25" ht="14.4">
      <c r="A19" s="429" t="s">
        <v>59</v>
      </c>
      <c r="B19" s="431" t="s">
        <v>376</v>
      </c>
      <c r="C19" s="37"/>
      <c r="D19" s="37"/>
      <c r="E19" s="37"/>
      <c r="F19" s="37"/>
      <c r="G19" s="37"/>
      <c r="H19" s="37"/>
      <c r="I19" s="37"/>
      <c r="J19" s="37"/>
      <c r="K19" s="37"/>
      <c r="L19" s="1"/>
      <c r="M19" s="1"/>
      <c r="N19" s="1"/>
      <c r="O19" s="1"/>
      <c r="P19" s="1"/>
      <c r="Q19" s="1"/>
    </row>
    <row r="20" spans="1:25" ht="14.4">
      <c r="A20" s="430"/>
      <c r="B20" s="432"/>
      <c r="C20" s="37"/>
      <c r="D20" s="37"/>
      <c r="E20" s="37"/>
      <c r="F20" s="37"/>
      <c r="G20" s="37"/>
      <c r="H20" s="37"/>
      <c r="I20" s="37"/>
      <c r="J20" s="37"/>
      <c r="K20" s="37"/>
      <c r="L20" s="1"/>
      <c r="M20" s="1"/>
      <c r="N20" s="1"/>
      <c r="O20" s="1"/>
      <c r="P20" s="1"/>
      <c r="Q20" s="1"/>
      <c r="W20"/>
    </row>
    <row r="21" spans="1:25" ht="14.4">
      <c r="A21" s="171" t="s">
        <v>37</v>
      </c>
      <c r="B21" s="162" t="s">
        <v>375</v>
      </c>
      <c r="C21" s="37"/>
      <c r="D21" s="37"/>
      <c r="E21" s="37"/>
      <c r="F21" s="37"/>
      <c r="G21" s="37"/>
      <c r="H21" s="37"/>
      <c r="I21" s="37"/>
      <c r="J21" s="37"/>
      <c r="K21" s="37"/>
      <c r="L21" s="1"/>
      <c r="M21" s="1"/>
      <c r="N21" s="1"/>
      <c r="O21" s="1"/>
      <c r="P21" s="1"/>
      <c r="Q21" s="1"/>
    </row>
    <row r="22" spans="1:25" ht="14.4">
      <c r="A22" s="171" t="s">
        <v>35</v>
      </c>
      <c r="B22" s="162" t="s">
        <v>375</v>
      </c>
      <c r="C22" s="37"/>
      <c r="D22" s="37"/>
      <c r="E22" s="37"/>
      <c r="F22" s="37"/>
      <c r="G22" s="37"/>
      <c r="H22" s="37"/>
      <c r="I22" s="37"/>
      <c r="J22" s="37"/>
      <c r="K22" s="37"/>
      <c r="L22" s="1"/>
      <c r="M22" s="1"/>
      <c r="N22" s="1"/>
      <c r="O22" s="1"/>
      <c r="P22" s="1"/>
      <c r="Q22" s="1"/>
    </row>
    <row r="23" spans="1:25" ht="14.4">
      <c r="A23" s="171" t="s">
        <v>34</v>
      </c>
      <c r="B23" s="162" t="s">
        <v>375</v>
      </c>
      <c r="C23" s="37"/>
      <c r="D23" s="37"/>
      <c r="E23" s="37"/>
      <c r="F23" s="37"/>
      <c r="G23" s="37"/>
      <c r="H23" s="37"/>
      <c r="I23" s="37"/>
      <c r="J23" s="37"/>
      <c r="K23" s="37"/>
      <c r="L23" s="1"/>
      <c r="M23" s="1"/>
      <c r="N23" s="1"/>
      <c r="O23" s="1"/>
      <c r="P23" s="1"/>
      <c r="Q23" s="1"/>
    </row>
    <row r="24" spans="1:25">
      <c r="A24" s="171" t="s">
        <v>57</v>
      </c>
      <c r="B24" s="162" t="s">
        <v>375</v>
      </c>
      <c r="C24" s="154"/>
      <c r="D24" s="154"/>
      <c r="E24" s="154"/>
      <c r="F24" s="154"/>
      <c r="G24" s="154"/>
      <c r="H24" s="154"/>
      <c r="I24" s="154"/>
      <c r="J24" s="154"/>
      <c r="K24" s="154"/>
      <c r="L24" s="1"/>
      <c r="M24" s="1"/>
      <c r="N24" s="1"/>
      <c r="O24" s="1"/>
      <c r="P24" s="1"/>
      <c r="Q24" s="1"/>
    </row>
    <row r="25" spans="1:25">
      <c r="A25" s="171" t="s">
        <v>38</v>
      </c>
      <c r="B25" s="162" t="s">
        <v>375</v>
      </c>
    </row>
    <row r="26" spans="1:25" ht="14.4" customHeight="1">
      <c r="A26" s="171" t="s">
        <v>58</v>
      </c>
      <c r="B26" s="162" t="s">
        <v>375</v>
      </c>
    </row>
    <row r="27" spans="1:25" s="37" customFormat="1" ht="15" thickBot="1">
      <c r="A27" s="170" t="s">
        <v>39</v>
      </c>
      <c r="B27" s="163" t="s">
        <v>375</v>
      </c>
    </row>
    <row r="28" spans="1:25" s="37" customFormat="1" ht="14.4"/>
    <row r="30" spans="1:25" s="31" customFormat="1" ht="20.399999999999999">
      <c r="A30" s="295" t="s">
        <v>508</v>
      </c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1"/>
      <c r="M30" s="1"/>
      <c r="N30" s="37"/>
      <c r="O30" s="37"/>
      <c r="P30" s="1"/>
      <c r="Q30" s="1"/>
      <c r="S30" s="37"/>
      <c r="T30" s="37"/>
      <c r="U30" s="37"/>
      <c r="V30" s="37"/>
      <c r="W30" s="37"/>
      <c r="X30" s="37"/>
      <c r="Y30" s="37"/>
    </row>
    <row r="32" spans="1:25" ht="16.2" thickBot="1">
      <c r="A32" s="452" t="s">
        <v>512</v>
      </c>
      <c r="B32" s="452"/>
    </row>
    <row r="33" spans="1:25">
      <c r="A33" s="413" t="s">
        <v>355</v>
      </c>
      <c r="B33" s="230" t="s">
        <v>511</v>
      </c>
    </row>
    <row r="34" spans="1:25">
      <c r="A34" s="412" t="s">
        <v>243</v>
      </c>
      <c r="B34" s="267">
        <v>0</v>
      </c>
    </row>
    <row r="35" spans="1:25">
      <c r="A35" s="412" t="s">
        <v>369</v>
      </c>
      <c r="B35" s="267">
        <v>0</v>
      </c>
    </row>
    <row r="36" spans="1:25" ht="14.4" thickBot="1">
      <c r="A36" s="134" t="s">
        <v>370</v>
      </c>
      <c r="B36" s="268">
        <v>0</v>
      </c>
    </row>
    <row r="37" spans="1:25" ht="14.4">
      <c r="B37" s="37"/>
    </row>
    <row r="38" spans="1:25" s="37" customFormat="1" ht="14.4"/>
    <row r="39" spans="1:25" s="31" customFormat="1" ht="20.399999999999999">
      <c r="A39" s="295" t="s">
        <v>509</v>
      </c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1"/>
      <c r="M39" s="1"/>
      <c r="N39" s="37"/>
      <c r="O39" s="37"/>
      <c r="P39" s="1"/>
      <c r="Q39" s="1"/>
      <c r="S39"/>
      <c r="T39"/>
      <c r="U39"/>
      <c r="V39"/>
      <c r="W39"/>
      <c r="X39"/>
      <c r="Y39"/>
    </row>
    <row r="40" spans="1:25" s="37" customFormat="1" ht="14.4"/>
    <row r="41" spans="1:25" s="37" customFormat="1" ht="16.2" thickBot="1">
      <c r="A41" s="447" t="s">
        <v>513</v>
      </c>
      <c r="B41" s="447"/>
    </row>
    <row r="42" spans="1:25" s="37" customFormat="1" ht="14.4">
      <c r="A42" s="215" t="s">
        <v>355</v>
      </c>
      <c r="B42" s="230" t="s">
        <v>433</v>
      </c>
    </row>
    <row r="43" spans="1:25" s="37" customFormat="1" ht="14.4">
      <c r="A43" s="223" t="s">
        <v>243</v>
      </c>
      <c r="B43" s="267">
        <v>0</v>
      </c>
    </row>
    <row r="44" spans="1:25" s="37" customFormat="1" ht="15" thickBot="1">
      <c r="A44" s="134" t="s">
        <v>244</v>
      </c>
      <c r="B44" s="268">
        <v>0</v>
      </c>
    </row>
    <row r="45" spans="1:25" s="37" customFormat="1" ht="14.4"/>
    <row r="46" spans="1:25" s="37" customFormat="1" ht="14.4"/>
    <row r="47" spans="1:25" s="37" customFormat="1" ht="15" customHeight="1">
      <c r="A47" s="350" t="s">
        <v>491</v>
      </c>
      <c r="B47" s="351">
        <f>IF(B12="User-defined price",E12,IF(B12="19 $/Min (NASA MOCS)",19,IF(B12="DTE S1 (2 Providers)",Scenarios_Future!L11, IF(B12="DTE S2 (3 Providers)",Scenarios_Future!L12,IF(B12="DTE S3 (4 Providers)",Scenarios_Future!L13, IF(B12="DTE S4 (5 Providers)",Scenarios_Future!L14, IF(B12="DTE S5 (6 Providers)",Scenarios_Future!L15, IF(B12="DTE S6 (7 Providers)",Scenarios_Future!L16))))))))</f>
        <v>19</v>
      </c>
      <c r="E47"/>
      <c r="F47"/>
    </row>
    <row r="48" spans="1:25" s="37" customFormat="1" ht="15.6">
      <c r="A48" s="350" t="s">
        <v>492</v>
      </c>
      <c r="B48" s="351">
        <f>IF(B13="User-defined price",E13,IF(B13="91 $/Min (NASA MOCS)",91,IF(B13="SR S1 (2 LEO)",Scenarios_Future!M11, IF(B13="SR S2 (1 LEO, 1 GEO)",Scenarios_Future!M12,IF(B13="SR S3 (2 LEO, 2 GEO)",Scenarios_Future!M13,IF(B13="SR S4 (3 LEO 3 GEO)",Scenarios_Future!M14,IF(B13="SR S5 (4 LEO 2 GEO)",Scenarios_Future!M15,IF(B13="SR S6 (2 LEO 4 GEO)",Scenarios_Future!M16))))))))</f>
        <v>91</v>
      </c>
      <c r="E48"/>
      <c r="F48"/>
    </row>
    <row r="49" spans="1:6" ht="14.4">
      <c r="E49"/>
      <c r="F49"/>
    </row>
    <row r="51" spans="1:6" s="37" customFormat="1" ht="20.399999999999999">
      <c r="A51" s="295" t="s">
        <v>534</v>
      </c>
    </row>
    <row r="53" spans="1:6" ht="14.4" thickBot="1"/>
    <row r="54" spans="1:6" ht="14.4" customHeight="1">
      <c r="A54" s="448" t="s">
        <v>225</v>
      </c>
      <c r="B54" s="449"/>
      <c r="C54"/>
      <c r="D54"/>
    </row>
    <row r="55" spans="1:6">
      <c r="A55" s="231" t="s">
        <v>236</v>
      </c>
      <c r="B55" s="47" t="s">
        <v>457</v>
      </c>
    </row>
    <row r="56" spans="1:6">
      <c r="A56" s="247" t="s">
        <v>237</v>
      </c>
      <c r="B56" s="52">
        <f>D89</f>
        <v>94341.243582887691</v>
      </c>
    </row>
    <row r="57" spans="1:6">
      <c r="A57" s="247" t="s">
        <v>238</v>
      </c>
      <c r="B57" s="52">
        <f>D101</f>
        <v>175946.17738095237</v>
      </c>
    </row>
    <row r="58" spans="1:6">
      <c r="A58" s="247" t="s">
        <v>239</v>
      </c>
      <c r="B58" s="52">
        <f>D108</f>
        <v>836</v>
      </c>
    </row>
    <row r="59" spans="1:6">
      <c r="A59" s="247" t="s">
        <v>240</v>
      </c>
      <c r="B59" s="52">
        <f>D123</f>
        <v>94341.243582887691</v>
      </c>
    </row>
    <row r="60" spans="1:6">
      <c r="A60" s="247" t="s">
        <v>241</v>
      </c>
      <c r="B60" s="52">
        <f>D135</f>
        <v>175946.17738095237</v>
      </c>
    </row>
    <row r="61" spans="1:6" ht="14.4" thickBot="1">
      <c r="A61" s="233" t="s">
        <v>61</v>
      </c>
      <c r="B61" s="280">
        <f>SUM(B56:B60)</f>
        <v>541410.84192768019</v>
      </c>
    </row>
    <row r="64" spans="1:6" s="37" customFormat="1" ht="20.399999999999999">
      <c r="A64" s="295" t="s">
        <v>535</v>
      </c>
    </row>
    <row r="65" spans="1:23" ht="14.4" thickBot="1"/>
    <row r="66" spans="1:23">
      <c r="A66" s="448" t="s">
        <v>226</v>
      </c>
      <c r="B66" s="449"/>
    </row>
    <row r="67" spans="1:23">
      <c r="A67" s="231" t="s">
        <v>236</v>
      </c>
      <c r="B67" s="47" t="s">
        <v>458</v>
      </c>
    </row>
    <row r="68" spans="1:23">
      <c r="A68" s="247" t="s">
        <v>237</v>
      </c>
      <c r="B68" s="109">
        <f>E89</f>
        <v>1792483.6280748663</v>
      </c>
    </row>
    <row r="69" spans="1:23">
      <c r="A69" s="247" t="s">
        <v>238</v>
      </c>
      <c r="B69" s="109">
        <f>E101</f>
        <v>16011102.141666666</v>
      </c>
    </row>
    <row r="70" spans="1:23">
      <c r="A70" s="247" t="s">
        <v>239</v>
      </c>
      <c r="B70" s="109">
        <f>E108</f>
        <v>76076</v>
      </c>
    </row>
    <row r="71" spans="1:23">
      <c r="A71" s="247" t="s">
        <v>240</v>
      </c>
      <c r="B71" s="109">
        <f>E123</f>
        <v>1792483.6280748663</v>
      </c>
    </row>
    <row r="72" spans="1:23" ht="14.4" thickBot="1">
      <c r="A72" s="247" t="s">
        <v>241</v>
      </c>
      <c r="B72" s="208">
        <f>E135</f>
        <v>16011102.141666666</v>
      </c>
    </row>
    <row r="73" spans="1:23" ht="14.4" thickBot="1">
      <c r="A73" s="233" t="s">
        <v>61</v>
      </c>
      <c r="B73" s="207">
        <f>SUM(B68:B72)</f>
        <v>35683247.539483063</v>
      </c>
    </row>
    <row r="76" spans="1:23" s="32" customFormat="1" ht="20.399999999999999">
      <c r="A76" s="295" t="s">
        <v>536</v>
      </c>
    </row>
    <row r="78" spans="1:23" s="61" customFormat="1">
      <c r="S78" s="160"/>
    </row>
    <row r="79" spans="1:23" ht="16.2" thickBot="1">
      <c r="A79" s="49" t="s">
        <v>228</v>
      </c>
      <c r="N79" s="1"/>
      <c r="O79" s="1"/>
      <c r="P79" s="1"/>
      <c r="Q79" s="1"/>
      <c r="T79" s="1"/>
      <c r="U79" s="1"/>
      <c r="V79" s="1"/>
      <c r="W79" s="1"/>
    </row>
    <row r="80" spans="1:23" ht="14.4">
      <c r="A80" s="429" t="str">
        <f>Current!I4</f>
        <v>Use Case</v>
      </c>
      <c r="B80" s="441" t="str">
        <f>Current!J4</f>
        <v>Count</v>
      </c>
      <c r="C80" s="441" t="s">
        <v>62</v>
      </c>
      <c r="D80" s="443" t="s">
        <v>225</v>
      </c>
      <c r="E80" s="445" t="s">
        <v>226</v>
      </c>
      <c r="F80"/>
      <c r="G80"/>
      <c r="I80"/>
      <c r="J80"/>
      <c r="L80"/>
      <c r="M80" s="1"/>
      <c r="N80" s="1"/>
      <c r="O80" s="1"/>
      <c r="P80" s="1"/>
      <c r="Q80" s="1"/>
      <c r="T80" s="1"/>
      <c r="U80" s="1"/>
      <c r="V80" s="1"/>
      <c r="W80" s="1"/>
    </row>
    <row r="81" spans="1:23" ht="14.4">
      <c r="A81" s="430"/>
      <c r="B81" s="442"/>
      <c r="C81" s="442"/>
      <c r="D81" s="444"/>
      <c r="E81" s="446"/>
      <c r="F81"/>
      <c r="G81"/>
      <c r="I81"/>
      <c r="J81"/>
      <c r="L81"/>
      <c r="M81" s="1"/>
      <c r="N81" s="1"/>
      <c r="O81" s="1"/>
      <c r="P81" s="1"/>
      <c r="Q81" s="1"/>
      <c r="R81" s="1"/>
      <c r="S81" s="156"/>
      <c r="T81" s="1"/>
      <c r="U81" s="1"/>
      <c r="V81" s="1"/>
      <c r="W81" s="1"/>
    </row>
    <row r="82" spans="1:23" ht="14.4">
      <c r="A82" s="224" t="str">
        <f>Current!I5</f>
        <v>Human Space Flight</v>
      </c>
      <c r="B82" s="362">
        <f>Current!J5</f>
        <v>4</v>
      </c>
      <c r="C82" s="363">
        <f t="shared" ref="C82:C88" si="0">B82/$B$89</f>
        <v>0.08</v>
      </c>
      <c r="D82" s="367">
        <f>IFERROR(IF(B21="Yes",INDEX(Current!L5:L12,MATCH($A82,Current!I5:I12,0))*$U$15,"-"),"-")</f>
        <v>57930.104166666664</v>
      </c>
      <c r="E82" s="398">
        <f t="shared" ref="E82:E88" si="1">IFERROR(D82*$B$47,"-")</f>
        <v>1100671.9791666665</v>
      </c>
      <c r="F82"/>
      <c r="G82"/>
      <c r="I82"/>
      <c r="J82"/>
      <c r="L82"/>
      <c r="M82" s="1"/>
      <c r="N82" s="1"/>
      <c r="O82" s="1"/>
      <c r="P82" s="1"/>
      <c r="Q82" s="1"/>
      <c r="S82" s="157"/>
    </row>
    <row r="83" spans="1:23" ht="14.4">
      <c r="A83" s="224" t="str">
        <f>Current!I6</f>
        <v>Near Earth Robotic - LEO Science</v>
      </c>
      <c r="B83" s="362">
        <f>Current!J6</f>
        <v>34</v>
      </c>
      <c r="C83" s="363">
        <f t="shared" si="0"/>
        <v>0.68</v>
      </c>
      <c r="D83" s="367">
        <f>IFERROR(IF(B22="Yes",INDEX(Current!L6:L13,MATCH($A83,Current!I6:I13,0))*$U$15,"-"),"-")</f>
        <v>9697.3409313725497</v>
      </c>
      <c r="E83" s="398">
        <f t="shared" si="1"/>
        <v>184249.47769607845</v>
      </c>
      <c r="F83"/>
      <c r="G83"/>
      <c r="I83"/>
      <c r="J83"/>
      <c r="L83"/>
      <c r="M83" s="1"/>
      <c r="N83" s="1"/>
      <c r="O83" s="1"/>
      <c r="S83" s="157"/>
    </row>
    <row r="84" spans="1:23" ht="14.4">
      <c r="A84" s="224" t="str">
        <f>Current!I7</f>
        <v>Near Earth Robotic - GEO and Near Earth</v>
      </c>
      <c r="B84" s="362">
        <f>Current!J7</f>
        <v>11</v>
      </c>
      <c r="C84" s="363">
        <f t="shared" si="0"/>
        <v>0.22</v>
      </c>
      <c r="D84" s="367">
        <f>IFERROR(IF(B23="Yes",INDEX(Current!L7:L14,MATCH($A84,Current!I7:I14,0))*$U$15,"-"),"-")</f>
        <v>15432.673484848485</v>
      </c>
      <c r="E84" s="398">
        <f t="shared" si="1"/>
        <v>293220.7962121212</v>
      </c>
      <c r="F84"/>
      <c r="G84"/>
      <c r="I84"/>
      <c r="J84"/>
      <c r="L84"/>
      <c r="M84" s="1"/>
      <c r="N84" s="1"/>
      <c r="O84" s="1"/>
      <c r="S84" s="157"/>
    </row>
    <row r="85" spans="1:23" ht="14.4">
      <c r="A85" s="224" t="str">
        <f>Current!I8</f>
        <v>Deep Space Robotic</v>
      </c>
      <c r="B85" s="362">
        <f>Current!J8</f>
        <v>0</v>
      </c>
      <c r="C85" s="363">
        <f t="shared" si="0"/>
        <v>0</v>
      </c>
      <c r="D85" s="367" t="str">
        <f>IFERROR(IF(B24="Yes",INDEX(Current!L8:L15,MATCH($A85,Current!I8:I15,0))*$U$15,"-"),"-")</f>
        <v>-</v>
      </c>
      <c r="E85" s="398" t="str">
        <f t="shared" si="1"/>
        <v>-</v>
      </c>
      <c r="F85"/>
      <c r="G85"/>
      <c r="I85"/>
      <c r="J85"/>
      <c r="L85"/>
      <c r="M85" s="1"/>
      <c r="N85" s="1"/>
      <c r="O85" s="1"/>
      <c r="S85" s="157"/>
    </row>
    <row r="86" spans="1:23" ht="14.4">
      <c r="A86" s="224" t="str">
        <f>Current!I9</f>
        <v>Near Earth Robotic - Low Latency &amp; Complex Needs</v>
      </c>
      <c r="B86" s="362">
        <f>Current!J9</f>
        <v>1</v>
      </c>
      <c r="C86" s="363">
        <f t="shared" si="0"/>
        <v>0.02</v>
      </c>
      <c r="D86" s="367">
        <f>IFERROR(IF(B25="Yes",INDEX(Current!L9:L16,MATCH($A86,Current!I9:I16,0))*$U$15,"-"),"-")</f>
        <v>11281.125000000005</v>
      </c>
      <c r="E86" s="398">
        <f t="shared" si="1"/>
        <v>214341.37500000012</v>
      </c>
      <c r="F86"/>
      <c r="G86"/>
      <c r="I86"/>
      <c r="J86"/>
      <c r="L86"/>
      <c r="M86" s="1"/>
      <c r="N86" s="1"/>
      <c r="O86" s="1"/>
      <c r="S86" s="157"/>
    </row>
    <row r="87" spans="1:23" ht="14.4">
      <c r="A87" s="224" t="str">
        <f>Current!I10</f>
        <v>Mission Operations</v>
      </c>
      <c r="B87" s="362">
        <f>Current!J10</f>
        <v>0</v>
      </c>
      <c r="C87" s="363">
        <f t="shared" si="0"/>
        <v>0</v>
      </c>
      <c r="D87" s="367" t="str">
        <f>IFERROR(IF(B26="Yes",INDEX(Current!L10:L17,MATCH($A87,Current!I10:I17,0))*$U$15,"-"),"-")</f>
        <v>-</v>
      </c>
      <c r="E87" s="398" t="str">
        <f t="shared" si="1"/>
        <v>-</v>
      </c>
      <c r="F87"/>
      <c r="G87"/>
      <c r="I87"/>
      <c r="J87"/>
      <c r="L87"/>
      <c r="M87" s="1"/>
      <c r="N87" s="1"/>
      <c r="O87" s="1"/>
      <c r="S87" s="157"/>
    </row>
    <row r="88" spans="1:23" ht="14.4">
      <c r="A88" s="224" t="str">
        <f>Current!I12</f>
        <v>Terrestrial &amp; Aerial</v>
      </c>
      <c r="B88" s="362">
        <f>Current!J12</f>
        <v>0</v>
      </c>
      <c r="C88" s="363">
        <f t="shared" si="0"/>
        <v>0</v>
      </c>
      <c r="D88" s="367" t="str">
        <f>IFERROR(IF(B27="Yes",INDEX(Current!L11:L18,MATCH($A88,Current!I11:I18,0))*$U$15,"-"),"-")</f>
        <v>-</v>
      </c>
      <c r="E88" s="398" t="str">
        <f t="shared" si="1"/>
        <v>-</v>
      </c>
      <c r="F88"/>
      <c r="G88"/>
      <c r="I88"/>
      <c r="J88"/>
      <c r="L88"/>
      <c r="M88" s="1"/>
      <c r="N88" s="1"/>
      <c r="O88" s="1"/>
    </row>
    <row r="89" spans="1:23" ht="14.4" customHeight="1" thickBot="1">
      <c r="A89" s="226" t="s">
        <v>223</v>
      </c>
      <c r="B89" s="364">
        <f>SUM(B82:B87,B88)</f>
        <v>50</v>
      </c>
      <c r="C89" s="365">
        <f t="shared" ref="C89" si="2">SUM(C82:C88)</f>
        <v>1</v>
      </c>
      <c r="D89" s="366">
        <f>SUM(D82:D88)</f>
        <v>94341.243582887691</v>
      </c>
      <c r="E89" s="399">
        <f>SUM(E82:E88)</f>
        <v>1792483.6280748663</v>
      </c>
      <c r="F89"/>
      <c r="G89"/>
      <c r="I89"/>
      <c r="J89"/>
      <c r="L89"/>
      <c r="M89" s="1"/>
      <c r="N89" s="1"/>
      <c r="O89" s="1"/>
    </row>
    <row r="91" spans="1:23" ht="14.4" customHeight="1" thickBot="1">
      <c r="A91" s="49" t="s">
        <v>229</v>
      </c>
    </row>
    <row r="92" spans="1:23" ht="14.4" customHeight="1">
      <c r="A92" s="439" t="str">
        <f>Current!V4</f>
        <v>Use Case</v>
      </c>
      <c r="B92" s="450" t="str">
        <f>Current!W4</f>
        <v>Count</v>
      </c>
      <c r="C92" s="441" t="str">
        <f>Current!X4</f>
        <v>Share</v>
      </c>
      <c r="D92" s="443" t="s">
        <v>225</v>
      </c>
      <c r="E92" s="445" t="s">
        <v>227</v>
      </c>
      <c r="F92"/>
      <c r="G92"/>
      <c r="I92"/>
      <c r="J92"/>
      <c r="L92"/>
      <c r="M92" s="1"/>
      <c r="N92" s="1"/>
      <c r="O92" s="1"/>
    </row>
    <row r="93" spans="1:23" ht="14.4">
      <c r="A93" s="440"/>
      <c r="B93" s="451"/>
      <c r="C93" s="442"/>
      <c r="D93" s="444"/>
      <c r="E93" s="446"/>
      <c r="F93"/>
      <c r="G93"/>
      <c r="I93"/>
      <c r="J93"/>
      <c r="L93"/>
      <c r="M93" s="1"/>
      <c r="N93" s="1"/>
      <c r="O93" s="1"/>
    </row>
    <row r="94" spans="1:23" ht="14.4">
      <c r="A94" s="39" t="str">
        <f>Current!V5</f>
        <v>Human Space Flight</v>
      </c>
      <c r="B94" s="362">
        <f>Current!W5</f>
        <v>14</v>
      </c>
      <c r="C94" s="363">
        <f t="shared" ref="C94:C100" si="3">B94/$B$101</f>
        <v>0.2153846153846154</v>
      </c>
      <c r="D94" s="367">
        <f>IFERROR(IF(B21="Yes",INDEX(Current!Y5:Y12,MATCH($A94,Current!V5:V12,0))*$U$15,"-"),"-")</f>
        <v>89021.78571428571</v>
      </c>
      <c r="E94" s="398">
        <f t="shared" ref="E94:E100" si="4">IFERROR(D94*$B$48,"-")</f>
        <v>8100982.5</v>
      </c>
      <c r="F94"/>
      <c r="G94"/>
      <c r="I94"/>
      <c r="J94"/>
      <c r="L94"/>
      <c r="M94" s="1"/>
      <c r="N94" s="1"/>
      <c r="O94" s="1"/>
    </row>
    <row r="95" spans="1:23" ht="14.4">
      <c r="A95" s="39" t="str">
        <f>Current!V6</f>
        <v>Near Earth Robotic - LEO Science</v>
      </c>
      <c r="B95" s="362">
        <f>Current!W6</f>
        <v>29</v>
      </c>
      <c r="C95" s="363">
        <f t="shared" si="3"/>
        <v>0.44615384615384618</v>
      </c>
      <c r="D95" s="367">
        <f>IFERROR(IF(B22="Yes",INDEX(Current!Y6:Y13,MATCH($A95,Current!V6:V13,0))*$U$15,"-"),"-")</f>
        <v>75865</v>
      </c>
      <c r="E95" s="398">
        <f t="shared" si="4"/>
        <v>6903715</v>
      </c>
      <c r="F95"/>
      <c r="G95"/>
      <c r="I95"/>
      <c r="J95"/>
      <c r="L95"/>
      <c r="M95" s="1"/>
      <c r="N95" s="1"/>
      <c r="O95" s="1"/>
    </row>
    <row r="96" spans="1:23" ht="14.4">
      <c r="A96" s="39" t="str">
        <f>Current!V7</f>
        <v>Near Earth Robotic - GEO and Near Earth</v>
      </c>
      <c r="B96" s="362">
        <f>Current!W7</f>
        <v>4</v>
      </c>
      <c r="C96" s="363">
        <f t="shared" si="3"/>
        <v>6.1538461538461542E-2</v>
      </c>
      <c r="D96" s="367">
        <f>IFERROR(IF(B23="Yes",INDEX(Current!Y7:Y14,MATCH($A96,Current!V7:V14,0))*$U$15,"-"),"-")</f>
        <v>54.625</v>
      </c>
      <c r="E96" s="398">
        <f t="shared" si="4"/>
        <v>4970.875</v>
      </c>
      <c r="F96"/>
      <c r="G96"/>
      <c r="I96"/>
      <c r="J96"/>
      <c r="L96"/>
      <c r="M96" s="1"/>
      <c r="N96" s="1"/>
      <c r="O96" s="1"/>
    </row>
    <row r="97" spans="1:19" ht="14.4">
      <c r="A97" s="39" t="str">
        <f>Current!V8</f>
        <v>Deep Space Robotic</v>
      </c>
      <c r="B97" s="362">
        <f>Current!W8</f>
        <v>1</v>
      </c>
      <c r="C97" s="363">
        <f t="shared" si="3"/>
        <v>1.5384615384615385E-2</v>
      </c>
      <c r="D97" s="367">
        <f>IFERROR(IF(B24="Yes",INDEX(Current!Y8:Y15,MATCH($A97,Current!V8:V15,0))*$U$15,"-"),"-")</f>
        <v>286</v>
      </c>
      <c r="E97" s="398">
        <f t="shared" si="4"/>
        <v>26026</v>
      </c>
      <c r="F97"/>
      <c r="G97"/>
      <c r="I97"/>
      <c r="J97"/>
      <c r="L97"/>
      <c r="M97" s="1"/>
      <c r="N97" s="1"/>
      <c r="O97" s="1"/>
    </row>
    <row r="98" spans="1:19" ht="14.4">
      <c r="A98" s="39" t="str">
        <f>Current!V9</f>
        <v>Near Earth Robotic - Low Latency &amp; Complex Needs</v>
      </c>
      <c r="B98" s="362">
        <f>Current!W9</f>
        <v>2</v>
      </c>
      <c r="C98" s="363">
        <f t="shared" si="3"/>
        <v>3.0769230769230771E-2</v>
      </c>
      <c r="D98" s="367">
        <f>IFERROR(IF(B25="Yes",INDEX(Current!Y9:Y16,MATCH($A98,Current!V9:V16,0))*$U$15,"-"),"-")</f>
        <v>2047</v>
      </c>
      <c r="E98" s="398">
        <f t="shared" si="4"/>
        <v>186277</v>
      </c>
      <c r="F98"/>
      <c r="G98"/>
      <c r="I98"/>
      <c r="J98"/>
      <c r="L98"/>
      <c r="M98" s="1"/>
      <c r="N98" s="1"/>
      <c r="O98" s="1"/>
    </row>
    <row r="99" spans="1:19" ht="14.4">
      <c r="A99" s="39" t="str">
        <f>Current!V10</f>
        <v>Mission Operations</v>
      </c>
      <c r="B99" s="362">
        <f>Current!W10</f>
        <v>0</v>
      </c>
      <c r="C99" s="363">
        <f t="shared" si="3"/>
        <v>0</v>
      </c>
      <c r="D99" s="367" t="str">
        <f>IFERROR(IF(B26="Yes",INDEX(Current!Y10:Y17,MATCH($A99,Current!V10:V17,0))*$U$15,"-"),"-")</f>
        <v>-</v>
      </c>
      <c r="E99" s="398" t="str">
        <f t="shared" si="4"/>
        <v>-</v>
      </c>
      <c r="F99"/>
      <c r="G99"/>
      <c r="I99"/>
      <c r="J99"/>
      <c r="L99"/>
      <c r="M99" s="1"/>
      <c r="N99" s="1"/>
      <c r="O99" s="1"/>
    </row>
    <row r="100" spans="1:19" ht="14.4">
      <c r="A100" s="39" t="str">
        <f>Current!V12</f>
        <v>Terrestrial &amp; Aerial</v>
      </c>
      <c r="B100" s="362">
        <f>Current!W12</f>
        <v>15</v>
      </c>
      <c r="C100" s="363">
        <f t="shared" si="3"/>
        <v>0.23076923076923078</v>
      </c>
      <c r="D100" s="367">
        <f>IFERROR(IF(B27="Yes",INDEX(Current!Y11:Y18,MATCH($A100,Current!V11:V18,0))*$U$15,"-"),"-")</f>
        <v>8671.7666666666664</v>
      </c>
      <c r="E100" s="398">
        <f t="shared" si="4"/>
        <v>789130.7666666666</v>
      </c>
      <c r="F100"/>
      <c r="G100"/>
      <c r="I100"/>
      <c r="J100"/>
      <c r="L100"/>
      <c r="M100" s="1"/>
      <c r="N100" s="1"/>
      <c r="O100" s="1"/>
    </row>
    <row r="101" spans="1:19" ht="15.6" thickBot="1">
      <c r="A101" s="38" t="s">
        <v>223</v>
      </c>
      <c r="B101" s="364">
        <f>SUM(B94:B99,B100)</f>
        <v>65</v>
      </c>
      <c r="C101" s="365">
        <f t="shared" ref="C101" si="5">SUM(C94:C100)</f>
        <v>1</v>
      </c>
      <c r="D101" s="366">
        <f>SUM(D94:D100)</f>
        <v>175946.17738095237</v>
      </c>
      <c r="E101" s="399">
        <f>SUM(E94:E100)</f>
        <v>16011102.141666666</v>
      </c>
      <c r="F101"/>
      <c r="G101"/>
      <c r="I101"/>
      <c r="J101"/>
      <c r="L101"/>
      <c r="M101" s="1"/>
      <c r="N101" s="1"/>
      <c r="O101" s="1"/>
    </row>
    <row r="102" spans="1:19">
      <c r="J102" s="155"/>
    </row>
    <row r="103" spans="1:19" ht="16.2" thickBot="1">
      <c r="A103" s="49" t="s">
        <v>230</v>
      </c>
    </row>
    <row r="104" spans="1:19" ht="14.4">
      <c r="A104" s="429" t="s">
        <v>59</v>
      </c>
      <c r="B104" s="450" t="s">
        <v>60</v>
      </c>
      <c r="C104" s="441" t="s">
        <v>62</v>
      </c>
      <c r="D104" s="443" t="s">
        <v>225</v>
      </c>
      <c r="E104" s="443" t="s">
        <v>227</v>
      </c>
      <c r="F104"/>
      <c r="G104"/>
      <c r="I104"/>
      <c r="J104"/>
      <c r="L104"/>
      <c r="M104" s="1"/>
      <c r="N104" s="1"/>
      <c r="O104" s="1"/>
    </row>
    <row r="105" spans="1:19" ht="15" customHeight="1">
      <c r="A105" s="430"/>
      <c r="B105" s="451"/>
      <c r="C105" s="442"/>
      <c r="D105" s="444"/>
      <c r="E105" s="444"/>
      <c r="F105"/>
      <c r="G105"/>
      <c r="I105"/>
      <c r="J105"/>
      <c r="L105"/>
      <c r="M105" s="1"/>
      <c r="N105" s="1"/>
      <c r="O105" s="1"/>
    </row>
    <row r="106" spans="1:19" ht="14.4">
      <c r="A106" s="39" t="s">
        <v>220</v>
      </c>
      <c r="B106" s="362">
        <f>Current!J11</f>
        <v>0</v>
      </c>
      <c r="C106" s="363">
        <f>B106/$B$108</f>
        <v>0</v>
      </c>
      <c r="D106" s="367" t="str">
        <f>IFERROR(Current!Y10*U14,"-")</f>
        <v>-</v>
      </c>
      <c r="E106" s="400" t="str">
        <f>IFERROR(D106*$B$48,"-")</f>
        <v>-</v>
      </c>
      <c r="F106"/>
      <c r="G106"/>
      <c r="I106"/>
      <c r="J106"/>
      <c r="L106"/>
      <c r="M106" s="1"/>
      <c r="N106" s="1"/>
      <c r="O106" s="1"/>
    </row>
    <row r="107" spans="1:19" ht="14.4">
      <c r="A107" s="39" t="s">
        <v>221</v>
      </c>
      <c r="B107" s="360">
        <f>Current!W11</f>
        <v>2</v>
      </c>
      <c r="C107" s="363">
        <f>B107/$B$108</f>
        <v>1</v>
      </c>
      <c r="D107" s="367">
        <f>IFERROR(Current!Y11*U15,"-")</f>
        <v>836</v>
      </c>
      <c r="E107" s="400">
        <f>IFERROR(D107*$B$48,"-")</f>
        <v>76076</v>
      </c>
      <c r="F107"/>
      <c r="G107"/>
      <c r="I107"/>
      <c r="J107"/>
      <c r="L107"/>
      <c r="M107" s="1"/>
      <c r="N107" s="1"/>
      <c r="O107" s="1"/>
    </row>
    <row r="108" spans="1:19" ht="14.4" customHeight="1" thickBot="1">
      <c r="A108" s="38" t="s">
        <v>61</v>
      </c>
      <c r="B108" s="364">
        <f>SUM(B106:B107)</f>
        <v>2</v>
      </c>
      <c r="C108" s="366">
        <f>SUM(C106:C107)</f>
        <v>1</v>
      </c>
      <c r="D108" s="368">
        <f>SUM(D106:D107)</f>
        <v>836</v>
      </c>
      <c r="E108" s="401">
        <f>SUM(E106:E107)</f>
        <v>76076</v>
      </c>
      <c r="F108"/>
      <c r="G108"/>
      <c r="I108"/>
      <c r="J108"/>
      <c r="L108"/>
      <c r="M108" s="1"/>
      <c r="N108" s="1"/>
      <c r="O108" s="1"/>
    </row>
    <row r="109" spans="1:19" ht="14.4" customHeight="1">
      <c r="A109"/>
      <c r="B109" s="158"/>
      <c r="C109" s="157"/>
      <c r="D109" s="159"/>
      <c r="E109" s="159"/>
      <c r="F109" s="37"/>
      <c r="G109" s="37"/>
      <c r="I109" s="37"/>
      <c r="J109" s="37"/>
      <c r="L109" s="37"/>
      <c r="M109" s="1"/>
      <c r="N109" s="1"/>
      <c r="O109" s="1"/>
    </row>
    <row r="110" spans="1:19">
      <c r="A110" s="45"/>
      <c r="B110" s="158"/>
      <c r="C110" s="157"/>
      <c r="D110" s="159"/>
      <c r="E110" s="159"/>
      <c r="F110" s="159"/>
    </row>
    <row r="111" spans="1:19" s="61" customFormat="1">
      <c r="A111" s="345"/>
      <c r="B111" s="346"/>
      <c r="C111" s="347"/>
      <c r="D111" s="348"/>
      <c r="E111" s="348"/>
      <c r="F111" s="348"/>
      <c r="S111" s="160"/>
    </row>
    <row r="112" spans="1:19" s="32" customFormat="1"/>
    <row r="113" spans="1:15" ht="14.4" thickBot="1">
      <c r="A113" s="60" t="s">
        <v>231</v>
      </c>
    </row>
    <row r="114" spans="1:15" ht="14.4" customHeight="1">
      <c r="A114" s="439" t="str">
        <f>Current!I4</f>
        <v>Use Case</v>
      </c>
      <c r="B114" s="459" t="str">
        <f>Current!J4</f>
        <v>Count</v>
      </c>
      <c r="C114" s="459" t="str">
        <f>Current!K4</f>
        <v>Share</v>
      </c>
      <c r="D114" s="443" t="s">
        <v>225</v>
      </c>
      <c r="E114" s="445" t="s">
        <v>227</v>
      </c>
      <c r="F114"/>
      <c r="G114"/>
      <c r="I114"/>
      <c r="J114"/>
      <c r="L114"/>
      <c r="M114" s="1"/>
      <c r="N114" s="1"/>
      <c r="O114" s="1"/>
    </row>
    <row r="115" spans="1:15" ht="14.4">
      <c r="A115" s="440"/>
      <c r="B115" s="460"/>
      <c r="C115" s="460"/>
      <c r="D115" s="444"/>
      <c r="E115" s="446"/>
      <c r="F115"/>
      <c r="G115"/>
      <c r="I115"/>
      <c r="J115"/>
      <c r="L115"/>
      <c r="M115" s="1"/>
      <c r="N115" s="1"/>
      <c r="O115" s="1"/>
    </row>
    <row r="116" spans="1:15" ht="14.4">
      <c r="A116" s="39" t="str">
        <f>Current!I5</f>
        <v>Human Space Flight</v>
      </c>
      <c r="B116" s="360">
        <f>Current!J5</f>
        <v>4</v>
      </c>
      <c r="C116" s="363">
        <f t="shared" ref="C116:C122" si="6">B116/$B$123</f>
        <v>0.08</v>
      </c>
      <c r="D116" s="367">
        <f>IFERROR(IF(B21="Yes",INDEX(Current!L5:L12,MATCH($A82,Current!I5:I12,0))*$U$16,"-"),"-")</f>
        <v>57930.104166666664</v>
      </c>
      <c r="E116" s="398">
        <f t="shared" ref="E116:E122" si="7">IFERROR(D116*$B$47,"-")</f>
        <v>1100671.9791666665</v>
      </c>
      <c r="F116"/>
      <c r="G116"/>
      <c r="I116"/>
      <c r="J116"/>
      <c r="L116"/>
      <c r="M116" s="1"/>
      <c r="N116" s="1"/>
      <c r="O116" s="1"/>
    </row>
    <row r="117" spans="1:15" ht="14.4">
      <c r="A117" s="39" t="str">
        <f>Current!I6</f>
        <v>Near Earth Robotic - LEO Science</v>
      </c>
      <c r="B117" s="360">
        <f>Current!J6</f>
        <v>34</v>
      </c>
      <c r="C117" s="363">
        <f t="shared" si="6"/>
        <v>0.68</v>
      </c>
      <c r="D117" s="367">
        <f>IFERROR(IF(B22="Yes",INDEX(Current!L6:L13,MATCH($A83,Current!I6:I13,0))*$U$16,"-"),"-")</f>
        <v>9697.3409313725497</v>
      </c>
      <c r="E117" s="398">
        <f t="shared" si="7"/>
        <v>184249.47769607845</v>
      </c>
      <c r="F117"/>
      <c r="G117"/>
      <c r="I117"/>
      <c r="J117"/>
      <c r="L117"/>
      <c r="M117" s="1"/>
      <c r="N117" s="1"/>
      <c r="O117" s="1"/>
    </row>
    <row r="118" spans="1:15" ht="14.4">
      <c r="A118" s="39" t="str">
        <f>Current!I7</f>
        <v>Near Earth Robotic - GEO and Near Earth</v>
      </c>
      <c r="B118" s="360">
        <f>Current!J7</f>
        <v>11</v>
      </c>
      <c r="C118" s="363">
        <f t="shared" si="6"/>
        <v>0.22</v>
      </c>
      <c r="D118" s="367">
        <f>IFERROR(IF(B23="Yes",INDEX(Current!L7:L14,MATCH($A84,Current!I7:I14,0))*$U$16,"-"),"-")</f>
        <v>15432.673484848485</v>
      </c>
      <c r="E118" s="398">
        <f t="shared" si="7"/>
        <v>293220.7962121212</v>
      </c>
      <c r="F118"/>
      <c r="G118"/>
      <c r="I118"/>
      <c r="J118"/>
      <c r="L118"/>
      <c r="M118" s="1"/>
      <c r="N118" s="1"/>
      <c r="O118" s="1"/>
    </row>
    <row r="119" spans="1:15" ht="14.4" customHeight="1">
      <c r="A119" s="39" t="str">
        <f>Current!I8</f>
        <v>Deep Space Robotic</v>
      </c>
      <c r="B119" s="360">
        <f>Current!J8</f>
        <v>0</v>
      </c>
      <c r="C119" s="363">
        <f t="shared" si="6"/>
        <v>0</v>
      </c>
      <c r="D119" s="367" t="str">
        <f>IFERROR(IF(B24="Yes",INDEX(Current!L8:L15,MATCH($A85,Current!I8:I15,0))*$U$16,"-"),"-")</f>
        <v>-</v>
      </c>
      <c r="E119" s="398" t="str">
        <f t="shared" si="7"/>
        <v>-</v>
      </c>
      <c r="F119"/>
      <c r="G119"/>
      <c r="I119"/>
      <c r="J119"/>
      <c r="L119"/>
      <c r="M119" s="1"/>
      <c r="N119" s="1"/>
      <c r="O119" s="1"/>
    </row>
    <row r="120" spans="1:15" ht="14.4">
      <c r="A120" s="39" t="str">
        <f>Current!I9</f>
        <v>Near Earth Robotic - Low Latency &amp; Complex Needs</v>
      </c>
      <c r="B120" s="360">
        <f>Current!J9</f>
        <v>1</v>
      </c>
      <c r="C120" s="363">
        <f t="shared" si="6"/>
        <v>0.02</v>
      </c>
      <c r="D120" s="367">
        <f>IFERROR(IF(B25="Yes",INDEX(Current!L9:L16,MATCH($A86,Current!I9:I16,0))*$U$16,"-"),"-")</f>
        <v>11281.125000000005</v>
      </c>
      <c r="E120" s="398">
        <f t="shared" si="7"/>
        <v>214341.37500000012</v>
      </c>
      <c r="F120"/>
      <c r="G120"/>
      <c r="I120"/>
      <c r="J120"/>
      <c r="L120"/>
      <c r="M120" s="1"/>
      <c r="N120" s="1"/>
      <c r="O120" s="1"/>
    </row>
    <row r="121" spans="1:15" ht="14.4">
      <c r="A121" s="39" t="str">
        <f>Current!I10</f>
        <v>Mission Operations</v>
      </c>
      <c r="B121" s="360">
        <f>Current!J10</f>
        <v>0</v>
      </c>
      <c r="C121" s="363">
        <f t="shared" si="6"/>
        <v>0</v>
      </c>
      <c r="D121" s="367" t="str">
        <f>IFERROR(IF(B26="Yes",INDEX(Current!L10:L17,MATCH($A87,Current!I10:I17,0))*$U$16,"-"),"-")</f>
        <v>-</v>
      </c>
      <c r="E121" s="398" t="str">
        <f t="shared" si="7"/>
        <v>-</v>
      </c>
      <c r="F121"/>
      <c r="G121"/>
      <c r="I121"/>
      <c r="J121"/>
      <c r="L121"/>
      <c r="M121" s="1"/>
      <c r="N121" s="1"/>
      <c r="O121" s="1"/>
    </row>
    <row r="122" spans="1:15" ht="14.4">
      <c r="A122" s="39" t="str">
        <f>Current!I12</f>
        <v>Terrestrial &amp; Aerial</v>
      </c>
      <c r="B122" s="360">
        <f>Current!J12</f>
        <v>0</v>
      </c>
      <c r="C122" s="363">
        <f t="shared" si="6"/>
        <v>0</v>
      </c>
      <c r="D122" s="367" t="str">
        <f>IFERROR(IF(B27="Yes",INDEX(Current!L11:L18,MATCH($A88,Current!I11:I18,0))*$U$16,"-"),"-")</f>
        <v>-</v>
      </c>
      <c r="E122" s="398" t="str">
        <f t="shared" si="7"/>
        <v>-</v>
      </c>
      <c r="F122"/>
      <c r="G122"/>
      <c r="I122"/>
      <c r="J122"/>
      <c r="L122"/>
      <c r="M122" s="1"/>
      <c r="N122" s="1"/>
      <c r="O122" s="1"/>
    </row>
    <row r="123" spans="1:15" ht="15.6" thickBot="1">
      <c r="A123" s="226" t="s">
        <v>219</v>
      </c>
      <c r="B123" s="364">
        <f>SUM(B116:B121,B122)</f>
        <v>50</v>
      </c>
      <c r="C123" s="365">
        <f t="shared" ref="C123" si="8">SUM(C116:C122)</f>
        <v>1</v>
      </c>
      <c r="D123" s="366">
        <f>SUM(D116:D122)</f>
        <v>94341.243582887691</v>
      </c>
      <c r="E123" s="399">
        <f>SUM(E116:E122)</f>
        <v>1792483.6280748663</v>
      </c>
      <c r="F123"/>
      <c r="G123"/>
      <c r="I123"/>
      <c r="J123"/>
      <c r="L123"/>
      <c r="M123" s="1"/>
      <c r="N123" s="1"/>
      <c r="O123" s="1"/>
    </row>
    <row r="125" spans="1:15" ht="14.4" thickBot="1">
      <c r="A125" s="60" t="s">
        <v>232</v>
      </c>
    </row>
    <row r="126" spans="1:15" ht="14.4">
      <c r="A126" s="457" t="str">
        <f>Current!I4</f>
        <v>Use Case</v>
      </c>
      <c r="B126" s="455" t="str">
        <f>Current!J4</f>
        <v>Count</v>
      </c>
      <c r="C126" s="455" t="str">
        <f>Current!K4</f>
        <v>Share</v>
      </c>
      <c r="D126" s="443" t="s">
        <v>225</v>
      </c>
      <c r="E126" s="445" t="s">
        <v>227</v>
      </c>
      <c r="F126"/>
      <c r="G126"/>
      <c r="I126"/>
      <c r="J126"/>
      <c r="L126"/>
      <c r="M126" s="1"/>
      <c r="N126" s="1"/>
      <c r="O126" s="1"/>
    </row>
    <row r="127" spans="1:15" ht="14.4">
      <c r="A127" s="458"/>
      <c r="B127" s="456"/>
      <c r="C127" s="456"/>
      <c r="D127" s="444"/>
      <c r="E127" s="446"/>
      <c r="F127"/>
      <c r="G127"/>
      <c r="I127"/>
      <c r="J127"/>
      <c r="L127"/>
      <c r="M127" s="1"/>
      <c r="N127" s="1"/>
      <c r="O127" s="1"/>
    </row>
    <row r="128" spans="1:15" ht="14.4">
      <c r="A128" s="39" t="str">
        <f>Current!I5</f>
        <v>Human Space Flight</v>
      </c>
      <c r="B128" s="362">
        <f>Current!W5</f>
        <v>14</v>
      </c>
      <c r="C128" s="363">
        <f t="shared" ref="C128:C134" si="9">B128/$B$101</f>
        <v>0.2153846153846154</v>
      </c>
      <c r="D128" s="367">
        <f>IFERROR(IF(B21="Yes",INDEX(Current!Y5:Y12,MATCH($A94,Current!V5:V12,0))*$U$16,"-"),"-")</f>
        <v>89021.78571428571</v>
      </c>
      <c r="E128" s="398">
        <f t="shared" ref="E128:E134" si="10">IFERROR(D128*$B$48,"-")</f>
        <v>8100982.5</v>
      </c>
      <c r="F128"/>
      <c r="G128"/>
      <c r="I128"/>
      <c r="J128"/>
      <c r="L128"/>
      <c r="M128" s="1"/>
      <c r="N128" s="1"/>
      <c r="O128" s="1"/>
    </row>
    <row r="129" spans="1:15" ht="14.4">
      <c r="A129" s="39" t="str">
        <f>Current!I6</f>
        <v>Near Earth Robotic - LEO Science</v>
      </c>
      <c r="B129" s="362">
        <f>Current!W6</f>
        <v>29</v>
      </c>
      <c r="C129" s="363">
        <f t="shared" si="9"/>
        <v>0.44615384615384618</v>
      </c>
      <c r="D129" s="367">
        <f>IFERROR(IF(B22="Yes",INDEX(Current!Y6:Y13,MATCH($A95,Current!V6:V13,0))*$U$16,"-"),"-")</f>
        <v>75865</v>
      </c>
      <c r="E129" s="398">
        <f t="shared" si="10"/>
        <v>6903715</v>
      </c>
      <c r="F129"/>
      <c r="G129"/>
      <c r="I129"/>
      <c r="J129"/>
      <c r="L129"/>
      <c r="M129" s="1"/>
      <c r="N129" s="1"/>
      <c r="O129" s="1"/>
    </row>
    <row r="130" spans="1:15" ht="14.4">
      <c r="A130" s="39" t="str">
        <f>Current!I7</f>
        <v>Near Earth Robotic - GEO and Near Earth</v>
      </c>
      <c r="B130" s="362">
        <f>Current!W7</f>
        <v>4</v>
      </c>
      <c r="C130" s="363">
        <f t="shared" si="9"/>
        <v>6.1538461538461542E-2</v>
      </c>
      <c r="D130" s="367">
        <f>IFERROR(IF(B23="Yes",INDEX(Current!Y7:Y14,MATCH($A96,Current!V7:V14,0))*$U$16,"-"),"-")</f>
        <v>54.625</v>
      </c>
      <c r="E130" s="398">
        <f t="shared" si="10"/>
        <v>4970.875</v>
      </c>
      <c r="F130"/>
      <c r="G130"/>
      <c r="I130"/>
      <c r="J130"/>
      <c r="L130"/>
      <c r="M130" s="1"/>
      <c r="N130" s="1"/>
      <c r="O130" s="1"/>
    </row>
    <row r="131" spans="1:15" ht="14.4">
      <c r="A131" s="39" t="str">
        <f>Current!I8</f>
        <v>Deep Space Robotic</v>
      </c>
      <c r="B131" s="362">
        <f>Current!W8</f>
        <v>1</v>
      </c>
      <c r="C131" s="363">
        <f t="shared" si="9"/>
        <v>1.5384615384615385E-2</v>
      </c>
      <c r="D131" s="367">
        <f>IFERROR(IF(B24="Yes",INDEX(Current!Y8:Y15,MATCH($A97,Current!V8:V15,0))*$U$16,"-"),"-")</f>
        <v>286</v>
      </c>
      <c r="E131" s="398">
        <f t="shared" si="10"/>
        <v>26026</v>
      </c>
      <c r="F131"/>
      <c r="G131"/>
      <c r="I131"/>
      <c r="J131"/>
      <c r="L131"/>
      <c r="M131" s="1"/>
      <c r="N131" s="1"/>
      <c r="O131" s="1"/>
    </row>
    <row r="132" spans="1:15" ht="14.4">
      <c r="A132" s="39" t="str">
        <f>Current!I9</f>
        <v>Near Earth Robotic - Low Latency &amp; Complex Needs</v>
      </c>
      <c r="B132" s="362">
        <f>Current!W9</f>
        <v>2</v>
      </c>
      <c r="C132" s="363">
        <f t="shared" si="9"/>
        <v>3.0769230769230771E-2</v>
      </c>
      <c r="D132" s="367">
        <f>IFERROR(IF(B25="Yes",INDEX(Current!Y9:Y16,MATCH($A98,Current!V9:V16,0))*$U$16,"-"),"-")</f>
        <v>2047</v>
      </c>
      <c r="E132" s="398">
        <f t="shared" si="10"/>
        <v>186277</v>
      </c>
      <c r="F132"/>
      <c r="G132"/>
      <c r="I132"/>
      <c r="J132"/>
      <c r="L132"/>
      <c r="M132" s="1"/>
      <c r="N132" s="1"/>
      <c r="O132" s="1"/>
    </row>
    <row r="133" spans="1:15" ht="14.4">
      <c r="A133" s="39" t="str">
        <f>Current!I10</f>
        <v>Mission Operations</v>
      </c>
      <c r="B133" s="362">
        <f>Current!W10</f>
        <v>0</v>
      </c>
      <c r="C133" s="363">
        <f t="shared" si="9"/>
        <v>0</v>
      </c>
      <c r="D133" s="367" t="str">
        <f>IFERROR(IF(B26="Yes",INDEX(Current!Y10:Y17,MATCH($A99,Current!V10:V17,0))*$U$16,"-"),"-")</f>
        <v>-</v>
      </c>
      <c r="E133" s="398" t="str">
        <f t="shared" si="10"/>
        <v>-</v>
      </c>
      <c r="F133"/>
      <c r="G133"/>
      <c r="I133"/>
      <c r="J133"/>
      <c r="L133"/>
      <c r="M133" s="1"/>
      <c r="N133" s="1"/>
      <c r="O133" s="1"/>
    </row>
    <row r="134" spans="1:15" ht="14.4">
      <c r="A134" s="39" t="str">
        <f>Current!I12</f>
        <v>Terrestrial &amp; Aerial</v>
      </c>
      <c r="B134" s="362">
        <f>Current!W12</f>
        <v>15</v>
      </c>
      <c r="C134" s="363">
        <f t="shared" si="9"/>
        <v>0.23076923076923078</v>
      </c>
      <c r="D134" s="367">
        <f>IFERROR(IF(B27="Yes",INDEX(Current!Y11:Y18,MATCH($A100,Current!V11:V18,0))*$U$16,"-"),"-")</f>
        <v>8671.7666666666664</v>
      </c>
      <c r="E134" s="398">
        <f t="shared" si="10"/>
        <v>789130.7666666666</v>
      </c>
      <c r="F134"/>
      <c r="G134"/>
      <c r="I134"/>
      <c r="J134"/>
      <c r="L134"/>
      <c r="M134" s="1"/>
      <c r="N134" s="1"/>
      <c r="O134" s="1"/>
    </row>
    <row r="135" spans="1:15" ht="15.6" thickBot="1">
      <c r="A135" s="38" t="s">
        <v>219</v>
      </c>
      <c r="B135" s="364">
        <f>SUM(B128:B133,B134)</f>
        <v>65</v>
      </c>
      <c r="C135" s="365">
        <f t="shared" ref="C135" si="11">SUM(C128:C134)</f>
        <v>1</v>
      </c>
      <c r="D135" s="366">
        <f>SUM(D128:D134)</f>
        <v>175946.17738095237</v>
      </c>
      <c r="E135" s="399">
        <f>SUM(E128:E134)</f>
        <v>16011102.141666666</v>
      </c>
      <c r="F135"/>
      <c r="G135"/>
      <c r="I135"/>
      <c r="J135"/>
      <c r="L135"/>
      <c r="M135" s="1"/>
      <c r="N135" s="1"/>
      <c r="O135" s="1"/>
    </row>
    <row r="138" spans="1:15">
      <c r="A138" s="57" t="s">
        <v>459</v>
      </c>
    </row>
    <row r="139" spans="1:15">
      <c r="A139" s="57" t="s">
        <v>496</v>
      </c>
    </row>
    <row r="140" spans="1:15" ht="14.4">
      <c r="A140"/>
      <c r="B140"/>
      <c r="C140"/>
      <c r="D140"/>
      <c r="E140"/>
      <c r="F140"/>
      <c r="G140"/>
    </row>
    <row r="141" spans="1:15" ht="14.4">
      <c r="A141"/>
      <c r="B141"/>
      <c r="C141"/>
      <c r="D141"/>
      <c r="E141"/>
      <c r="F141"/>
      <c r="G141"/>
    </row>
    <row r="142" spans="1:15" ht="14.4">
      <c r="A142"/>
      <c r="B142"/>
      <c r="C142"/>
      <c r="D142"/>
      <c r="E142"/>
      <c r="F142"/>
      <c r="G142"/>
    </row>
    <row r="143" spans="1:15" ht="14.4">
      <c r="A143"/>
      <c r="B143"/>
      <c r="C143"/>
      <c r="D143"/>
      <c r="E143"/>
      <c r="F143"/>
      <c r="G143"/>
    </row>
    <row r="144" spans="1:15" ht="14.4">
      <c r="A144"/>
      <c r="B144"/>
      <c r="C144"/>
      <c r="D144"/>
      <c r="E144"/>
      <c r="F144"/>
      <c r="G144"/>
    </row>
    <row r="145" spans="1:19" ht="14.4">
      <c r="A145"/>
      <c r="B145"/>
      <c r="C145"/>
      <c r="D145"/>
      <c r="E145"/>
      <c r="F145"/>
      <c r="G145"/>
    </row>
    <row r="146" spans="1:19" ht="14.4">
      <c r="A146"/>
      <c r="B146"/>
      <c r="C146"/>
      <c r="D146"/>
      <c r="E146"/>
      <c r="F146"/>
      <c r="G146"/>
    </row>
    <row r="151" spans="1:19" s="31" customFormat="1">
      <c r="B151" s="146"/>
      <c r="C151" s="147"/>
      <c r="G151" s="148"/>
      <c r="S151" s="133"/>
    </row>
    <row r="152" spans="1:19" ht="14.4">
      <c r="A152"/>
      <c r="B152"/>
      <c r="C152"/>
      <c r="D152"/>
      <c r="E152"/>
      <c r="F152"/>
      <c r="G152"/>
      <c r="H152"/>
      <c r="I152"/>
      <c r="J152"/>
      <c r="K152"/>
      <c r="N152"/>
      <c r="O152"/>
      <c r="P152" s="1"/>
      <c r="Q152" s="1"/>
    </row>
    <row r="153" spans="1:19" s="31" customFormat="1" ht="14.4" customHeight="1">
      <c r="A153"/>
      <c r="B153"/>
      <c r="C153"/>
      <c r="D153"/>
      <c r="E153"/>
      <c r="F153"/>
      <c r="G153"/>
      <c r="H153"/>
      <c r="I153"/>
      <c r="J153"/>
      <c r="K153"/>
      <c r="L153" s="1"/>
      <c r="M153" s="1"/>
      <c r="N153"/>
      <c r="O153"/>
      <c r="P153" s="1"/>
      <c r="Q153" s="1"/>
    </row>
    <row r="154" spans="1:19" s="31" customFormat="1" ht="14.4">
      <c r="A154"/>
      <c r="B154"/>
      <c r="C154"/>
      <c r="D154"/>
      <c r="E154"/>
      <c r="F154"/>
      <c r="G154"/>
      <c r="H154"/>
      <c r="I154"/>
      <c r="J154"/>
      <c r="K154"/>
      <c r="L154" s="1"/>
      <c r="M154" s="1"/>
      <c r="N154"/>
      <c r="O154"/>
      <c r="P154" s="1"/>
      <c r="Q154" s="1"/>
    </row>
    <row r="155" spans="1:19" ht="14.4">
      <c r="A155"/>
      <c r="B155"/>
      <c r="C155"/>
      <c r="D155"/>
      <c r="E155"/>
      <c r="F155"/>
      <c r="G155"/>
      <c r="H155"/>
      <c r="I155"/>
      <c r="J155"/>
      <c r="K155"/>
      <c r="L155" s="1"/>
      <c r="M155" s="1"/>
      <c r="N155"/>
      <c r="O155"/>
      <c r="P155" s="1"/>
      <c r="Q155" s="1"/>
      <c r="S155" s="57"/>
    </row>
    <row r="156" spans="1:19" ht="14.4">
      <c r="A156"/>
      <c r="B156"/>
      <c r="C156"/>
      <c r="D156"/>
      <c r="E156"/>
      <c r="F156"/>
      <c r="G156"/>
      <c r="H156"/>
      <c r="I156"/>
      <c r="J156"/>
      <c r="K156"/>
      <c r="L156" s="1"/>
      <c r="M156" s="1"/>
      <c r="N156" s="1"/>
      <c r="O156" s="1"/>
      <c r="P156" s="1"/>
      <c r="Q156" s="1"/>
      <c r="S156" s="57"/>
    </row>
    <row r="157" spans="1:19" ht="14.4">
      <c r="A157"/>
      <c r="B157"/>
      <c r="C157"/>
      <c r="D157"/>
      <c r="E157"/>
      <c r="F157"/>
      <c r="G157"/>
      <c r="H157"/>
      <c r="I157"/>
      <c r="J157"/>
      <c r="K157"/>
      <c r="L157" s="1"/>
      <c r="M157" s="1"/>
      <c r="N157" s="1"/>
      <c r="O157" s="1"/>
      <c r="P157" s="1"/>
      <c r="Q157" s="1"/>
      <c r="S157" s="57"/>
    </row>
    <row r="158" spans="1:19" ht="14.4">
      <c r="A158"/>
      <c r="B158"/>
      <c r="C158"/>
      <c r="D158"/>
      <c r="E158"/>
      <c r="F158"/>
      <c r="G158"/>
      <c r="H158"/>
      <c r="I158"/>
      <c r="J158"/>
      <c r="K158"/>
      <c r="L158" s="1"/>
      <c r="M158" s="1"/>
      <c r="N158" s="1"/>
      <c r="O158" s="1"/>
      <c r="P158" s="1"/>
      <c r="Q158" s="1"/>
      <c r="S158" s="57"/>
    </row>
    <row r="159" spans="1:19" ht="14.4">
      <c r="A159"/>
      <c r="B159"/>
      <c r="C159"/>
      <c r="D159"/>
      <c r="E159"/>
      <c r="F159"/>
      <c r="G159"/>
      <c r="H159"/>
      <c r="I159"/>
      <c r="J159"/>
      <c r="K159"/>
      <c r="L159" s="1"/>
      <c r="M159" s="1"/>
      <c r="N159" s="1"/>
      <c r="O159" s="1"/>
      <c r="P159" s="1"/>
      <c r="Q159" s="1"/>
      <c r="S159" s="57"/>
    </row>
    <row r="160" spans="1:19" ht="14.4">
      <c r="A160"/>
      <c r="B160"/>
      <c r="C160"/>
      <c r="D160"/>
      <c r="E160"/>
      <c r="F160"/>
      <c r="G160"/>
      <c r="H160"/>
      <c r="I160"/>
      <c r="J160"/>
      <c r="K160"/>
      <c r="L160" s="1"/>
      <c r="M160" s="1"/>
      <c r="N160" s="1"/>
      <c r="O160" s="1"/>
      <c r="P160" s="1"/>
      <c r="Q160" s="1"/>
    </row>
    <row r="161" spans="1:17" ht="14.4">
      <c r="A161"/>
      <c r="B161"/>
      <c r="C161"/>
      <c r="D161"/>
      <c r="E161"/>
      <c r="F161"/>
      <c r="G161"/>
      <c r="H161"/>
      <c r="I161"/>
      <c r="J161"/>
      <c r="K161"/>
      <c r="L161" s="1"/>
      <c r="M161" s="1"/>
      <c r="N161" s="1"/>
      <c r="O161" s="1"/>
      <c r="P161" s="1"/>
      <c r="Q161" s="1"/>
    </row>
    <row r="162" spans="1:17">
      <c r="A162" s="153"/>
      <c r="B162" s="153"/>
      <c r="C162" s="154"/>
      <c r="D162" s="154"/>
      <c r="E162" s="154"/>
      <c r="F162" s="154"/>
      <c r="G162" s="154"/>
      <c r="H162" s="154"/>
      <c r="I162" s="154"/>
      <c r="J162" s="154"/>
      <c r="K162" s="154"/>
      <c r="L162" s="1"/>
      <c r="M162" s="1"/>
      <c r="N162" s="1"/>
      <c r="O162" s="1"/>
      <c r="P162" s="1"/>
      <c r="Q162" s="1"/>
    </row>
    <row r="164" spans="1:17" ht="14.4" customHeight="1"/>
    <row r="165" spans="1:17" customFormat="1" ht="14.4"/>
    <row r="166" spans="1:17" customFormat="1" ht="14.4"/>
    <row r="167" spans="1:17" customFormat="1" ht="14.4"/>
    <row r="168" spans="1:17" customFormat="1" ht="14.4"/>
    <row r="169" spans="1:17" customFormat="1" ht="14.4"/>
    <row r="170" spans="1:17" customFormat="1" ht="14.4"/>
    <row r="171" spans="1:17" customFormat="1" ht="14.4"/>
    <row r="172" spans="1:17" customFormat="1" ht="14.4"/>
    <row r="173" spans="1:17" customFormat="1" ht="14.4"/>
    <row r="174" spans="1:17" customFormat="1" ht="14.4"/>
    <row r="175" spans="1:17" customFormat="1" ht="14.4"/>
    <row r="176" spans="1:17" customFormat="1" ht="14.4"/>
    <row r="177" customFormat="1" ht="14.4"/>
    <row r="178" customFormat="1" ht="14.4"/>
    <row r="179" customFormat="1" ht="14.4"/>
    <row r="180" customFormat="1" ht="14.4"/>
    <row r="181" customFormat="1" ht="14.4"/>
  </sheetData>
  <mergeCells count="38">
    <mergeCell ref="A32:B32"/>
    <mergeCell ref="A3:I4"/>
    <mergeCell ref="A54:B54"/>
    <mergeCell ref="B126:B127"/>
    <mergeCell ref="C126:C127"/>
    <mergeCell ref="A126:A127"/>
    <mergeCell ref="D126:D127"/>
    <mergeCell ref="E126:E127"/>
    <mergeCell ref="C114:C115"/>
    <mergeCell ref="B114:B115"/>
    <mergeCell ref="A114:A115"/>
    <mergeCell ref="D114:D115"/>
    <mergeCell ref="E114:E115"/>
    <mergeCell ref="C104:C105"/>
    <mergeCell ref="B104:B105"/>
    <mergeCell ref="A104:A105"/>
    <mergeCell ref="D104:D105"/>
    <mergeCell ref="E104:E105"/>
    <mergeCell ref="D80:D81"/>
    <mergeCell ref="E80:E81"/>
    <mergeCell ref="B92:B93"/>
    <mergeCell ref="A92:A93"/>
    <mergeCell ref="C92:C93"/>
    <mergeCell ref="D92:D93"/>
    <mergeCell ref="E92:E93"/>
    <mergeCell ref="A41:B41"/>
    <mergeCell ref="B80:B81"/>
    <mergeCell ref="C80:C81"/>
    <mergeCell ref="A80:A81"/>
    <mergeCell ref="A66:B66"/>
    <mergeCell ref="S10:Y10"/>
    <mergeCell ref="A19:A20"/>
    <mergeCell ref="B19:B20"/>
    <mergeCell ref="A18:B18"/>
    <mergeCell ref="D10:E10"/>
    <mergeCell ref="W11:Y11"/>
    <mergeCell ref="T11:V11"/>
    <mergeCell ref="A10:C10"/>
  </mergeCells>
  <conditionalFormatting sqref="B56:B60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{C8CB2326-1880-4FD7-8227-8936F2CC9225}</x14:id>
        </ext>
      </extLst>
    </cfRule>
  </conditionalFormatting>
  <conditionalFormatting sqref="B68:B72">
    <cfRule type="dataBar" priority="1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{4B3489AB-872B-41D6-92A0-739DCAEDE5EA}</x14:id>
        </ext>
      </extLst>
    </cfRule>
  </conditionalFormatting>
  <conditionalFormatting sqref="D82:D88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{7733F004-FDE1-4C2C-84D0-B19C710F37A4}</x14:id>
        </ext>
      </extLst>
    </cfRule>
  </conditionalFormatting>
  <conditionalFormatting sqref="E82:E88">
    <cfRule type="dataBar" priority="1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{DDCC9046-84B9-4A32-94A0-3963A935D249}</x14:id>
        </ext>
      </extLst>
    </cfRule>
  </conditionalFormatting>
  <conditionalFormatting sqref="E94:E100">
    <cfRule type="dataBar" priority="1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{B2658A39-6A09-467F-A8F9-7D65C5728803}</x14:id>
        </ext>
      </extLst>
    </cfRule>
  </conditionalFormatting>
  <conditionalFormatting sqref="E128:E134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{38589F1E-C6A5-4ECF-8A0A-6B373F178EE2}</x14:id>
        </ext>
      </extLst>
    </cfRule>
  </conditionalFormatting>
  <conditionalFormatting sqref="E116:E122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{FB95747E-4674-422C-99AB-B10B24F61E9E}</x14:id>
        </ext>
      </extLst>
    </cfRule>
  </conditionalFormatting>
  <conditionalFormatting sqref="E106:E107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{F306FAFB-AB83-4090-966D-1DB420965AF0}</x14:id>
        </ext>
      </extLst>
    </cfRule>
  </conditionalFormatting>
  <conditionalFormatting sqref="D94:D100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{6EF19958-A366-4F7B-B0ED-0C9D1D5E3082}</x14:id>
        </ext>
      </extLst>
    </cfRule>
  </conditionalFormatting>
  <conditionalFormatting sqref="D106:D107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{2B0383CA-7A9D-4ABF-8EF5-D84033D27D99}</x14:id>
        </ext>
      </extLst>
    </cfRule>
  </conditionalFormatting>
  <conditionalFormatting sqref="D116:D122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{0AC9BF24-3AF5-4019-8946-74B5FFE29A05}</x14:id>
        </ext>
      </extLst>
    </cfRule>
  </conditionalFormatting>
  <conditionalFormatting sqref="D128:D134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{EB076740-D9EA-41A3-A82B-10B7F5EBDE35}</x14:id>
        </ext>
      </extLst>
    </cfRule>
  </conditionalFormatting>
  <pageMargins left="0.75" right="0.75" top="1" bottom="1" header="0.5" footer="0.5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8CB2326-1880-4FD7-8227-8936F2CC922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B56:B60</xm:sqref>
        </x14:conditionalFormatting>
        <x14:conditionalFormatting xmlns:xm="http://schemas.microsoft.com/office/excel/2006/main">
          <x14:cfRule type="dataBar" id="{4B3489AB-872B-41D6-92A0-739DCAEDE5E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B68:B72</xm:sqref>
        </x14:conditionalFormatting>
        <x14:conditionalFormatting xmlns:xm="http://schemas.microsoft.com/office/excel/2006/main">
          <x14:cfRule type="dataBar" id="{7733F004-FDE1-4C2C-84D0-B19C710F37A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D82:D88</xm:sqref>
        </x14:conditionalFormatting>
        <x14:conditionalFormatting xmlns:xm="http://schemas.microsoft.com/office/excel/2006/main">
          <x14:cfRule type="dataBar" id="{DDCC9046-84B9-4A32-94A0-3963A935D24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E82:E88</xm:sqref>
        </x14:conditionalFormatting>
        <x14:conditionalFormatting xmlns:xm="http://schemas.microsoft.com/office/excel/2006/main">
          <x14:cfRule type="dataBar" id="{B2658A39-6A09-467F-A8F9-7D65C572880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E94:E100</xm:sqref>
        </x14:conditionalFormatting>
        <x14:conditionalFormatting xmlns:xm="http://schemas.microsoft.com/office/excel/2006/main">
          <x14:cfRule type="dataBar" id="{38589F1E-C6A5-4ECF-8A0A-6B373F178EE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E128:E134</xm:sqref>
        </x14:conditionalFormatting>
        <x14:conditionalFormatting xmlns:xm="http://schemas.microsoft.com/office/excel/2006/main">
          <x14:cfRule type="dataBar" id="{FB95747E-4674-422C-99AB-B10B24F61E9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E116:E122</xm:sqref>
        </x14:conditionalFormatting>
        <x14:conditionalFormatting xmlns:xm="http://schemas.microsoft.com/office/excel/2006/main">
          <x14:cfRule type="dataBar" id="{F306FAFB-AB83-4090-966D-1DB420965AF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E106:E107</xm:sqref>
        </x14:conditionalFormatting>
        <x14:conditionalFormatting xmlns:xm="http://schemas.microsoft.com/office/excel/2006/main">
          <x14:cfRule type="dataBar" id="{6EF19958-A366-4F7B-B0ED-0C9D1D5E308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D94:D100</xm:sqref>
        </x14:conditionalFormatting>
        <x14:conditionalFormatting xmlns:xm="http://schemas.microsoft.com/office/excel/2006/main">
          <x14:cfRule type="dataBar" id="{2B0383CA-7A9D-4ABF-8EF5-D84033D27D9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D106:D107</xm:sqref>
        </x14:conditionalFormatting>
        <x14:conditionalFormatting xmlns:xm="http://schemas.microsoft.com/office/excel/2006/main">
          <x14:cfRule type="dataBar" id="{0AC9BF24-3AF5-4019-8946-74B5FFE29A0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D116:D122</xm:sqref>
        </x14:conditionalFormatting>
        <x14:conditionalFormatting xmlns:xm="http://schemas.microsoft.com/office/excel/2006/main">
          <x14:cfRule type="dataBar" id="{EB076740-D9EA-41A3-A82B-10B7F5EBDE3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D128:D134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FBDF4B1F-476C-4891-9CC0-45215FD48C6E}">
          <x14:formula1>
            <xm:f>List_Options!$C$1:$C$2</xm:f>
          </x14:formula1>
          <xm:sqref>B21:B27</xm:sqref>
        </x14:dataValidation>
        <x14:dataValidation type="list" allowBlank="1" showInputMessage="1" showErrorMessage="1" xr:uid="{239B3451-8023-459C-8C21-AC1C739AB495}">
          <x14:formula1>
            <xm:f>List_Options!$B$2:$B$10</xm:f>
          </x14:formula1>
          <xm:sqref>B13</xm:sqref>
        </x14:dataValidation>
        <x14:dataValidation type="list" allowBlank="1" showInputMessage="1" showErrorMessage="1" xr:uid="{0B3BFD6A-D975-4538-AD92-012F5C69C3F0}">
          <x14:formula1>
            <xm:f>List_Options!$A$2:$A$9</xm:f>
          </x14:formula1>
          <xm:sqref>B12</xm:sqref>
        </x14:dataValidation>
        <x14:dataValidation type="list" allowBlank="1" showInputMessage="1" showErrorMessage="1" xr:uid="{5319A02E-F755-489A-ADC2-C2150444F086}">
          <x14:formula1>
            <xm:f>List_Options!$F$1:$F$13</xm:f>
          </x14:formula1>
          <xm:sqref>B34</xm:sqref>
        </x14:dataValidation>
        <x14:dataValidation type="list" allowBlank="1" showInputMessage="1" showErrorMessage="1" xr:uid="{7488B005-AF77-4C7D-8D4C-6D104C4D35BC}">
          <x14:formula1>
            <xm:f>List_Options!$H$1:$H$21</xm:f>
          </x14:formula1>
          <xm:sqref>B36</xm:sqref>
        </x14:dataValidation>
        <x14:dataValidation type="list" allowBlank="1" showInputMessage="1" showErrorMessage="1" xr:uid="{74E7321B-28B8-4F6D-A0E5-91CFF547522C}">
          <x14:formula1>
            <xm:f>List_Options!$G$1:$G$61</xm:f>
          </x14:formula1>
          <xm:sqref>B35</xm:sqref>
        </x14:dataValidation>
        <x14:dataValidation type="list" allowBlank="1" showInputMessage="1" showErrorMessage="1" xr:uid="{2F69F4F7-D44E-4F14-9B3F-57B0787BAF9F}">
          <x14:formula1>
            <xm:f>List_Options!$E$1:$E$21</xm:f>
          </x14:formula1>
          <xm:sqref>B43:B44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59E05-3526-46B0-8EDF-9AE249AF531D}">
  <sheetPr>
    <tabColor rgb="FF105BD8"/>
  </sheetPr>
  <dimension ref="A1:Z226"/>
  <sheetViews>
    <sheetView showGridLines="0" tabSelected="1" topLeftCell="A111" zoomScale="70" zoomScaleNormal="70" workbookViewId="0">
      <selection activeCell="G151" sqref="G151"/>
    </sheetView>
  </sheetViews>
  <sheetFormatPr defaultColWidth="8.88671875" defaultRowHeight="13.8"/>
  <cols>
    <col min="1" max="1" width="38.77734375" style="32" customWidth="1"/>
    <col min="2" max="2" width="22.88671875" style="32" customWidth="1"/>
    <col min="3" max="3" width="24" style="32" bestFit="1" customWidth="1"/>
    <col min="4" max="4" width="22" style="32" customWidth="1"/>
    <col min="5" max="5" width="14.33203125" style="32" customWidth="1"/>
    <col min="6" max="6" width="23.33203125" style="32" customWidth="1"/>
    <col min="7" max="7" width="29.21875" style="32" customWidth="1"/>
    <col min="8" max="8" width="20.21875" style="32" customWidth="1"/>
    <col min="9" max="9" width="24.109375" style="32" customWidth="1"/>
    <col min="10" max="10" width="22.109375" style="32" customWidth="1"/>
    <col min="11" max="11" width="19.88671875" style="32" bestFit="1" customWidth="1"/>
    <col min="12" max="12" width="17.44140625" style="32" bestFit="1" customWidth="1"/>
    <col min="13" max="13" width="14.21875" style="32" bestFit="1" customWidth="1"/>
    <col min="14" max="14" width="21.21875" style="32" customWidth="1"/>
    <col min="15" max="15" width="7.88671875" style="32" customWidth="1"/>
    <col min="16" max="17" width="8.88671875" style="32"/>
    <col min="18" max="18" width="29" style="32" customWidth="1"/>
    <col min="19" max="21" width="16.77734375" style="32" customWidth="1"/>
    <col min="22" max="23" width="15.109375" style="32" customWidth="1"/>
    <col min="24" max="24" width="19.88671875" style="32" bestFit="1" customWidth="1"/>
    <col min="25" max="27" width="15" style="32" customWidth="1"/>
    <col min="28" max="16384" width="8.88671875" style="32"/>
  </cols>
  <sheetData>
    <row r="1" spans="1:26" s="289" customFormat="1"/>
    <row r="2" spans="1:26" s="30" customFormat="1">
      <c r="A2" s="35"/>
      <c r="B2" s="11"/>
      <c r="C2" s="35"/>
      <c r="D2" s="35"/>
      <c r="E2" s="35"/>
      <c r="F2" s="35"/>
      <c r="G2" s="36"/>
      <c r="H2" s="35"/>
      <c r="I2" s="35"/>
      <c r="J2" s="35"/>
      <c r="K2" s="35"/>
      <c r="M2" s="35"/>
      <c r="N2" s="35"/>
      <c r="O2" s="35"/>
      <c r="S2" s="35"/>
      <c r="T2" s="35"/>
      <c r="U2" s="35"/>
    </row>
    <row r="3" spans="1:26" s="290" customFormat="1" ht="14.4" customHeight="1">
      <c r="A3" s="453" t="s">
        <v>479</v>
      </c>
      <c r="B3" s="453"/>
      <c r="C3" s="453"/>
      <c r="D3" s="453"/>
      <c r="E3" s="453"/>
      <c r="F3" s="453"/>
      <c r="G3" s="453"/>
      <c r="H3" s="453"/>
      <c r="I3" s="453"/>
    </row>
    <row r="4" spans="1:26" s="291" customFormat="1" ht="15.6" customHeight="1">
      <c r="A4" s="454"/>
      <c r="B4" s="454"/>
      <c r="C4" s="454"/>
      <c r="D4" s="454"/>
      <c r="E4" s="454"/>
      <c r="F4" s="454"/>
      <c r="G4" s="454"/>
      <c r="H4" s="454"/>
      <c r="I4" s="454"/>
      <c r="J4" s="294"/>
      <c r="K4" s="294"/>
      <c r="L4" s="294"/>
      <c r="M4" s="294"/>
      <c r="N4" s="294"/>
      <c r="O4" s="294"/>
    </row>
    <row r="5" spans="1:26" s="291" customFormat="1" ht="15.6">
      <c r="A5" s="292"/>
      <c r="B5" s="292"/>
      <c r="C5" s="292"/>
      <c r="D5" s="292"/>
      <c r="E5" s="292"/>
      <c r="F5" s="292"/>
      <c r="G5" s="292"/>
      <c r="H5" s="292"/>
      <c r="I5" s="292"/>
      <c r="J5" s="292"/>
      <c r="K5" s="292"/>
      <c r="L5" s="292"/>
      <c r="M5" s="292"/>
      <c r="N5" s="292"/>
      <c r="O5" s="292"/>
    </row>
    <row r="6" spans="1:26" ht="13.8" customHeight="1">
      <c r="D6" s="298"/>
      <c r="E6" s="297"/>
      <c r="F6" s="297"/>
    </row>
    <row r="7" spans="1:26" ht="20.399999999999999">
      <c r="A7" s="295" t="s">
        <v>450</v>
      </c>
      <c r="B7" s="295"/>
      <c r="C7" s="295"/>
      <c r="D7" s="295"/>
      <c r="E7" s="295"/>
      <c r="F7" s="295"/>
      <c r="G7" s="295"/>
      <c r="H7" s="295"/>
      <c r="I7" s="295"/>
      <c r="J7" s="295"/>
      <c r="K7" s="295"/>
      <c r="L7" s="295"/>
      <c r="M7" s="295"/>
      <c r="N7" s="295"/>
      <c r="O7" s="295"/>
      <c r="S7"/>
      <c r="T7"/>
      <c r="U7"/>
      <c r="V7"/>
      <c r="W7"/>
      <c r="X7"/>
      <c r="Y7"/>
      <c r="Z7"/>
    </row>
    <row r="8" spans="1:26" ht="14.4">
      <c r="A8" s="293" t="s">
        <v>445</v>
      </c>
      <c r="S8"/>
      <c r="T8"/>
      <c r="U8"/>
      <c r="V8"/>
      <c r="W8"/>
      <c r="X8"/>
      <c r="Y8"/>
      <c r="Z8"/>
    </row>
    <row r="9" spans="1:26" ht="14.4">
      <c r="A9" s="293"/>
      <c r="S9"/>
      <c r="T9"/>
      <c r="U9"/>
      <c r="V9"/>
      <c r="W9"/>
      <c r="X9"/>
      <c r="Y9"/>
      <c r="Z9"/>
    </row>
    <row r="10" spans="1:26" ht="15" customHeight="1" thickBot="1">
      <c r="A10" s="447" t="s">
        <v>521</v>
      </c>
      <c r="B10" s="447"/>
      <c r="C10" s="447"/>
      <c r="D10" s="447"/>
      <c r="F10" s="353" t="s">
        <v>522</v>
      </c>
      <c r="G10" s="302"/>
      <c r="H10" s="302"/>
      <c r="I10" s="302"/>
      <c r="S10"/>
      <c r="T10"/>
      <c r="U10"/>
      <c r="V10"/>
      <c r="W10"/>
      <c r="X10"/>
      <c r="Y10"/>
      <c r="Z10"/>
    </row>
    <row r="11" spans="1:26" ht="14.4">
      <c r="A11" s="215" t="s">
        <v>355</v>
      </c>
      <c r="B11" s="216" t="s">
        <v>7</v>
      </c>
      <c r="C11" s="216" t="s">
        <v>55</v>
      </c>
      <c r="D11" s="217" t="s">
        <v>6</v>
      </c>
      <c r="F11" s="422" t="s">
        <v>355</v>
      </c>
      <c r="G11" s="423" t="s">
        <v>7</v>
      </c>
      <c r="H11" s="423" t="s">
        <v>55</v>
      </c>
      <c r="I11" s="424" t="s">
        <v>6</v>
      </c>
      <c r="S11"/>
      <c r="T11"/>
      <c r="U11"/>
      <c r="V11"/>
      <c r="W11"/>
      <c r="X11"/>
      <c r="Y11"/>
      <c r="Z11"/>
    </row>
    <row r="12" spans="1:26" ht="14.4">
      <c r="A12" s="231" t="s">
        <v>54</v>
      </c>
      <c r="B12" s="161">
        <v>26</v>
      </c>
      <c r="C12" s="161">
        <v>49</v>
      </c>
      <c r="D12" s="299">
        <v>85</v>
      </c>
      <c r="F12" s="231" t="s">
        <v>54</v>
      </c>
      <c r="G12" s="161">
        <v>24</v>
      </c>
      <c r="H12" s="161">
        <v>40</v>
      </c>
      <c r="I12" s="299">
        <v>76</v>
      </c>
      <c r="S12"/>
      <c r="T12"/>
      <c r="U12"/>
      <c r="V12"/>
      <c r="W12"/>
      <c r="X12"/>
      <c r="Y12"/>
      <c r="Z12"/>
    </row>
    <row r="13" spans="1:26" ht="15" thickBot="1">
      <c r="A13" s="231" t="s">
        <v>56</v>
      </c>
      <c r="B13" s="161">
        <v>23</v>
      </c>
      <c r="C13" s="161">
        <v>49</v>
      </c>
      <c r="D13" s="299">
        <v>85</v>
      </c>
      <c r="F13" s="233" t="s">
        <v>56</v>
      </c>
      <c r="G13" s="284">
        <v>16</v>
      </c>
      <c r="H13" s="284">
        <v>40</v>
      </c>
      <c r="I13" s="300">
        <v>76</v>
      </c>
      <c r="S13"/>
      <c r="T13"/>
      <c r="U13"/>
      <c r="V13"/>
      <c r="W13"/>
      <c r="X13"/>
      <c r="Y13"/>
      <c r="Z13"/>
    </row>
    <row r="14" spans="1:26" ht="15" thickBot="1">
      <c r="A14" s="233" t="s">
        <v>222</v>
      </c>
      <c r="B14" s="284">
        <v>20</v>
      </c>
      <c r="C14" s="284">
        <v>30</v>
      </c>
      <c r="D14" s="300">
        <v>40</v>
      </c>
      <c r="F14"/>
      <c r="G14"/>
      <c r="H14"/>
      <c r="I14"/>
      <c r="S14"/>
      <c r="T14"/>
      <c r="U14"/>
      <c r="V14"/>
      <c r="W14"/>
      <c r="X14"/>
      <c r="Y14"/>
      <c r="Z14"/>
    </row>
    <row r="15" spans="1:26" ht="14.4">
      <c r="A15" s="301"/>
      <c r="B15"/>
      <c r="C15"/>
      <c r="D15"/>
      <c r="S15"/>
      <c r="T15"/>
      <c r="U15"/>
      <c r="V15"/>
      <c r="W15"/>
      <c r="X15"/>
      <c r="Y15"/>
      <c r="Z15"/>
    </row>
    <row r="16" spans="1:26" ht="14.4">
      <c r="D16" s="296"/>
      <c r="E16" s="296"/>
      <c r="F16" s="296"/>
      <c r="S16"/>
      <c r="T16"/>
      <c r="U16"/>
      <c r="V16"/>
      <c r="W16"/>
      <c r="X16"/>
      <c r="Y16"/>
      <c r="Z16"/>
    </row>
    <row r="17" spans="1:26" ht="20.399999999999999">
      <c r="A17" s="295" t="s">
        <v>451</v>
      </c>
      <c r="S17"/>
      <c r="T17"/>
      <c r="U17"/>
      <c r="V17"/>
      <c r="W17"/>
      <c r="X17"/>
      <c r="Y17"/>
      <c r="Z17"/>
    </row>
    <row r="18" spans="1:26" ht="14.4" customHeight="1">
      <c r="A18" s="37"/>
      <c r="B18" s="37"/>
      <c r="C18" s="37"/>
      <c r="D18" s="37"/>
      <c r="E18" s="37"/>
      <c r="F18" s="37"/>
      <c r="S18"/>
      <c r="T18"/>
      <c r="U18"/>
      <c r="V18"/>
      <c r="W18"/>
      <c r="X18"/>
      <c r="Y18"/>
      <c r="Z18"/>
    </row>
    <row r="19" spans="1:26" s="57" customFormat="1" ht="15" customHeight="1" thickBot="1">
      <c r="A19" s="452" t="s">
        <v>497</v>
      </c>
      <c r="B19" s="447"/>
      <c r="C19" s="447"/>
      <c r="D19" s="447"/>
      <c r="E19" s="283" t="s">
        <v>484</v>
      </c>
      <c r="F19" s="452" t="s">
        <v>452</v>
      </c>
      <c r="G19" s="452"/>
      <c r="H19" s="452"/>
      <c r="I19" s="452"/>
      <c r="S19"/>
      <c r="T19"/>
      <c r="U19"/>
      <c r="V19"/>
      <c r="W19"/>
      <c r="X19"/>
      <c r="Y19"/>
      <c r="Z19"/>
    </row>
    <row r="20" spans="1:26" s="57" customFormat="1" ht="13.8" customHeight="1">
      <c r="A20" s="215" t="s">
        <v>355</v>
      </c>
      <c r="B20" s="216" t="s">
        <v>490</v>
      </c>
      <c r="C20" s="216" t="s">
        <v>489</v>
      </c>
      <c r="D20" s="217" t="s">
        <v>488</v>
      </c>
      <c r="F20" s="215" t="s">
        <v>355</v>
      </c>
      <c r="G20" s="216" t="s">
        <v>490</v>
      </c>
      <c r="H20" s="216" t="s">
        <v>489</v>
      </c>
      <c r="I20" s="217" t="s">
        <v>488</v>
      </c>
      <c r="S20"/>
      <c r="T20"/>
      <c r="U20"/>
      <c r="V20"/>
      <c r="W20"/>
      <c r="X20"/>
      <c r="Y20"/>
      <c r="Z20"/>
    </row>
    <row r="21" spans="1:26" s="57" customFormat="1" ht="14.4">
      <c r="A21" s="223" t="s">
        <v>243</v>
      </c>
      <c r="B21" s="285" t="s">
        <v>366</v>
      </c>
      <c r="C21" s="285" t="s">
        <v>366</v>
      </c>
      <c r="D21" s="131" t="s">
        <v>366</v>
      </c>
      <c r="F21" s="223" t="s">
        <v>243</v>
      </c>
      <c r="G21" s="375" t="s">
        <v>10</v>
      </c>
      <c r="H21" s="375" t="s">
        <v>10</v>
      </c>
      <c r="I21" s="376" t="s">
        <v>10</v>
      </c>
      <c r="S21"/>
      <c r="T21"/>
      <c r="U21"/>
      <c r="V21"/>
      <c r="W21"/>
      <c r="X21"/>
      <c r="Y21"/>
      <c r="Z21"/>
    </row>
    <row r="22" spans="1:26" s="57" customFormat="1" ht="15" thickBot="1">
      <c r="A22" s="134" t="s">
        <v>244</v>
      </c>
      <c r="B22" s="286" t="s">
        <v>426</v>
      </c>
      <c r="C22" s="286" t="s">
        <v>430</v>
      </c>
      <c r="D22" s="132" t="s">
        <v>428</v>
      </c>
      <c r="F22" s="134" t="s">
        <v>244</v>
      </c>
      <c r="G22" s="377" t="s">
        <v>10</v>
      </c>
      <c r="H22" s="377" t="s">
        <v>10</v>
      </c>
      <c r="I22" s="378" t="s">
        <v>10</v>
      </c>
      <c r="S22"/>
      <c r="T22"/>
      <c r="U22"/>
      <c r="V22"/>
      <c r="W22"/>
      <c r="X22"/>
      <c r="Y22"/>
      <c r="Z22"/>
    </row>
    <row r="23" spans="1:26" s="57" customFormat="1" ht="14.4">
      <c r="A23" s="37"/>
      <c r="B23" s="37"/>
      <c r="C23" s="24"/>
      <c r="D23" s="37"/>
      <c r="E23" s="2"/>
      <c r="F23" s="293" t="s">
        <v>485</v>
      </c>
      <c r="G23" s="2"/>
      <c r="S23"/>
      <c r="T23"/>
      <c r="U23"/>
      <c r="V23"/>
      <c r="W23"/>
      <c r="X23"/>
      <c r="Y23"/>
      <c r="Z23"/>
    </row>
    <row r="24" spans="1:26" s="57" customFormat="1" ht="14.4">
      <c r="A24" s="37"/>
      <c r="B24" s="37"/>
      <c r="C24" s="24"/>
      <c r="D24" s="37"/>
      <c r="E24" s="2"/>
      <c r="F24" s="293"/>
      <c r="G24" s="2"/>
      <c r="S24"/>
      <c r="T24"/>
      <c r="U24"/>
      <c r="V24"/>
      <c r="W24"/>
      <c r="X24"/>
      <c r="Y24"/>
      <c r="Z24"/>
    </row>
    <row r="25" spans="1:26" s="31" customFormat="1" ht="20.399999999999999">
      <c r="A25" s="295" t="s">
        <v>486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1"/>
      <c r="M25" s="1"/>
      <c r="N25" s="37"/>
      <c r="O25" s="37"/>
      <c r="P25" s="1"/>
      <c r="Q25" s="1"/>
      <c r="S25"/>
      <c r="T25"/>
      <c r="U25"/>
      <c r="V25"/>
      <c r="W25"/>
      <c r="X25"/>
      <c r="Y25"/>
      <c r="Z25"/>
    </row>
    <row r="26" spans="1:26" ht="14.4">
      <c r="A26" s="37"/>
      <c r="B26" s="37"/>
      <c r="C26" s="37"/>
      <c r="D26" s="37"/>
      <c r="E26" s="37"/>
      <c r="F26" s="37"/>
      <c r="S26"/>
      <c r="T26"/>
      <c r="U26"/>
      <c r="V26"/>
      <c r="W26"/>
      <c r="X26"/>
      <c r="Y26"/>
      <c r="Z26"/>
    </row>
    <row r="27" spans="1:26" s="57" customFormat="1" ht="16.2" thickBot="1">
      <c r="A27" s="433" t="s">
        <v>481</v>
      </c>
      <c r="B27" s="433"/>
      <c r="C27" s="433"/>
      <c r="E27" s="2"/>
      <c r="F27" s="2"/>
      <c r="S27"/>
      <c r="T27"/>
      <c r="U27"/>
      <c r="V27"/>
      <c r="W27"/>
      <c r="X27"/>
      <c r="Y27"/>
      <c r="Z27"/>
    </row>
    <row r="28" spans="1:26" s="57" customFormat="1" ht="14.4">
      <c r="A28" s="473" t="s">
        <v>442</v>
      </c>
      <c r="B28" s="474"/>
      <c r="C28" s="471" t="s">
        <v>376</v>
      </c>
      <c r="E28" s="2"/>
      <c r="F28" s="2"/>
      <c r="S28"/>
      <c r="T28"/>
      <c r="U28"/>
      <c r="V28"/>
      <c r="W28"/>
      <c r="X28"/>
      <c r="Y28"/>
      <c r="Z28"/>
    </row>
    <row r="29" spans="1:26" s="57" customFormat="1" ht="14.4">
      <c r="A29" s="475"/>
      <c r="B29" s="476"/>
      <c r="C29" s="472"/>
      <c r="E29"/>
      <c r="F29"/>
      <c r="G29"/>
      <c r="H29"/>
      <c r="S29"/>
      <c r="T29"/>
      <c r="U29"/>
      <c r="V29"/>
      <c r="W29"/>
      <c r="X29"/>
      <c r="Y29"/>
      <c r="Z29"/>
    </row>
    <row r="30" spans="1:26" s="57" customFormat="1" ht="14.4" customHeight="1">
      <c r="A30" s="461" t="s">
        <v>37</v>
      </c>
      <c r="B30" s="462"/>
      <c r="C30" s="162" t="s">
        <v>375</v>
      </c>
      <c r="E30"/>
      <c r="F30"/>
      <c r="G30"/>
      <c r="H30"/>
      <c r="S30"/>
      <c r="T30"/>
      <c r="U30"/>
      <c r="V30"/>
      <c r="W30"/>
      <c r="X30"/>
      <c r="Y30"/>
      <c r="Z30"/>
    </row>
    <row r="31" spans="1:26" ht="14.4">
      <c r="A31" s="461" t="s">
        <v>35</v>
      </c>
      <c r="B31" s="462"/>
      <c r="C31" s="162" t="s">
        <v>375</v>
      </c>
      <c r="D31" s="37"/>
      <c r="E31"/>
      <c r="F31"/>
      <c r="G31"/>
      <c r="H31"/>
      <c r="S31"/>
      <c r="T31"/>
      <c r="U31"/>
      <c r="V31"/>
      <c r="W31"/>
      <c r="X31"/>
      <c r="Y31"/>
      <c r="Z31"/>
    </row>
    <row r="32" spans="1:26" ht="14.4">
      <c r="A32" s="461" t="s">
        <v>34</v>
      </c>
      <c r="B32" s="462"/>
      <c r="C32" s="162" t="s">
        <v>375</v>
      </c>
      <c r="D32" s="37"/>
      <c r="E32"/>
      <c r="F32"/>
      <c r="G32"/>
      <c r="H32"/>
      <c r="S32"/>
      <c r="T32"/>
      <c r="U32"/>
      <c r="V32"/>
      <c r="W32"/>
      <c r="X32"/>
      <c r="Y32"/>
      <c r="Z32"/>
    </row>
    <row r="33" spans="1:26" ht="14.4">
      <c r="A33" s="461" t="s">
        <v>57</v>
      </c>
      <c r="B33" s="462"/>
      <c r="C33" s="162" t="s">
        <v>375</v>
      </c>
      <c r="D33" s="37"/>
      <c r="E33" s="37"/>
      <c r="F33" s="37"/>
      <c r="G33" s="37"/>
      <c r="H33" s="37"/>
      <c r="S33"/>
      <c r="T33"/>
      <c r="U33"/>
      <c r="V33"/>
      <c r="W33"/>
      <c r="X33"/>
      <c r="Y33"/>
      <c r="Z33"/>
    </row>
    <row r="34" spans="1:26" ht="14.4">
      <c r="A34" s="461" t="s">
        <v>38</v>
      </c>
      <c r="B34" s="462"/>
      <c r="C34" s="162" t="s">
        <v>375</v>
      </c>
      <c r="D34" s="37"/>
      <c r="E34" s="37"/>
      <c r="F34" s="37"/>
      <c r="G34" s="37"/>
      <c r="H34" s="37"/>
      <c r="S34"/>
      <c r="T34"/>
      <c r="U34"/>
      <c r="V34"/>
      <c r="W34"/>
      <c r="X34"/>
      <c r="Y34"/>
      <c r="Z34"/>
    </row>
    <row r="35" spans="1:26" ht="14.4">
      <c r="A35" s="461" t="s">
        <v>58</v>
      </c>
      <c r="B35" s="462"/>
      <c r="C35" s="162" t="s">
        <v>375</v>
      </c>
      <c r="D35" s="37"/>
      <c r="E35" s="37"/>
      <c r="F35" s="37"/>
      <c r="G35" s="37"/>
      <c r="H35" s="37"/>
      <c r="S35"/>
      <c r="T35"/>
      <c r="U35"/>
      <c r="V35"/>
      <c r="W35"/>
      <c r="X35"/>
      <c r="Y35"/>
      <c r="Z35"/>
    </row>
    <row r="36" spans="1:26" ht="15" thickBot="1">
      <c r="A36" s="466" t="s">
        <v>39</v>
      </c>
      <c r="B36" s="467"/>
      <c r="C36" s="163" t="s">
        <v>375</v>
      </c>
      <c r="D36" s="37"/>
      <c r="E36" s="37"/>
      <c r="F36" s="37"/>
      <c r="G36" s="37"/>
      <c r="H36" s="37"/>
      <c r="S36"/>
      <c r="T36"/>
      <c r="U36"/>
      <c r="V36"/>
      <c r="W36"/>
      <c r="X36"/>
      <c r="Y36"/>
      <c r="Z36"/>
    </row>
    <row r="37" spans="1:26" ht="14.4">
      <c r="A37" s="352"/>
      <c r="B37" s="352"/>
      <c r="C37" s="37"/>
      <c r="D37" s="37"/>
      <c r="E37" s="37"/>
      <c r="F37" s="37"/>
      <c r="G37" s="37"/>
      <c r="H37" s="37"/>
      <c r="S37"/>
      <c r="T37"/>
      <c r="U37"/>
      <c r="V37"/>
      <c r="W37"/>
      <c r="X37"/>
      <c r="Y37"/>
      <c r="Z37"/>
    </row>
    <row r="38" spans="1:26" ht="14.4">
      <c r="A38" s="352"/>
      <c r="B38" s="352"/>
      <c r="C38" s="37"/>
      <c r="D38" s="37"/>
      <c r="E38" s="37"/>
      <c r="F38" s="37"/>
      <c r="G38" s="37"/>
      <c r="H38" s="37"/>
      <c r="S38"/>
      <c r="T38"/>
      <c r="U38"/>
      <c r="V38"/>
      <c r="W38"/>
      <c r="X38"/>
      <c r="Y38"/>
      <c r="Z38"/>
    </row>
    <row r="39" spans="1:26" s="31" customFormat="1" ht="20.399999999999999">
      <c r="A39" s="295" t="s">
        <v>487</v>
      </c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1"/>
      <c r="M39" s="1"/>
      <c r="N39" s="37"/>
      <c r="O39" s="37"/>
      <c r="P39" s="1"/>
      <c r="Q39" s="1"/>
      <c r="S39"/>
      <c r="T39"/>
      <c r="U39"/>
      <c r="V39"/>
      <c r="W39"/>
      <c r="X39"/>
      <c r="Y39"/>
      <c r="Z39"/>
    </row>
    <row r="40" spans="1:26" ht="14.4">
      <c r="A40" s="37"/>
      <c r="B40" s="37"/>
      <c r="C40" s="37"/>
      <c r="D40" s="37"/>
      <c r="E40" s="37"/>
      <c r="F40" s="37"/>
      <c r="S40"/>
      <c r="T40"/>
      <c r="U40"/>
      <c r="V40"/>
      <c r="W40"/>
      <c r="X40"/>
      <c r="Y40"/>
      <c r="Z40"/>
    </row>
    <row r="41" spans="1:26" ht="14.4" customHeight="1" thickBot="1">
      <c r="A41" s="477" t="s">
        <v>482</v>
      </c>
      <c r="B41" s="477"/>
      <c r="C41" s="477"/>
      <c r="D41" s="477"/>
      <c r="E41" s="57"/>
      <c r="F41" s="477" t="s">
        <v>483</v>
      </c>
      <c r="G41" s="477"/>
      <c r="H41" s="477"/>
      <c r="I41" s="477"/>
      <c r="K41" s="2"/>
      <c r="S41"/>
      <c r="T41"/>
      <c r="U41"/>
      <c r="V41"/>
      <c r="W41"/>
      <c r="X41"/>
      <c r="Y41"/>
      <c r="Z41"/>
    </row>
    <row r="42" spans="1:26" ht="14.4">
      <c r="A42" s="473" t="str">
        <f>Current!I4</f>
        <v>Use Case</v>
      </c>
      <c r="B42" s="474"/>
      <c r="C42" s="474" t="s">
        <v>446</v>
      </c>
      <c r="D42" s="471" t="s">
        <v>447</v>
      </c>
      <c r="E42" s="57"/>
      <c r="F42" s="473" t="str">
        <f>Current!N4</f>
        <v>Code</v>
      </c>
      <c r="G42" s="474"/>
      <c r="H42" s="474" t="s">
        <v>448</v>
      </c>
      <c r="I42" s="471" t="s">
        <v>449</v>
      </c>
      <c r="S42"/>
      <c r="T42"/>
      <c r="U42"/>
      <c r="V42"/>
      <c r="W42"/>
      <c r="X42"/>
      <c r="Y42"/>
      <c r="Z42"/>
    </row>
    <row r="43" spans="1:26" ht="14.4">
      <c r="A43" s="475"/>
      <c r="B43" s="476"/>
      <c r="C43" s="476"/>
      <c r="D43" s="472"/>
      <c r="E43" s="57"/>
      <c r="F43" s="475"/>
      <c r="G43" s="476"/>
      <c r="H43" s="476"/>
      <c r="I43" s="472"/>
      <c r="S43"/>
      <c r="T43"/>
      <c r="U43"/>
      <c r="V43"/>
      <c r="W43"/>
      <c r="X43"/>
      <c r="Y43"/>
      <c r="Z43"/>
    </row>
    <row r="44" spans="1:26" ht="14.4">
      <c r="A44" s="461" t="s">
        <v>37</v>
      </c>
      <c r="B44" s="462"/>
      <c r="C44" s="369">
        <f>Current!L5</f>
        <v>115860.20833333333</v>
      </c>
      <c r="D44" s="370">
        <f t="shared" ref="D44:D50" si="0">C44</f>
        <v>115860.20833333333</v>
      </c>
      <c r="E44" s="57"/>
      <c r="F44" s="461" t="s">
        <v>37</v>
      </c>
      <c r="G44" s="462"/>
      <c r="H44" s="369">
        <f>Current!Y5</f>
        <v>178043.57142857142</v>
      </c>
      <c r="I44" s="370">
        <f>H44</f>
        <v>178043.57142857142</v>
      </c>
      <c r="S44"/>
      <c r="T44"/>
      <c r="U44"/>
      <c r="V44"/>
      <c r="W44"/>
      <c r="X44"/>
      <c r="Y44"/>
      <c r="Z44"/>
    </row>
    <row r="45" spans="1:26" ht="14.4">
      <c r="A45" s="461" t="s">
        <v>35</v>
      </c>
      <c r="B45" s="462"/>
      <c r="C45" s="369">
        <f>Current!L6</f>
        <v>19394.681862745099</v>
      </c>
      <c r="D45" s="370">
        <f t="shared" si="0"/>
        <v>19394.681862745099</v>
      </c>
      <c r="E45" s="57"/>
      <c r="F45" s="461" t="s">
        <v>35</v>
      </c>
      <c r="G45" s="462"/>
      <c r="H45" s="369">
        <f>Current!Y6</f>
        <v>151730</v>
      </c>
      <c r="I45" s="370">
        <f t="shared" ref="I45:I50" si="1">H45</f>
        <v>151730</v>
      </c>
      <c r="S45"/>
      <c r="T45"/>
      <c r="U45"/>
      <c r="V45"/>
      <c r="W45"/>
      <c r="X45"/>
      <c r="Y45"/>
      <c r="Z45"/>
    </row>
    <row r="46" spans="1:26" ht="14.4">
      <c r="A46" s="461" t="s">
        <v>34</v>
      </c>
      <c r="B46" s="462"/>
      <c r="C46" s="369">
        <f>Current!L7</f>
        <v>30865.34696969697</v>
      </c>
      <c r="D46" s="370">
        <f t="shared" si="0"/>
        <v>30865.34696969697</v>
      </c>
      <c r="E46" s="57"/>
      <c r="F46" s="461" t="s">
        <v>34</v>
      </c>
      <c r="G46" s="462"/>
      <c r="H46" s="369">
        <f>Current!Y7</f>
        <v>109.25</v>
      </c>
      <c r="I46" s="370">
        <f t="shared" si="1"/>
        <v>109.25</v>
      </c>
      <c r="S46"/>
      <c r="T46"/>
      <c r="U46"/>
      <c r="V46"/>
      <c r="W46"/>
      <c r="X46"/>
      <c r="Y46"/>
      <c r="Z46"/>
    </row>
    <row r="47" spans="1:26" ht="14.4">
      <c r="A47" s="461" t="s">
        <v>57</v>
      </c>
      <c r="B47" s="462"/>
      <c r="C47" s="369" t="str">
        <f>Current!L8</f>
        <v>-</v>
      </c>
      <c r="D47" s="370" t="str">
        <f t="shared" si="0"/>
        <v>-</v>
      </c>
      <c r="E47" s="57"/>
      <c r="F47" s="461" t="s">
        <v>57</v>
      </c>
      <c r="G47" s="462"/>
      <c r="H47" s="369">
        <f>Current!Y8</f>
        <v>572</v>
      </c>
      <c r="I47" s="370">
        <f t="shared" si="1"/>
        <v>572</v>
      </c>
      <c r="S47"/>
      <c r="T47"/>
      <c r="U47"/>
      <c r="V47"/>
      <c r="W47"/>
      <c r="X47"/>
      <c r="Y47"/>
      <c r="Z47"/>
    </row>
    <row r="48" spans="1:26" ht="14.4">
      <c r="A48" s="461" t="s">
        <v>38</v>
      </c>
      <c r="B48" s="462"/>
      <c r="C48" s="369">
        <f>Current!L9</f>
        <v>22562.250000000011</v>
      </c>
      <c r="D48" s="370">
        <f t="shared" si="0"/>
        <v>22562.250000000011</v>
      </c>
      <c r="E48" s="57"/>
      <c r="F48" s="461" t="s">
        <v>38</v>
      </c>
      <c r="G48" s="462"/>
      <c r="H48" s="369">
        <f>Current!Y9</f>
        <v>4094</v>
      </c>
      <c r="I48" s="370">
        <f t="shared" si="1"/>
        <v>4094</v>
      </c>
      <c r="S48"/>
      <c r="T48"/>
      <c r="U48"/>
      <c r="V48"/>
      <c r="W48"/>
      <c r="X48"/>
      <c r="Y48"/>
      <c r="Z48"/>
    </row>
    <row r="49" spans="1:26" ht="14.4">
      <c r="A49" s="461" t="s">
        <v>58</v>
      </c>
      <c r="B49" s="462"/>
      <c r="C49" s="369" t="str">
        <f>Current!L10</f>
        <v>-</v>
      </c>
      <c r="D49" s="370" t="str">
        <f t="shared" si="0"/>
        <v>-</v>
      </c>
      <c r="E49" s="57"/>
      <c r="F49" s="461" t="s">
        <v>58</v>
      </c>
      <c r="G49" s="462"/>
      <c r="H49" s="369" t="str">
        <f>Current!Y10</f>
        <v>-</v>
      </c>
      <c r="I49" s="370" t="str">
        <f t="shared" si="1"/>
        <v>-</v>
      </c>
      <c r="S49"/>
      <c r="T49"/>
      <c r="U49"/>
      <c r="V49"/>
      <c r="W49"/>
      <c r="X49"/>
      <c r="Y49"/>
      <c r="Z49"/>
    </row>
    <row r="50" spans="1:26" ht="15" thickBot="1">
      <c r="A50" s="466" t="s">
        <v>39</v>
      </c>
      <c r="B50" s="467"/>
      <c r="C50" s="371" t="str">
        <f>Current!L11</f>
        <v>-</v>
      </c>
      <c r="D50" s="372" t="str">
        <f t="shared" si="0"/>
        <v>-</v>
      </c>
      <c r="E50" s="57"/>
      <c r="F50" s="466" t="s">
        <v>39</v>
      </c>
      <c r="G50" s="467"/>
      <c r="H50" s="371">
        <f>Current!Y12</f>
        <v>17343.533333333333</v>
      </c>
      <c r="I50" s="372">
        <f t="shared" si="1"/>
        <v>17343.533333333333</v>
      </c>
      <c r="S50"/>
      <c r="T50"/>
      <c r="U50"/>
      <c r="V50"/>
      <c r="W50"/>
      <c r="X50"/>
      <c r="Y50"/>
      <c r="Z50"/>
    </row>
    <row r="51" spans="1:26" ht="14.4">
      <c r="B51" s="37"/>
      <c r="C51" s="37"/>
      <c r="D51" s="497"/>
      <c r="E51" s="37"/>
      <c r="I51" s="497"/>
      <c r="S51"/>
      <c r="T51"/>
      <c r="U51"/>
      <c r="V51"/>
      <c r="W51"/>
      <c r="X51"/>
      <c r="Y51"/>
      <c r="Z51"/>
    </row>
    <row r="52" spans="1:26" ht="14.4">
      <c r="A52" s="37"/>
      <c r="B52" s="37"/>
      <c r="C52" s="37"/>
      <c r="D52" s="37"/>
      <c r="E52" s="37"/>
      <c r="F52" s="37"/>
      <c r="S52" s="37"/>
      <c r="T52" s="37"/>
      <c r="U52" s="37"/>
      <c r="V52" s="37"/>
      <c r="W52" s="37"/>
      <c r="X52" s="37"/>
      <c r="Y52" s="37"/>
      <c r="Z52" s="37"/>
    </row>
    <row r="53" spans="1:26" s="31" customFormat="1" ht="20.399999999999999">
      <c r="A53" s="295" t="s">
        <v>515</v>
      </c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1"/>
      <c r="M53" s="1"/>
      <c r="N53" s="37"/>
      <c r="O53" s="37"/>
      <c r="P53" s="1"/>
      <c r="Q53" s="1"/>
      <c r="S53" s="37"/>
      <c r="T53" s="37"/>
      <c r="U53" s="37"/>
      <c r="V53" s="37"/>
      <c r="W53" s="37"/>
      <c r="X53" s="37"/>
      <c r="Y53" s="37"/>
    </row>
    <row r="54" spans="1:26" s="57" customFormat="1">
      <c r="S54" s="149"/>
    </row>
    <row r="55" spans="1:26" s="57" customFormat="1" ht="16.2" thickBot="1">
      <c r="A55" s="452" t="s">
        <v>514</v>
      </c>
      <c r="B55" s="452"/>
      <c r="S55" s="149"/>
    </row>
    <row r="56" spans="1:26" s="57" customFormat="1">
      <c r="A56" s="413" t="s">
        <v>355</v>
      </c>
      <c r="B56" s="230" t="s">
        <v>511</v>
      </c>
      <c r="S56" s="149"/>
    </row>
    <row r="57" spans="1:26" s="57" customFormat="1">
      <c r="A57" s="412" t="s">
        <v>243</v>
      </c>
      <c r="B57" s="267">
        <v>0</v>
      </c>
      <c r="S57" s="149"/>
    </row>
    <row r="58" spans="1:26" s="57" customFormat="1">
      <c r="A58" s="412" t="s">
        <v>369</v>
      </c>
      <c r="B58" s="267">
        <v>0</v>
      </c>
      <c r="S58" s="149"/>
    </row>
    <row r="59" spans="1:26" s="57" customFormat="1" ht="14.4" thickBot="1">
      <c r="A59" s="134" t="s">
        <v>370</v>
      </c>
      <c r="B59" s="268">
        <v>0</v>
      </c>
      <c r="S59" s="149"/>
    </row>
    <row r="60" spans="1:26" ht="14.4">
      <c r="B60" s="37"/>
      <c r="C60" s="37"/>
      <c r="D60" s="37"/>
      <c r="E60" s="37"/>
      <c r="S60"/>
      <c r="T60"/>
      <c r="U60"/>
      <c r="V60"/>
      <c r="W60"/>
      <c r="X60"/>
      <c r="Y60"/>
      <c r="Z60"/>
    </row>
    <row r="61" spans="1:26" ht="14.4">
      <c r="B61" s="37"/>
      <c r="C61" s="37"/>
      <c r="D61" s="37"/>
      <c r="E61" s="37"/>
      <c r="S61" s="37"/>
      <c r="T61" s="37"/>
      <c r="U61" s="37"/>
      <c r="V61" s="37"/>
      <c r="W61" s="37"/>
      <c r="X61" s="37"/>
      <c r="Y61" s="37"/>
      <c r="Z61" s="37"/>
    </row>
    <row r="62" spans="1:26" s="31" customFormat="1" ht="20.399999999999999">
      <c r="A62" s="295" t="s">
        <v>516</v>
      </c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1"/>
      <c r="M62" s="1"/>
      <c r="N62" s="37"/>
      <c r="O62" s="37"/>
      <c r="P62" s="1"/>
      <c r="Q62" s="1"/>
      <c r="S62"/>
      <c r="T62"/>
      <c r="U62"/>
      <c r="V62"/>
      <c r="W62"/>
      <c r="X62"/>
      <c r="Y62"/>
      <c r="Z62"/>
    </row>
    <row r="63" spans="1:26" ht="14.4">
      <c r="B63" s="37"/>
      <c r="C63" s="37"/>
      <c r="D63" s="37"/>
      <c r="E63" s="37"/>
      <c r="F63" s="2"/>
      <c r="S63"/>
      <c r="T63"/>
      <c r="U63"/>
      <c r="V63"/>
      <c r="W63"/>
      <c r="X63"/>
      <c r="Y63"/>
      <c r="Z63"/>
    </row>
    <row r="64" spans="1:26" ht="14.4" customHeight="1" thickBot="1">
      <c r="A64" s="447" t="s">
        <v>517</v>
      </c>
      <c r="B64" s="447"/>
      <c r="C64" s="447"/>
      <c r="D64" s="447"/>
      <c r="F64" s="2"/>
      <c r="S64"/>
      <c r="T64"/>
      <c r="U64"/>
      <c r="V64"/>
      <c r="W64"/>
      <c r="X64"/>
      <c r="Y64"/>
      <c r="Z64"/>
    </row>
    <row r="65" spans="1:26" ht="14.4">
      <c r="A65" s="215" t="s">
        <v>355</v>
      </c>
      <c r="B65" s="227" t="s">
        <v>437</v>
      </c>
      <c r="C65" s="227" t="s">
        <v>438</v>
      </c>
      <c r="D65" s="230" t="s">
        <v>439</v>
      </c>
      <c r="F65" s="2"/>
      <c r="S65"/>
      <c r="T65"/>
      <c r="U65"/>
      <c r="V65"/>
      <c r="W65"/>
      <c r="X65"/>
      <c r="Y65"/>
      <c r="Z65"/>
    </row>
    <row r="66" spans="1:26" ht="14.4">
      <c r="A66" s="223" t="s">
        <v>243</v>
      </c>
      <c r="B66" s="373">
        <v>0</v>
      </c>
      <c r="C66" s="373">
        <v>0</v>
      </c>
      <c r="D66" s="373">
        <v>0</v>
      </c>
      <c r="F66" s="2"/>
      <c r="S66"/>
      <c r="T66"/>
      <c r="U66"/>
      <c r="V66"/>
      <c r="W66"/>
      <c r="X66"/>
      <c r="Y66"/>
      <c r="Z66"/>
    </row>
    <row r="67" spans="1:26" ht="15" thickBot="1">
      <c r="A67" s="134" t="s">
        <v>244</v>
      </c>
      <c r="B67" s="374">
        <v>0</v>
      </c>
      <c r="C67" s="374">
        <v>0</v>
      </c>
      <c r="D67" s="374">
        <v>0</v>
      </c>
      <c r="F67" s="2"/>
      <c r="S67"/>
      <c r="T67"/>
      <c r="U67"/>
      <c r="V67"/>
      <c r="W67"/>
      <c r="X67"/>
      <c r="Y67"/>
      <c r="Z67"/>
    </row>
    <row r="68" spans="1:26">
      <c r="F68" s="2"/>
    </row>
    <row r="69" spans="1:26" ht="15" thickBot="1">
      <c r="A69"/>
      <c r="B69"/>
      <c r="C69"/>
      <c r="D69"/>
    </row>
    <row r="70" spans="1:26" ht="14.4">
      <c r="A70"/>
      <c r="B70" s="341" t="s">
        <v>490</v>
      </c>
      <c r="C70" s="342" t="s">
        <v>489</v>
      </c>
      <c r="D70" s="343" t="s">
        <v>488</v>
      </c>
    </row>
    <row r="71" spans="1:26" s="37" customFormat="1" ht="15" customHeight="1">
      <c r="A71" s="350" t="s">
        <v>491</v>
      </c>
      <c r="B71" s="354">
        <f>IF(B21="User-defined price",G21,IF(B21="19 $/Min (NASA MOCS)",19,IF(B21="DTE S1 (2 Providers)",Scenarios_Future!Q37, IF(B21="DTE S2 (3 Providers)",Scenarios_Future!Q38,IF(B21="DTE S3 (4 Providers)",Scenarios_Future!Q39, IF(B21="DTE S4 (5 Providers)",Scenarios_Future!Q40, IF(B21="DTE S5 (6 Providers)",Scenarios_Future!Q41, IF(B21="DTE S6 (7 Providers)",Scenarios_Future!Q42))))))))</f>
        <v>19</v>
      </c>
      <c r="C71" s="355">
        <f>IF(C21="User-defined price",H21,IF(C21="19 $/Min (NASA MOCS)",19,IF(C21="DTE S1 (2 Providers)",Scenarios_Future!R37, IF(C21="DTE S2 (3 Providers)",Scenarios_Future!R38,IF(C21="DTE S3 (4 Providers)",Scenarios_Future!R39, IF(C21="DTE S4 (5 Providers)",Scenarios_Future!R40, IF(C21="DTE S5 (6 Providers)",Scenarios_Future!R41, IF(C21="DTE S6 (7 Providers)",Scenarios_Future!R42))))))))</f>
        <v>19</v>
      </c>
      <c r="D71" s="356">
        <f>IF(D21="User-defined price",I21,IF(D21="19 $/Min (NASA MOCS)",19,IF(D21="DTE S1 (2 Providers)",Scenarios_Future!S37, IF(D21="DTE S2 (3 Providers)",Scenarios_Future!S38,IF(D21="DTE S3 (4 Providers)",Scenarios_Future!S39, IF(D21="DTE S4 (5 Providers)",Scenarios_Future!S40, IF(D21="DTE S5 (6 Providers)",Scenarios_Future!S41, IF(D21="DTE S6 (7 Providers)",Scenarios_Future!S42))))))))</f>
        <v>19</v>
      </c>
    </row>
    <row r="72" spans="1:26" s="37" customFormat="1" ht="16.2" thickBot="1">
      <c r="A72" s="350" t="s">
        <v>492</v>
      </c>
      <c r="B72" s="357">
        <f>IF(B22="User-defined price",G22,IF(B22="91 $/Min (NASA MOCS)",91,IF(B22="SR S1 (2 LEO)",Scenarios_Future!Q48, IF(B22="SR S2 (1 LEO, 1 GEO)",Scenarios_Future!Q49,IF(B22="SR S3 (2 LEO, 2 GEO)",Scenarios_Future!Q50,IF(B22="SR S4 (3 LEO 3 GEO)",Scenarios_Future!Q51,IF(B22="SR S5 (4 LEO 2 GEO)",Scenarios_Future!Q52,IF(B22="SR S6 (2 LEO 4 GEO)",Scenarios_Future!Q53))))))))</f>
        <v>52</v>
      </c>
      <c r="C72" s="358">
        <f>IF(C22="User-defined price",H22,IF(C22="91 $/Min (NASA MOCS)",91,IF(C22="SR S1 (2 LEO)",Scenarios_Future!R48, IF(C22="SR S2 (1 LEO, 1 GEO)",Scenarios_Future!R49,IF(C22="SR S3 (2 LEO, 2 GEO)",Scenarios_Future!R50,IF(C22="SR S4 (3 LEO 3 GEO)",Scenarios_Future!R51,IF(C22="SR S5 (4 LEO 2 GEO)",Scenarios_Future!R52,IF(C22="SR S6 (2 LEO 4 GEO)",Scenarios_Future!R53))))))))</f>
        <v>52</v>
      </c>
      <c r="D72" s="359">
        <f>IF(D22="User-defined price",I22,IF(D22="91 $/Min (NASA MOCS)",91,IF(D22="SR S1 (2 LEO)",Scenarios_Future!S48, IF(D22="SR S2 (1 LEO, 1 GEO)",Scenarios_Future!S49,IF(D22="SR S3 (2 LEO, 2 GEO)",Scenarios_Future!S50,IF(D22="SR S4 (3 LEO 3 GEO)",Scenarios_Future!S51,IF(D22="SR S5 (4 LEO 2 GEO)",Scenarios_Future!S52,IF(D22="SR S6 (2 LEO 4 GEO)",Scenarios_Future!S53))))))))</f>
        <v>45</v>
      </c>
    </row>
    <row r="75" spans="1:26" ht="20.399999999999999">
      <c r="A75" s="295" t="s">
        <v>534</v>
      </c>
    </row>
    <row r="76" spans="1:26" customFormat="1" ht="15" thickBot="1">
      <c r="P76" s="37"/>
      <c r="Q76" s="37"/>
      <c r="R76" s="37"/>
    </row>
    <row r="77" spans="1:26" ht="14.4" customHeight="1">
      <c r="A77" s="463" t="s">
        <v>225</v>
      </c>
      <c r="B77" s="464"/>
      <c r="C77" s="464"/>
      <c r="D77" s="465"/>
      <c r="S77"/>
      <c r="T77"/>
    </row>
    <row r="78" spans="1:26" ht="13.8" customHeight="1">
      <c r="A78" s="231" t="s">
        <v>236</v>
      </c>
      <c r="B78" s="225" t="s">
        <v>7</v>
      </c>
      <c r="C78" s="225" t="s">
        <v>55</v>
      </c>
      <c r="D78" s="47" t="s">
        <v>6</v>
      </c>
      <c r="S78"/>
      <c r="T78"/>
    </row>
    <row r="79" spans="1:26" ht="14.4">
      <c r="A79" s="213" t="s">
        <v>237</v>
      </c>
      <c r="B79" s="379">
        <f>G112</f>
        <v>788579.02201426018</v>
      </c>
      <c r="C79" s="379">
        <f>H112</f>
        <v>1465546.4014705883</v>
      </c>
      <c r="D79" s="380">
        <f>I112</f>
        <v>2567479.0987967914</v>
      </c>
      <c r="S79"/>
      <c r="T79"/>
    </row>
    <row r="80" spans="1:26" ht="14.4">
      <c r="A80" s="213" t="s">
        <v>238</v>
      </c>
      <c r="B80" s="379">
        <f>G124</f>
        <v>2498438.7738095238</v>
      </c>
      <c r="C80" s="379">
        <f>H124</f>
        <v>5496405.9023809517</v>
      </c>
      <c r="D80" s="380">
        <f>I124</f>
        <v>9330795.2023809515</v>
      </c>
      <c r="S80"/>
      <c r="T80"/>
    </row>
    <row r="81" spans="1:20" ht="14.4">
      <c r="A81" s="213" t="s">
        <v>239</v>
      </c>
      <c r="B81" s="379">
        <f>G131</f>
        <v>105541.59843638947</v>
      </c>
      <c r="C81" s="379">
        <f>H131</f>
        <v>158312.3976545842</v>
      </c>
      <c r="D81" s="380">
        <f>I131</f>
        <v>211083.19687277894</v>
      </c>
      <c r="S81"/>
      <c r="T81"/>
    </row>
    <row r="82" spans="1:20" ht="14.4">
      <c r="A82" s="213" t="s">
        <v>240</v>
      </c>
      <c r="B82" s="379">
        <f>G146</f>
        <v>696362.06131907308</v>
      </c>
      <c r="C82" s="379">
        <f>H146</f>
        <v>1171587.4080213904</v>
      </c>
      <c r="D82" s="380">
        <f>I146</f>
        <v>2273520.1053475933</v>
      </c>
      <c r="S82"/>
      <c r="T82"/>
    </row>
    <row r="83" spans="1:20" ht="14.4">
      <c r="A83" s="213" t="s">
        <v>241</v>
      </c>
      <c r="B83" s="379">
        <f>G158</f>
        <v>1665724.0976190476</v>
      </c>
      <c r="C83" s="379">
        <f>H158</f>
        <v>4494508.4428571425</v>
      </c>
      <c r="D83" s="380">
        <f>I158</f>
        <v>8329006.9928571424</v>
      </c>
      <c r="S83"/>
      <c r="T83"/>
    </row>
    <row r="84" spans="1:20" ht="15" thickBot="1">
      <c r="A84" s="214" t="s">
        <v>61</v>
      </c>
      <c r="B84" s="381">
        <f>SUM(B79:B83)</f>
        <v>5754645.5531982947</v>
      </c>
      <c r="C84" s="381">
        <f>SUM(C79:C83)</f>
        <v>12786360.552384658</v>
      </c>
      <c r="D84" s="382">
        <f>SUM(D79:D83)</f>
        <v>22711884.596255258</v>
      </c>
      <c r="S84" s="37"/>
      <c r="T84" s="37"/>
    </row>
    <row r="85" spans="1:20" customFormat="1" ht="14.4">
      <c r="P85" s="37"/>
      <c r="Q85" s="37"/>
      <c r="R85" s="37"/>
    </row>
    <row r="86" spans="1:20" ht="14.4">
      <c r="B86" s="37"/>
      <c r="C86" s="37"/>
      <c r="D86" s="37"/>
      <c r="E86" s="37"/>
    </row>
    <row r="87" spans="1:20" ht="20.399999999999999">
      <c r="A87" s="295" t="s">
        <v>537</v>
      </c>
    </row>
    <row r="88" spans="1:20" ht="14.4" thickBot="1"/>
    <row r="89" spans="1:20" ht="14.4" customHeight="1">
      <c r="A89" s="463" t="s">
        <v>226</v>
      </c>
      <c r="B89" s="464"/>
      <c r="C89" s="464"/>
      <c r="D89" s="465"/>
    </row>
    <row r="90" spans="1:20">
      <c r="A90" s="231" t="s">
        <v>236</v>
      </c>
      <c r="B90" s="344" t="s">
        <v>7</v>
      </c>
      <c r="C90" s="344" t="s">
        <v>55</v>
      </c>
      <c r="D90" s="47" t="s">
        <v>6</v>
      </c>
    </row>
    <row r="91" spans="1:20">
      <c r="A91" s="340" t="s">
        <v>237</v>
      </c>
      <c r="B91" s="390">
        <f>J112</f>
        <v>14983001.418270944</v>
      </c>
      <c r="C91" s="390">
        <f>K112</f>
        <v>27845381.627941176</v>
      </c>
      <c r="D91" s="391">
        <f>L112</f>
        <v>48782102.877139039</v>
      </c>
    </row>
    <row r="92" spans="1:20">
      <c r="A92" s="340" t="s">
        <v>238</v>
      </c>
      <c r="B92" s="390">
        <f>J124</f>
        <v>129918816.23809524</v>
      </c>
      <c r="C92" s="390">
        <f>K124</f>
        <v>285813106.92380953</v>
      </c>
      <c r="D92" s="391">
        <f>L124</f>
        <v>485201350.52380949</v>
      </c>
    </row>
    <row r="93" spans="1:20">
      <c r="A93" s="340" t="s">
        <v>239</v>
      </c>
      <c r="B93" s="390">
        <f>J131</f>
        <v>5488163.1186922528</v>
      </c>
      <c r="C93" s="390">
        <f>K131</f>
        <v>8232244.6780383782</v>
      </c>
      <c r="D93" s="391">
        <f>L131</f>
        <v>10976326.237384506</v>
      </c>
    </row>
    <row r="94" spans="1:20" s="37" customFormat="1" ht="14.4">
      <c r="A94" s="340" t="s">
        <v>240</v>
      </c>
      <c r="B94" s="390">
        <f>J146</f>
        <v>13230879.165062388</v>
      </c>
      <c r="C94" s="390">
        <f>K146</f>
        <v>22260160.752406418</v>
      </c>
      <c r="D94" s="391">
        <f>L146</f>
        <v>43196882.001604274</v>
      </c>
    </row>
    <row r="95" spans="1:20" ht="14.4">
      <c r="A95" s="340" t="s">
        <v>241</v>
      </c>
      <c r="B95" s="390">
        <f>J158</f>
        <v>86617653.076190487</v>
      </c>
      <c r="C95" s="390">
        <f>K158</f>
        <v>233714439.0285714</v>
      </c>
      <c r="D95" s="391">
        <f>L158</f>
        <v>433108363.62857145</v>
      </c>
      <c r="E95" s="37"/>
      <c r="F95" s="37"/>
      <c r="G95" s="37"/>
      <c r="H95" s="37"/>
    </row>
    <row r="96" spans="1:20" ht="15" thickBot="1">
      <c r="A96" s="214" t="s">
        <v>61</v>
      </c>
      <c r="B96" s="402">
        <f>SUM(B91:B95)</f>
        <v>250238513.01631129</v>
      </c>
      <c r="C96" s="402">
        <f>SUM(C91:C95)</f>
        <v>577865333.01076686</v>
      </c>
      <c r="D96" s="403">
        <f>SUM(D91:D95)</f>
        <v>1021265025.2685089</v>
      </c>
      <c r="E96" s="37"/>
      <c r="F96" s="37"/>
      <c r="G96" s="37"/>
      <c r="H96" s="37"/>
    </row>
    <row r="97" spans="1:26" ht="14.4">
      <c r="A97" s="37"/>
      <c r="B97" s="37"/>
      <c r="C97" s="37"/>
      <c r="D97" s="37"/>
      <c r="E97" s="37"/>
      <c r="F97" s="37"/>
      <c r="G97" s="37"/>
      <c r="H97" s="37"/>
    </row>
    <row r="98" spans="1:26" ht="14.4">
      <c r="A98" s="37"/>
      <c r="B98" s="37"/>
      <c r="C98" s="37"/>
      <c r="D98" s="37"/>
      <c r="E98" s="37"/>
      <c r="F98" s="37"/>
      <c r="G98" s="37"/>
      <c r="H98" s="37"/>
    </row>
    <row r="99" spans="1:26" ht="20.399999999999999">
      <c r="A99" s="295" t="s">
        <v>538</v>
      </c>
    </row>
    <row r="100" spans="1:26" ht="14.4">
      <c r="A100" s="37"/>
      <c r="B100" s="37"/>
      <c r="C100" s="37"/>
      <c r="D100" s="37"/>
      <c r="E100" s="37"/>
      <c r="F100" s="37"/>
      <c r="G100" s="37"/>
      <c r="H100" s="37"/>
    </row>
    <row r="101" spans="1:26" ht="14.4">
      <c r="B101" s="37"/>
      <c r="C101" s="37"/>
      <c r="D101" s="37"/>
      <c r="E101" s="37"/>
    </row>
    <row r="102" spans="1:26" ht="16.2" thickBot="1">
      <c r="A102" s="49" t="s">
        <v>228</v>
      </c>
      <c r="T102" s="2"/>
      <c r="U102" s="2"/>
      <c r="V102" s="2"/>
      <c r="W102" s="2"/>
      <c r="X102" s="2"/>
      <c r="Y102" s="2"/>
      <c r="Z102" s="2"/>
    </row>
    <row r="103" spans="1:26" ht="14.4">
      <c r="A103" s="429" t="str">
        <f>Current!I4</f>
        <v>Use Case</v>
      </c>
      <c r="B103" s="441" t="s">
        <v>378</v>
      </c>
      <c r="C103" s="441" t="s">
        <v>454</v>
      </c>
      <c r="D103" s="468" t="s">
        <v>453</v>
      </c>
      <c r="E103" s="469"/>
      <c r="F103" s="470"/>
      <c r="G103" s="478" t="s">
        <v>225</v>
      </c>
      <c r="H103" s="478"/>
      <c r="I103" s="478"/>
      <c r="J103" s="478" t="s">
        <v>226</v>
      </c>
      <c r="K103" s="478"/>
      <c r="L103" s="479"/>
      <c r="M103"/>
      <c r="N103"/>
      <c r="O103"/>
      <c r="T103" s="2"/>
      <c r="U103" s="2"/>
      <c r="V103" s="2"/>
      <c r="W103" s="2"/>
      <c r="X103" s="2"/>
      <c r="Y103" s="2"/>
      <c r="Z103" s="2"/>
    </row>
    <row r="104" spans="1:26" ht="14.4">
      <c r="A104" s="430"/>
      <c r="B104" s="442"/>
      <c r="C104" s="442"/>
      <c r="D104" s="225" t="s">
        <v>7</v>
      </c>
      <c r="E104" s="225" t="s">
        <v>55</v>
      </c>
      <c r="F104" s="225" t="s">
        <v>6</v>
      </c>
      <c r="G104" s="225" t="s">
        <v>7</v>
      </c>
      <c r="H104" s="225" t="s">
        <v>55</v>
      </c>
      <c r="I104" s="225" t="s">
        <v>6</v>
      </c>
      <c r="J104" s="225" t="s">
        <v>7</v>
      </c>
      <c r="K104" s="225" t="s">
        <v>55</v>
      </c>
      <c r="L104" s="47" t="s">
        <v>6</v>
      </c>
      <c r="M104"/>
      <c r="N104"/>
      <c r="O104"/>
      <c r="T104" s="2"/>
      <c r="U104" s="2"/>
      <c r="V104" s="2"/>
      <c r="W104" s="2"/>
      <c r="X104" s="2"/>
      <c r="Y104" s="2"/>
      <c r="Z104" s="2"/>
    </row>
    <row r="105" spans="1:26" ht="14.4">
      <c r="A105" s="224" t="str">
        <f>Current!I5</f>
        <v>Human Space Flight</v>
      </c>
      <c r="B105" s="383">
        <f>Current!J5</f>
        <v>4</v>
      </c>
      <c r="C105" s="384">
        <f t="shared" ref="C105:C111" si="2">B105/$B$112</f>
        <v>0.08</v>
      </c>
      <c r="D105" s="385">
        <f>ROUND($B105*(1+(($B$12-$B$112)/$B$112)),0)</f>
        <v>2</v>
      </c>
      <c r="E105" s="385">
        <f>ROUND($B105*(1+(($C$12-$B$112)/$B$112)),0)</f>
        <v>4</v>
      </c>
      <c r="F105" s="385">
        <f>ROUND($B105*(1+(($D$12-$B$112)/$B$112)),0)</f>
        <v>7</v>
      </c>
      <c r="G105" s="389">
        <f t="shared" ref="G105:G111" si="3">IFERROR(IF(C30="Yes",D105*D44,0),"-")</f>
        <v>231720.41666666666</v>
      </c>
      <c r="H105" s="389">
        <f t="shared" ref="H105:H111" si="4">IFERROR(IF(C30="Yes",E105*D44,"-"),"-")</f>
        <v>463440.83333333331</v>
      </c>
      <c r="I105" s="389">
        <f t="shared" ref="I105:I111" si="5">IFERROR(IF(C30="Yes",F105*D44,"-"),"-")</f>
        <v>811021.45833333326</v>
      </c>
      <c r="J105" s="392">
        <f>IFERROR(G105*$B$71,"-")</f>
        <v>4402687.916666666</v>
      </c>
      <c r="K105" s="392">
        <f t="shared" ref="J105:L111" si="6">IFERROR(H105*$B$71,"-")</f>
        <v>8805375.8333333321</v>
      </c>
      <c r="L105" s="393">
        <f t="shared" si="6"/>
        <v>15409407.708333332</v>
      </c>
      <c r="M105" s="37"/>
      <c r="N105" s="37"/>
      <c r="O105" s="37"/>
      <c r="V105" s="33"/>
    </row>
    <row r="106" spans="1:26" ht="14.4">
      <c r="A106" s="224" t="str">
        <f>Current!I6</f>
        <v>Near Earth Robotic - LEO Science</v>
      </c>
      <c r="B106" s="383">
        <f>Current!J6</f>
        <v>34</v>
      </c>
      <c r="C106" s="384">
        <f t="shared" si="2"/>
        <v>0.68</v>
      </c>
      <c r="D106" s="385">
        <f t="shared" ref="D106:D111" si="7">ROUND($B106*(1+(($B$12-$B$112)/$B$112)),0)</f>
        <v>18</v>
      </c>
      <c r="E106" s="385">
        <f t="shared" ref="E106:E111" si="8">ROUND($B106*(1+(($C$12-$B$112)/$B$112)),0)</f>
        <v>33</v>
      </c>
      <c r="F106" s="385">
        <f t="shared" ref="F106:F111" si="9">ROUND($B106*(1+(($D$12-$B$112)/$B$112)),0)</f>
        <v>58</v>
      </c>
      <c r="G106" s="389">
        <f t="shared" si="3"/>
        <v>349104.27352941176</v>
      </c>
      <c r="H106" s="389">
        <f t="shared" si="4"/>
        <v>640024.50147058826</v>
      </c>
      <c r="I106" s="389">
        <f t="shared" si="5"/>
        <v>1124891.5480392158</v>
      </c>
      <c r="J106" s="392">
        <f t="shared" si="6"/>
        <v>6632981.197058823</v>
      </c>
      <c r="K106" s="392">
        <f t="shared" si="6"/>
        <v>12160465.527941177</v>
      </c>
      <c r="L106" s="393">
        <f t="shared" si="6"/>
        <v>21372939.4127451</v>
      </c>
      <c r="M106" s="37"/>
      <c r="N106" s="37"/>
      <c r="O106" s="37"/>
      <c r="V106" s="33"/>
    </row>
    <row r="107" spans="1:26" ht="14.4">
      <c r="A107" s="224" t="str">
        <f>Current!I7</f>
        <v>Near Earth Robotic - GEO and Near Earth</v>
      </c>
      <c r="B107" s="383">
        <f>Current!J7</f>
        <v>11</v>
      </c>
      <c r="C107" s="384">
        <f t="shared" si="2"/>
        <v>0.22</v>
      </c>
      <c r="D107" s="385">
        <f t="shared" si="7"/>
        <v>6</v>
      </c>
      <c r="E107" s="385">
        <f t="shared" si="8"/>
        <v>11</v>
      </c>
      <c r="F107" s="385">
        <f t="shared" si="9"/>
        <v>19</v>
      </c>
      <c r="G107" s="389">
        <f t="shared" si="3"/>
        <v>185192.08181818182</v>
      </c>
      <c r="H107" s="389">
        <f t="shared" si="4"/>
        <v>339518.81666666665</v>
      </c>
      <c r="I107" s="389">
        <f t="shared" si="5"/>
        <v>586441.59242424241</v>
      </c>
      <c r="J107" s="392">
        <f t="shared" si="6"/>
        <v>3518649.5545454547</v>
      </c>
      <c r="K107" s="392">
        <f t="shared" si="6"/>
        <v>6450857.5166666666</v>
      </c>
      <c r="L107" s="393">
        <f t="shared" si="6"/>
        <v>11142390.256060606</v>
      </c>
      <c r="M107" s="37"/>
      <c r="N107" s="37"/>
      <c r="O107" s="37"/>
      <c r="V107" s="33"/>
    </row>
    <row r="108" spans="1:26" ht="14.4">
      <c r="A108" s="224" t="str">
        <f>Current!I8</f>
        <v>Deep Space Robotic</v>
      </c>
      <c r="B108" s="383">
        <f>Current!J8</f>
        <v>0</v>
      </c>
      <c r="C108" s="384">
        <f t="shared" si="2"/>
        <v>0</v>
      </c>
      <c r="D108" s="385">
        <f t="shared" si="7"/>
        <v>0</v>
      </c>
      <c r="E108" s="385">
        <f t="shared" si="8"/>
        <v>0</v>
      </c>
      <c r="F108" s="385">
        <f t="shared" si="9"/>
        <v>0</v>
      </c>
      <c r="G108" s="389" t="str">
        <f t="shared" si="3"/>
        <v>-</v>
      </c>
      <c r="H108" s="389" t="str">
        <f t="shared" si="4"/>
        <v>-</v>
      </c>
      <c r="I108" s="389" t="str">
        <f t="shared" si="5"/>
        <v>-</v>
      </c>
      <c r="J108" s="392" t="str">
        <f t="shared" si="6"/>
        <v>-</v>
      </c>
      <c r="K108" s="392" t="str">
        <f t="shared" si="6"/>
        <v>-</v>
      </c>
      <c r="L108" s="393" t="str">
        <f t="shared" si="6"/>
        <v>-</v>
      </c>
      <c r="M108" s="37"/>
      <c r="N108" s="37"/>
      <c r="O108" s="37"/>
      <c r="V108" s="33"/>
    </row>
    <row r="109" spans="1:26" ht="14.4">
      <c r="A109" s="224" t="str">
        <f>Current!I9</f>
        <v>Near Earth Robotic - Low Latency &amp; Complex Needs</v>
      </c>
      <c r="B109" s="383">
        <f>Current!J9</f>
        <v>1</v>
      </c>
      <c r="C109" s="384">
        <f t="shared" si="2"/>
        <v>0.02</v>
      </c>
      <c r="D109" s="385">
        <f t="shared" si="7"/>
        <v>1</v>
      </c>
      <c r="E109" s="385">
        <f t="shared" si="8"/>
        <v>1</v>
      </c>
      <c r="F109" s="385">
        <f t="shared" si="9"/>
        <v>2</v>
      </c>
      <c r="G109" s="389">
        <f t="shared" si="3"/>
        <v>22562.250000000011</v>
      </c>
      <c r="H109" s="389">
        <f t="shared" si="4"/>
        <v>22562.250000000011</v>
      </c>
      <c r="I109" s="389">
        <f t="shared" si="5"/>
        <v>45124.500000000022</v>
      </c>
      <c r="J109" s="392">
        <f t="shared" si="6"/>
        <v>428682.75000000023</v>
      </c>
      <c r="K109" s="392">
        <f t="shared" si="6"/>
        <v>428682.75000000023</v>
      </c>
      <c r="L109" s="393">
        <f t="shared" si="6"/>
        <v>857365.50000000047</v>
      </c>
      <c r="M109" s="37"/>
      <c r="N109" s="37"/>
      <c r="O109" s="37"/>
      <c r="V109" s="33"/>
    </row>
    <row r="110" spans="1:26" ht="14.4">
      <c r="A110" s="224" t="str">
        <f>Current!I10</f>
        <v>Mission Operations</v>
      </c>
      <c r="B110" s="383">
        <f>Current!J10</f>
        <v>0</v>
      </c>
      <c r="C110" s="384">
        <f t="shared" si="2"/>
        <v>0</v>
      </c>
      <c r="D110" s="385">
        <f t="shared" si="7"/>
        <v>0</v>
      </c>
      <c r="E110" s="385">
        <f t="shared" si="8"/>
        <v>0</v>
      </c>
      <c r="F110" s="385">
        <f t="shared" si="9"/>
        <v>0</v>
      </c>
      <c r="G110" s="389" t="str">
        <f t="shared" si="3"/>
        <v>-</v>
      </c>
      <c r="H110" s="389" t="str">
        <f t="shared" si="4"/>
        <v>-</v>
      </c>
      <c r="I110" s="389" t="str">
        <f t="shared" si="5"/>
        <v>-</v>
      </c>
      <c r="J110" s="392" t="str">
        <f t="shared" si="6"/>
        <v>-</v>
      </c>
      <c r="K110" s="392" t="str">
        <f t="shared" si="6"/>
        <v>-</v>
      </c>
      <c r="L110" s="393" t="str">
        <f t="shared" si="6"/>
        <v>-</v>
      </c>
      <c r="M110" s="37"/>
      <c r="N110" s="37"/>
      <c r="O110" s="37"/>
      <c r="V110" s="33"/>
    </row>
    <row r="111" spans="1:26" ht="14.4">
      <c r="A111" s="224" t="str">
        <f>Current!I12</f>
        <v>Terrestrial &amp; Aerial</v>
      </c>
      <c r="B111" s="383">
        <f>Current!J12</f>
        <v>0</v>
      </c>
      <c r="C111" s="384">
        <f t="shared" si="2"/>
        <v>0</v>
      </c>
      <c r="D111" s="385">
        <f t="shared" si="7"/>
        <v>0</v>
      </c>
      <c r="E111" s="385">
        <f t="shared" si="8"/>
        <v>0</v>
      </c>
      <c r="F111" s="385">
        <f t="shared" si="9"/>
        <v>0</v>
      </c>
      <c r="G111" s="389" t="str">
        <f t="shared" si="3"/>
        <v>-</v>
      </c>
      <c r="H111" s="389" t="str">
        <f t="shared" si="4"/>
        <v>-</v>
      </c>
      <c r="I111" s="389" t="str">
        <f t="shared" si="5"/>
        <v>-</v>
      </c>
      <c r="J111" s="392" t="str">
        <f t="shared" si="6"/>
        <v>-</v>
      </c>
      <c r="K111" s="392" t="str">
        <f t="shared" si="6"/>
        <v>-</v>
      </c>
      <c r="L111" s="393" t="str">
        <f t="shared" si="6"/>
        <v>-</v>
      </c>
      <c r="M111" s="37"/>
      <c r="N111" s="37"/>
      <c r="O111" s="37"/>
    </row>
    <row r="112" spans="1:26" ht="14.4" customHeight="1" thickBot="1">
      <c r="A112" s="233" t="s">
        <v>223</v>
      </c>
      <c r="B112" s="386">
        <f>SUM(B105:B110,B111)</f>
        <v>50</v>
      </c>
      <c r="C112" s="387">
        <f t="shared" ref="C112:L112" si="10">SUM(C105:C111)</f>
        <v>1</v>
      </c>
      <c r="D112" s="388">
        <f t="shared" si="10"/>
        <v>27</v>
      </c>
      <c r="E112" s="388">
        <f t="shared" si="10"/>
        <v>49</v>
      </c>
      <c r="F112" s="388">
        <f t="shared" si="10"/>
        <v>86</v>
      </c>
      <c r="G112" s="388">
        <f t="shared" si="10"/>
        <v>788579.02201426018</v>
      </c>
      <c r="H112" s="388">
        <f t="shared" si="10"/>
        <v>1465546.4014705883</v>
      </c>
      <c r="I112" s="388">
        <f t="shared" si="10"/>
        <v>2567479.0987967914</v>
      </c>
      <c r="J112" s="394">
        <f t="shared" si="10"/>
        <v>14983001.418270944</v>
      </c>
      <c r="K112" s="394">
        <f t="shared" si="10"/>
        <v>27845381.627941176</v>
      </c>
      <c r="L112" s="395">
        <f t="shared" si="10"/>
        <v>48782102.877139039</v>
      </c>
      <c r="M112"/>
      <c r="N112"/>
      <c r="O112"/>
    </row>
    <row r="114" spans="1:15" ht="14.4" customHeight="1" thickBot="1">
      <c r="A114" s="49" t="s">
        <v>229</v>
      </c>
    </row>
    <row r="115" spans="1:15" ht="14.4">
      <c r="A115" s="429" t="s">
        <v>59</v>
      </c>
      <c r="B115" s="441" t="s">
        <v>378</v>
      </c>
      <c r="C115" s="441" t="s">
        <v>454</v>
      </c>
      <c r="D115" s="468" t="s">
        <v>453</v>
      </c>
      <c r="E115" s="469"/>
      <c r="F115" s="470"/>
      <c r="G115" s="478" t="s">
        <v>225</v>
      </c>
      <c r="H115" s="478"/>
      <c r="I115" s="478"/>
      <c r="J115" s="478" t="s">
        <v>227</v>
      </c>
      <c r="K115" s="478"/>
      <c r="L115" s="479"/>
      <c r="M115"/>
      <c r="N115"/>
      <c r="O115"/>
    </row>
    <row r="116" spans="1:15" ht="14.4">
      <c r="A116" s="430"/>
      <c r="B116" s="442"/>
      <c r="C116" s="442"/>
      <c r="D116" s="225" t="s">
        <v>7</v>
      </c>
      <c r="E116" s="225" t="s">
        <v>55</v>
      </c>
      <c r="F116" s="225" t="s">
        <v>6</v>
      </c>
      <c r="G116" s="225" t="s">
        <v>7</v>
      </c>
      <c r="H116" s="225" t="s">
        <v>55</v>
      </c>
      <c r="I116" s="225" t="s">
        <v>6</v>
      </c>
      <c r="J116" s="225" t="s">
        <v>7</v>
      </c>
      <c r="K116" s="225" t="s">
        <v>55</v>
      </c>
      <c r="L116" s="47" t="s">
        <v>6</v>
      </c>
      <c r="M116"/>
      <c r="N116"/>
      <c r="O116"/>
    </row>
    <row r="117" spans="1:15" ht="14.4">
      <c r="A117" s="39" t="str">
        <f>Current!V5</f>
        <v>Human Space Flight</v>
      </c>
      <c r="B117" s="383">
        <f>Current!W5</f>
        <v>14</v>
      </c>
      <c r="C117" s="384">
        <f t="shared" ref="C117:C123" si="11">B117/$B$124</f>
        <v>0.2153846153846154</v>
      </c>
      <c r="D117" s="385">
        <f>ROUND($B117*(1+($B$13-$B$124)/$B$124),0)</f>
        <v>5</v>
      </c>
      <c r="E117" s="385">
        <f>ROUND($B117*(1+($C$13-$B$124)/$B$124),0)</f>
        <v>11</v>
      </c>
      <c r="F117" s="385">
        <f>ROUND($B117*(1+($D$13-$B$124)/$B$124),0)</f>
        <v>18</v>
      </c>
      <c r="G117" s="389">
        <f t="shared" ref="G117:G123" si="12">IFERROR(IF(C30="YES",D117*I44,"-"),"-")</f>
        <v>890217.85714285704</v>
      </c>
      <c r="H117" s="389">
        <f t="shared" ref="H117:H123" si="13">IFERROR(IF(C30="YES",E117*I44,"-"),"-")</f>
        <v>1958479.2857142857</v>
      </c>
      <c r="I117" s="389">
        <f t="shared" ref="I117:I123" si="14">IFERROR(IF(C30="YES",F117*I44,"-"),"-")</f>
        <v>3204784.2857142854</v>
      </c>
      <c r="J117" s="392">
        <f t="shared" ref="J117:L123" si="15">IFERROR(G117*$B$72,"-")</f>
        <v>46291328.571428567</v>
      </c>
      <c r="K117" s="392">
        <f t="shared" si="15"/>
        <v>101840922.85714285</v>
      </c>
      <c r="L117" s="393">
        <f t="shared" si="15"/>
        <v>166648782.85714284</v>
      </c>
      <c r="M117"/>
      <c r="N117"/>
      <c r="O117"/>
    </row>
    <row r="118" spans="1:15" ht="14.4">
      <c r="A118" s="39" t="str">
        <f>Current!V6</f>
        <v>Near Earth Robotic - LEO Science</v>
      </c>
      <c r="B118" s="383">
        <f>Current!W6</f>
        <v>29</v>
      </c>
      <c r="C118" s="384">
        <f t="shared" si="11"/>
        <v>0.44615384615384618</v>
      </c>
      <c r="D118" s="385">
        <f t="shared" ref="D118:D123" si="16">ROUND($B118*(1+($B$13-$B$124)/$B$124),0)</f>
        <v>10</v>
      </c>
      <c r="E118" s="385">
        <f t="shared" ref="E118:E123" si="17">ROUND($B118*(1+($C$13-$B$124)/$B$124),0)</f>
        <v>22</v>
      </c>
      <c r="F118" s="385">
        <f t="shared" ref="F118:F123" si="18">ROUND($B118*(1+($D$13-$B$124)/$B$124),0)</f>
        <v>38</v>
      </c>
      <c r="G118" s="389">
        <f t="shared" si="12"/>
        <v>1517300</v>
      </c>
      <c r="H118" s="389">
        <f t="shared" si="13"/>
        <v>3338060</v>
      </c>
      <c r="I118" s="389">
        <f t="shared" si="14"/>
        <v>5765740</v>
      </c>
      <c r="J118" s="392">
        <f t="shared" si="15"/>
        <v>78899600</v>
      </c>
      <c r="K118" s="392">
        <f t="shared" si="15"/>
        <v>173579120</v>
      </c>
      <c r="L118" s="393">
        <f t="shared" si="15"/>
        <v>299818480</v>
      </c>
      <c r="M118"/>
      <c r="N118"/>
      <c r="O118"/>
    </row>
    <row r="119" spans="1:15" ht="14.4">
      <c r="A119" s="39" t="str">
        <f>Current!V7</f>
        <v>Near Earth Robotic - GEO and Near Earth</v>
      </c>
      <c r="B119" s="383">
        <f>Current!W7</f>
        <v>4</v>
      </c>
      <c r="C119" s="384">
        <f t="shared" si="11"/>
        <v>6.1538461538461542E-2</v>
      </c>
      <c r="D119" s="385">
        <f t="shared" si="16"/>
        <v>1</v>
      </c>
      <c r="E119" s="385">
        <f t="shared" si="17"/>
        <v>3</v>
      </c>
      <c r="F119" s="385">
        <f t="shared" si="18"/>
        <v>5</v>
      </c>
      <c r="G119" s="389">
        <f t="shared" si="12"/>
        <v>109.25</v>
      </c>
      <c r="H119" s="389">
        <f t="shared" si="13"/>
        <v>327.75</v>
      </c>
      <c r="I119" s="389">
        <f t="shared" si="14"/>
        <v>546.25</v>
      </c>
      <c r="J119" s="392">
        <f t="shared" si="15"/>
        <v>5681</v>
      </c>
      <c r="K119" s="392">
        <f t="shared" si="15"/>
        <v>17043</v>
      </c>
      <c r="L119" s="393">
        <f t="shared" si="15"/>
        <v>28405</v>
      </c>
      <c r="M119"/>
      <c r="N119"/>
      <c r="O119"/>
    </row>
    <row r="120" spans="1:15" ht="14.4">
      <c r="A120" s="39" t="str">
        <f>Current!V8</f>
        <v>Deep Space Robotic</v>
      </c>
      <c r="B120" s="383">
        <f>Current!W8</f>
        <v>1</v>
      </c>
      <c r="C120" s="384">
        <f t="shared" si="11"/>
        <v>1.5384615384615385E-2</v>
      </c>
      <c r="D120" s="385">
        <f t="shared" si="16"/>
        <v>0</v>
      </c>
      <c r="E120" s="385">
        <f t="shared" si="17"/>
        <v>1</v>
      </c>
      <c r="F120" s="385">
        <f t="shared" si="18"/>
        <v>1</v>
      </c>
      <c r="G120" s="389">
        <f t="shared" si="12"/>
        <v>0</v>
      </c>
      <c r="H120" s="389">
        <f t="shared" si="13"/>
        <v>572</v>
      </c>
      <c r="I120" s="389">
        <f t="shared" si="14"/>
        <v>572</v>
      </c>
      <c r="J120" s="392">
        <f t="shared" si="15"/>
        <v>0</v>
      </c>
      <c r="K120" s="392">
        <f t="shared" si="15"/>
        <v>29744</v>
      </c>
      <c r="L120" s="393">
        <f t="shared" si="15"/>
        <v>29744</v>
      </c>
      <c r="M120"/>
      <c r="N120"/>
      <c r="O120"/>
    </row>
    <row r="121" spans="1:15" ht="14.4">
      <c r="A121" s="39" t="str">
        <f>Current!V9</f>
        <v>Near Earth Robotic - Low Latency &amp; Complex Needs</v>
      </c>
      <c r="B121" s="383">
        <f>Current!W9</f>
        <v>2</v>
      </c>
      <c r="C121" s="384">
        <f t="shared" si="11"/>
        <v>3.0769230769230771E-2</v>
      </c>
      <c r="D121" s="385">
        <f t="shared" si="16"/>
        <v>1</v>
      </c>
      <c r="E121" s="385">
        <f t="shared" si="17"/>
        <v>2</v>
      </c>
      <c r="F121" s="385">
        <f t="shared" si="18"/>
        <v>3</v>
      </c>
      <c r="G121" s="389">
        <f t="shared" si="12"/>
        <v>4094</v>
      </c>
      <c r="H121" s="389">
        <f t="shared" si="13"/>
        <v>8188</v>
      </c>
      <c r="I121" s="389">
        <f t="shared" si="14"/>
        <v>12282</v>
      </c>
      <c r="J121" s="392">
        <f t="shared" si="15"/>
        <v>212888</v>
      </c>
      <c r="K121" s="392">
        <f t="shared" si="15"/>
        <v>425776</v>
      </c>
      <c r="L121" s="393">
        <f t="shared" si="15"/>
        <v>638664</v>
      </c>
      <c r="M121"/>
      <c r="N121"/>
      <c r="O121"/>
    </row>
    <row r="122" spans="1:15" ht="14.4">
      <c r="A122" s="39" t="str">
        <f>Current!V10</f>
        <v>Mission Operations</v>
      </c>
      <c r="B122" s="383">
        <f>Current!W10</f>
        <v>0</v>
      </c>
      <c r="C122" s="384">
        <f t="shared" si="11"/>
        <v>0</v>
      </c>
      <c r="D122" s="385">
        <f t="shared" si="16"/>
        <v>0</v>
      </c>
      <c r="E122" s="385">
        <f t="shared" si="17"/>
        <v>0</v>
      </c>
      <c r="F122" s="385">
        <f t="shared" si="18"/>
        <v>0</v>
      </c>
      <c r="G122" s="389" t="str">
        <f t="shared" si="12"/>
        <v>-</v>
      </c>
      <c r="H122" s="389" t="str">
        <f t="shared" si="13"/>
        <v>-</v>
      </c>
      <c r="I122" s="389" t="str">
        <f t="shared" si="14"/>
        <v>-</v>
      </c>
      <c r="J122" s="392" t="str">
        <f t="shared" si="15"/>
        <v>-</v>
      </c>
      <c r="K122" s="392" t="str">
        <f t="shared" si="15"/>
        <v>-</v>
      </c>
      <c r="L122" s="393" t="str">
        <f t="shared" si="15"/>
        <v>-</v>
      </c>
      <c r="M122"/>
      <c r="N122"/>
      <c r="O122"/>
    </row>
    <row r="123" spans="1:15" ht="14.4">
      <c r="A123" s="39" t="str">
        <f>Current!V12</f>
        <v>Terrestrial &amp; Aerial</v>
      </c>
      <c r="B123" s="383">
        <f>Current!W12</f>
        <v>15</v>
      </c>
      <c r="C123" s="384">
        <f t="shared" si="11"/>
        <v>0.23076923076923078</v>
      </c>
      <c r="D123" s="385">
        <f t="shared" si="16"/>
        <v>5</v>
      </c>
      <c r="E123" s="385">
        <f t="shared" si="17"/>
        <v>11</v>
      </c>
      <c r="F123" s="385">
        <f t="shared" si="18"/>
        <v>20</v>
      </c>
      <c r="G123" s="389">
        <f t="shared" si="12"/>
        <v>86717.666666666657</v>
      </c>
      <c r="H123" s="389">
        <f t="shared" si="13"/>
        <v>190778.86666666667</v>
      </c>
      <c r="I123" s="389">
        <f t="shared" si="14"/>
        <v>346870.66666666663</v>
      </c>
      <c r="J123" s="392">
        <f t="shared" si="15"/>
        <v>4509318.666666666</v>
      </c>
      <c r="K123" s="392">
        <f t="shared" si="15"/>
        <v>9920501.0666666664</v>
      </c>
      <c r="L123" s="393">
        <f t="shared" si="15"/>
        <v>18037274.666666664</v>
      </c>
      <c r="M123"/>
      <c r="N123"/>
      <c r="O123"/>
    </row>
    <row r="124" spans="1:15" ht="15.6" thickBot="1">
      <c r="A124" s="38" t="s">
        <v>223</v>
      </c>
      <c r="B124" s="386">
        <f>SUM(B117:B122,B123)</f>
        <v>65</v>
      </c>
      <c r="C124" s="387">
        <f t="shared" ref="C124:I124" si="19">SUM(C117:C123)</f>
        <v>1</v>
      </c>
      <c r="D124" s="388">
        <f t="shared" si="19"/>
        <v>22</v>
      </c>
      <c r="E124" s="388">
        <f t="shared" si="19"/>
        <v>50</v>
      </c>
      <c r="F124" s="388">
        <f>SUM(F117:F123)</f>
        <v>85</v>
      </c>
      <c r="G124" s="388">
        <f t="shared" si="19"/>
        <v>2498438.7738095238</v>
      </c>
      <c r="H124" s="388">
        <f t="shared" si="19"/>
        <v>5496405.9023809517</v>
      </c>
      <c r="I124" s="388">
        <f t="shared" si="19"/>
        <v>9330795.2023809515</v>
      </c>
      <c r="J124" s="394">
        <f t="shared" ref="J124:L124" si="20">SUM(J117:J123)</f>
        <v>129918816.23809524</v>
      </c>
      <c r="K124" s="394">
        <f t="shared" si="20"/>
        <v>285813106.92380953</v>
      </c>
      <c r="L124" s="395">
        <f t="shared" si="20"/>
        <v>485201350.52380949</v>
      </c>
      <c r="M124"/>
      <c r="N124"/>
      <c r="O124"/>
    </row>
    <row r="125" spans="1:15">
      <c r="J125" s="46"/>
    </row>
    <row r="126" spans="1:15" ht="16.2" thickBot="1">
      <c r="A126" s="49" t="s">
        <v>230</v>
      </c>
    </row>
    <row r="127" spans="1:15" ht="14.4">
      <c r="A127" s="429" t="s">
        <v>59</v>
      </c>
      <c r="B127" s="441" t="s">
        <v>378</v>
      </c>
      <c r="C127" s="441" t="s">
        <v>454</v>
      </c>
      <c r="D127" s="468" t="s">
        <v>453</v>
      </c>
      <c r="E127" s="469"/>
      <c r="F127" s="470"/>
      <c r="G127" s="478" t="s">
        <v>225</v>
      </c>
      <c r="H127" s="478"/>
      <c r="I127" s="478"/>
      <c r="J127" s="478" t="s">
        <v>227</v>
      </c>
      <c r="K127" s="478"/>
      <c r="L127" s="479"/>
      <c r="M127"/>
      <c r="N127"/>
      <c r="O127"/>
    </row>
    <row r="128" spans="1:15" ht="15" customHeight="1">
      <c r="A128" s="430"/>
      <c r="B128" s="442"/>
      <c r="C128" s="442"/>
      <c r="D128" s="225" t="s">
        <v>7</v>
      </c>
      <c r="E128" s="225" t="s">
        <v>55</v>
      </c>
      <c r="F128" s="225" t="s">
        <v>6</v>
      </c>
      <c r="G128" s="225" t="s">
        <v>7</v>
      </c>
      <c r="H128" s="225" t="s">
        <v>55</v>
      </c>
      <c r="I128" s="225" t="s">
        <v>6</v>
      </c>
      <c r="J128" s="225" t="s">
        <v>7</v>
      </c>
      <c r="K128" s="225" t="s">
        <v>55</v>
      </c>
      <c r="L128" s="47" t="s">
        <v>6</v>
      </c>
      <c r="M128"/>
      <c r="N128"/>
      <c r="O128"/>
    </row>
    <row r="129" spans="1:15" ht="14.4">
      <c r="A129" s="39" t="s">
        <v>220</v>
      </c>
      <c r="B129" s="383">
        <f>Current!J11</f>
        <v>0</v>
      </c>
      <c r="C129" s="384">
        <f>B129/$B$131</f>
        <v>0</v>
      </c>
      <c r="D129" s="360">
        <f>ROUND($B129*(1+($B$14-$B$131)/$B$131),0)</f>
        <v>0</v>
      </c>
      <c r="E129" s="360">
        <f>ROUND($B129*(1+($C$14-$B$131)/$B$131),0)</f>
        <v>0</v>
      </c>
      <c r="F129" s="360">
        <f>ROUND($B129*(1+($D$14-$B$131)/$B$131),0)</f>
        <v>0</v>
      </c>
      <c r="G129" s="389">
        <f>IFERROR(D129*Current!$L$17,"-")</f>
        <v>0</v>
      </c>
      <c r="H129" s="389">
        <f>IFERROR(E129*Current!$L$17,"-")</f>
        <v>0</v>
      </c>
      <c r="I129" s="389">
        <f>IFERROR(F129*Current!$L$17,"-")</f>
        <v>0</v>
      </c>
      <c r="J129" s="392">
        <f t="shared" ref="J129:L130" si="21">IFERROR(G129*$B$72,"-")</f>
        <v>0</v>
      </c>
      <c r="K129" s="392">
        <f t="shared" si="21"/>
        <v>0</v>
      </c>
      <c r="L129" s="393">
        <f t="shared" si="21"/>
        <v>0</v>
      </c>
      <c r="M129"/>
      <c r="N129"/>
      <c r="O129"/>
    </row>
    <row r="130" spans="1:15" ht="14.4">
      <c r="A130" s="39" t="s">
        <v>221</v>
      </c>
      <c r="B130" s="360">
        <f>Current!W11</f>
        <v>2</v>
      </c>
      <c r="C130" s="384">
        <f>B130/$B$131</f>
        <v>1</v>
      </c>
      <c r="D130" s="360">
        <f>ROUND($B130*(1+($B$14-$B$131)/$B$131),0)</f>
        <v>20</v>
      </c>
      <c r="E130" s="360">
        <f>ROUND($B130*(1+($C$14-$B$131)/$B$131),0)</f>
        <v>30</v>
      </c>
      <c r="F130" s="360">
        <f>ROUND($B130*(1+($D$14-$B$131)/$B$131),0)</f>
        <v>40</v>
      </c>
      <c r="G130" s="389">
        <f>IFERROR(D130*Current!$Y$17,"-")</f>
        <v>105541.59843638947</v>
      </c>
      <c r="H130" s="389">
        <f>IFERROR(E130*Current!$Y$17,"-")</f>
        <v>158312.3976545842</v>
      </c>
      <c r="I130" s="389">
        <f>IFERROR(F130*Current!$Y$17,"-")</f>
        <v>211083.19687277894</v>
      </c>
      <c r="J130" s="392">
        <f t="shared" si="21"/>
        <v>5488163.1186922528</v>
      </c>
      <c r="K130" s="392">
        <f t="shared" si="21"/>
        <v>8232244.6780383782</v>
      </c>
      <c r="L130" s="393">
        <f t="shared" si="21"/>
        <v>10976326.237384506</v>
      </c>
      <c r="M130"/>
      <c r="N130"/>
      <c r="O130"/>
    </row>
    <row r="131" spans="1:15" ht="14.4" customHeight="1" thickBot="1">
      <c r="A131" s="38" t="s">
        <v>61</v>
      </c>
      <c r="B131" s="386">
        <f t="shared" ref="B131:L131" si="22">SUM(B129:B130)</f>
        <v>2</v>
      </c>
      <c r="C131" s="388">
        <f t="shared" si="22"/>
        <v>1</v>
      </c>
      <c r="D131" s="361">
        <f t="shared" si="22"/>
        <v>20</v>
      </c>
      <c r="E131" s="361">
        <f t="shared" si="22"/>
        <v>30</v>
      </c>
      <c r="F131" s="361">
        <f t="shared" si="22"/>
        <v>40</v>
      </c>
      <c r="G131" s="361">
        <f t="shared" si="22"/>
        <v>105541.59843638947</v>
      </c>
      <c r="H131" s="361">
        <f t="shared" si="22"/>
        <v>158312.3976545842</v>
      </c>
      <c r="I131" s="361">
        <f t="shared" si="22"/>
        <v>211083.19687277894</v>
      </c>
      <c r="J131" s="396">
        <f t="shared" si="22"/>
        <v>5488163.1186922528</v>
      </c>
      <c r="K131" s="396">
        <f t="shared" si="22"/>
        <v>8232244.6780383782</v>
      </c>
      <c r="L131" s="397">
        <f t="shared" si="22"/>
        <v>10976326.237384506</v>
      </c>
      <c r="M131"/>
      <c r="N131"/>
      <c r="O131"/>
    </row>
    <row r="132" spans="1:15">
      <c r="A132" s="45"/>
      <c r="B132" s="42"/>
      <c r="C132" s="43"/>
      <c r="D132" s="44"/>
      <c r="E132" s="44"/>
      <c r="F132" s="44"/>
    </row>
    <row r="133" spans="1:15">
      <c r="A133" s="45"/>
      <c r="B133" s="42"/>
      <c r="C133" s="43"/>
      <c r="D133" s="44"/>
      <c r="E133" s="44"/>
      <c r="F133" s="44"/>
    </row>
    <row r="134" spans="1:15" s="48" customFormat="1"/>
    <row r="136" spans="1:15" ht="14.4" thickBot="1">
      <c r="A136" s="34" t="s">
        <v>231</v>
      </c>
    </row>
    <row r="137" spans="1:15" ht="14.4">
      <c r="A137" s="429" t="s">
        <v>59</v>
      </c>
      <c r="B137" s="441" t="s">
        <v>378</v>
      </c>
      <c r="C137" s="441" t="s">
        <v>454</v>
      </c>
      <c r="D137" s="468" t="s">
        <v>453</v>
      </c>
      <c r="E137" s="469"/>
      <c r="F137" s="470"/>
      <c r="G137" s="478" t="s">
        <v>225</v>
      </c>
      <c r="H137" s="478"/>
      <c r="I137" s="478"/>
      <c r="J137" s="478" t="s">
        <v>227</v>
      </c>
      <c r="K137" s="478"/>
      <c r="L137" s="479"/>
      <c r="M137"/>
      <c r="N137"/>
      <c r="O137"/>
    </row>
    <row r="138" spans="1:15" ht="14.4">
      <c r="A138" s="430"/>
      <c r="B138" s="442"/>
      <c r="C138" s="442"/>
      <c r="D138" s="225" t="s">
        <v>7</v>
      </c>
      <c r="E138" s="225" t="s">
        <v>55</v>
      </c>
      <c r="F138" s="225" t="s">
        <v>6</v>
      </c>
      <c r="G138" s="225" t="s">
        <v>7</v>
      </c>
      <c r="H138" s="225" t="s">
        <v>55</v>
      </c>
      <c r="I138" s="225" t="s">
        <v>6</v>
      </c>
      <c r="J138" s="225" t="s">
        <v>7</v>
      </c>
      <c r="K138" s="225" t="s">
        <v>55</v>
      </c>
      <c r="L138" s="47" t="s">
        <v>6</v>
      </c>
      <c r="M138"/>
      <c r="N138"/>
      <c r="O138"/>
    </row>
    <row r="139" spans="1:15" ht="14.4">
      <c r="A139" s="39" t="str">
        <f>Current!I5</f>
        <v>Human Space Flight</v>
      </c>
      <c r="B139" s="360">
        <f>Current!J5</f>
        <v>4</v>
      </c>
      <c r="C139" s="384">
        <f t="shared" ref="C139:C145" si="23">B139/$B$146</f>
        <v>0.08</v>
      </c>
      <c r="D139" s="385">
        <f>ROUND($B139*(1+($G$12-$B$146)/$B$146),0)</f>
        <v>2</v>
      </c>
      <c r="E139" s="385">
        <f>ROUND($B139*(1+($H$12-$B$146)/$B$146),0)</f>
        <v>3</v>
      </c>
      <c r="F139" s="385">
        <f>ROUND($B139*(1+($I$12-$B$146)/$B$146),0)</f>
        <v>6</v>
      </c>
      <c r="G139" s="389">
        <f>IFERROR(IF(C30="Yes",D139*D44,"-"),"-")</f>
        <v>231720.41666666666</v>
      </c>
      <c r="H139" s="389">
        <f>IFERROR(IF(C30="Yes",E139*D44,"-"),"-")</f>
        <v>347580.625</v>
      </c>
      <c r="I139" s="389">
        <f>IFERROR(IF(C30="Yes",F139*D44,"-"),"-")</f>
        <v>695161.25</v>
      </c>
      <c r="J139" s="392">
        <f>IFERROR(G139*$B$71,"-")</f>
        <v>4402687.916666666</v>
      </c>
      <c r="K139" s="392">
        <f t="shared" ref="K139:L139" si="24">IFERROR(H139*$B$71,"-")</f>
        <v>6604031.875</v>
      </c>
      <c r="L139" s="392">
        <f t="shared" si="24"/>
        <v>13208063.75</v>
      </c>
      <c r="M139"/>
      <c r="N139"/>
      <c r="O139"/>
    </row>
    <row r="140" spans="1:15" ht="14.4">
      <c r="A140" s="39" t="str">
        <f>Current!I6</f>
        <v>Near Earth Robotic - LEO Science</v>
      </c>
      <c r="B140" s="360">
        <f>Current!J6</f>
        <v>34</v>
      </c>
      <c r="C140" s="384">
        <f t="shared" si="23"/>
        <v>0.68</v>
      </c>
      <c r="D140" s="385">
        <f t="shared" ref="D140:D145" si="25">ROUND($B140*(1+($G$12-$B$146)/$B$146),0)</f>
        <v>16</v>
      </c>
      <c r="E140" s="385">
        <f t="shared" ref="E140:E145" si="26">ROUND($B140*(1+($H$12-$B$146)/$B$146),0)</f>
        <v>27</v>
      </c>
      <c r="F140" s="385">
        <f t="shared" ref="F140:F145" si="27">ROUND($B140*(1+($I$12-$B$146)/$B$146),0)</f>
        <v>52</v>
      </c>
      <c r="G140" s="389">
        <f t="shared" ref="G140:G145" si="28">IFERROR(IF(C31="Yes",D140*D45,"-"),"-")</f>
        <v>310314.90980392159</v>
      </c>
      <c r="H140" s="389">
        <f t="shared" ref="H140:H145" si="29">IFERROR(IF(C31="Yes",E140*D45,"-"),"-")</f>
        <v>523656.4102941177</v>
      </c>
      <c r="I140" s="389">
        <f t="shared" ref="I140:I145" si="30">IFERROR(IF(C31="Yes",F140*D45,"-"),"-")</f>
        <v>1008523.4568627451</v>
      </c>
      <c r="J140" s="392">
        <f t="shared" ref="J140:J145" si="31">IFERROR(G140*$B$71,"-")</f>
        <v>5895983.2862745104</v>
      </c>
      <c r="K140" s="392">
        <f t="shared" ref="K140:K145" si="32">IFERROR(H140*$B$71,"-")</f>
        <v>9949471.7955882363</v>
      </c>
      <c r="L140" s="392">
        <f t="shared" ref="L140:L145" si="33">IFERROR(I140*$B$71,"-")</f>
        <v>19161945.680392157</v>
      </c>
      <c r="M140"/>
      <c r="N140"/>
      <c r="O140"/>
    </row>
    <row r="141" spans="1:15" ht="14.4">
      <c r="A141" s="39" t="str">
        <f>Current!I7</f>
        <v>Near Earth Robotic - GEO and Near Earth</v>
      </c>
      <c r="B141" s="360">
        <f>Current!J7</f>
        <v>11</v>
      </c>
      <c r="C141" s="384">
        <f t="shared" si="23"/>
        <v>0.22</v>
      </c>
      <c r="D141" s="385">
        <f t="shared" si="25"/>
        <v>5</v>
      </c>
      <c r="E141" s="385">
        <f t="shared" si="26"/>
        <v>9</v>
      </c>
      <c r="F141" s="385">
        <f t="shared" si="27"/>
        <v>17</v>
      </c>
      <c r="G141" s="389">
        <f t="shared" si="28"/>
        <v>154326.73484848486</v>
      </c>
      <c r="H141" s="389">
        <f t="shared" si="29"/>
        <v>277788.12272727274</v>
      </c>
      <c r="I141" s="389">
        <f t="shared" si="30"/>
        <v>524710.89848484844</v>
      </c>
      <c r="J141" s="392">
        <f t="shared" si="31"/>
        <v>2932207.9621212124</v>
      </c>
      <c r="K141" s="392">
        <f t="shared" si="32"/>
        <v>5277974.331818182</v>
      </c>
      <c r="L141" s="392">
        <f t="shared" si="33"/>
        <v>9969507.0712121204</v>
      </c>
      <c r="M141"/>
      <c r="N141"/>
      <c r="O141"/>
    </row>
    <row r="142" spans="1:15" ht="14.4" customHeight="1">
      <c r="A142" s="39" t="str">
        <f>Current!I8</f>
        <v>Deep Space Robotic</v>
      </c>
      <c r="B142" s="360">
        <f>Current!J8</f>
        <v>0</v>
      </c>
      <c r="C142" s="384">
        <f t="shared" si="23"/>
        <v>0</v>
      </c>
      <c r="D142" s="385">
        <f t="shared" si="25"/>
        <v>0</v>
      </c>
      <c r="E142" s="385">
        <f t="shared" si="26"/>
        <v>0</v>
      </c>
      <c r="F142" s="385">
        <f t="shared" si="27"/>
        <v>0</v>
      </c>
      <c r="G142" s="389" t="str">
        <f t="shared" si="28"/>
        <v>-</v>
      </c>
      <c r="H142" s="389" t="str">
        <f t="shared" si="29"/>
        <v>-</v>
      </c>
      <c r="I142" s="389" t="str">
        <f t="shared" si="30"/>
        <v>-</v>
      </c>
      <c r="J142" s="392" t="str">
        <f t="shared" si="31"/>
        <v>-</v>
      </c>
      <c r="K142" s="392" t="str">
        <f t="shared" si="32"/>
        <v>-</v>
      </c>
      <c r="L142" s="392" t="str">
        <f t="shared" si="33"/>
        <v>-</v>
      </c>
      <c r="M142"/>
      <c r="N142"/>
      <c r="O142"/>
    </row>
    <row r="143" spans="1:15" ht="14.4">
      <c r="A143" s="39" t="str">
        <f>Current!I9</f>
        <v>Near Earth Robotic - Low Latency &amp; Complex Needs</v>
      </c>
      <c r="B143" s="360">
        <f>Current!J9</f>
        <v>1</v>
      </c>
      <c r="C143" s="384">
        <f t="shared" si="23"/>
        <v>0.02</v>
      </c>
      <c r="D143" s="385">
        <f t="shared" si="25"/>
        <v>0</v>
      </c>
      <c r="E143" s="385">
        <f t="shared" si="26"/>
        <v>1</v>
      </c>
      <c r="F143" s="385">
        <f t="shared" si="27"/>
        <v>2</v>
      </c>
      <c r="G143" s="389">
        <f t="shared" si="28"/>
        <v>0</v>
      </c>
      <c r="H143" s="389">
        <f t="shared" si="29"/>
        <v>22562.250000000011</v>
      </c>
      <c r="I143" s="389">
        <f t="shared" si="30"/>
        <v>45124.500000000022</v>
      </c>
      <c r="J143" s="392">
        <f t="shared" si="31"/>
        <v>0</v>
      </c>
      <c r="K143" s="392">
        <f t="shared" si="32"/>
        <v>428682.75000000023</v>
      </c>
      <c r="L143" s="392">
        <f t="shared" si="33"/>
        <v>857365.50000000047</v>
      </c>
      <c r="M143"/>
      <c r="N143" s="37"/>
      <c r="O143"/>
    </row>
    <row r="144" spans="1:15" ht="14.4">
      <c r="A144" s="39" t="str">
        <f>Current!I10</f>
        <v>Mission Operations</v>
      </c>
      <c r="B144" s="360">
        <f>Current!J10</f>
        <v>0</v>
      </c>
      <c r="C144" s="384">
        <f t="shared" si="23"/>
        <v>0</v>
      </c>
      <c r="D144" s="385">
        <f t="shared" si="25"/>
        <v>0</v>
      </c>
      <c r="E144" s="385">
        <f t="shared" si="26"/>
        <v>0</v>
      </c>
      <c r="F144" s="385">
        <f t="shared" si="27"/>
        <v>0</v>
      </c>
      <c r="G144" s="389" t="str">
        <f t="shared" si="28"/>
        <v>-</v>
      </c>
      <c r="H144" s="389" t="str">
        <f t="shared" si="29"/>
        <v>-</v>
      </c>
      <c r="I144" s="389" t="str">
        <f t="shared" si="30"/>
        <v>-</v>
      </c>
      <c r="J144" s="392" t="str">
        <f t="shared" si="31"/>
        <v>-</v>
      </c>
      <c r="K144" s="392" t="str">
        <f t="shared" si="32"/>
        <v>-</v>
      </c>
      <c r="L144" s="392" t="str">
        <f t="shared" si="33"/>
        <v>-</v>
      </c>
      <c r="M144"/>
      <c r="N144"/>
      <c r="O144"/>
    </row>
    <row r="145" spans="1:18" ht="14.4">
      <c r="A145" s="39" t="str">
        <f>Current!I12</f>
        <v>Terrestrial &amp; Aerial</v>
      </c>
      <c r="B145" s="360">
        <f>Current!J12</f>
        <v>0</v>
      </c>
      <c r="C145" s="384">
        <f t="shared" si="23"/>
        <v>0</v>
      </c>
      <c r="D145" s="385">
        <f t="shared" si="25"/>
        <v>0</v>
      </c>
      <c r="E145" s="385">
        <f t="shared" si="26"/>
        <v>0</v>
      </c>
      <c r="F145" s="385">
        <f t="shared" si="27"/>
        <v>0</v>
      </c>
      <c r="G145" s="389" t="str">
        <f t="shared" si="28"/>
        <v>-</v>
      </c>
      <c r="H145" s="389" t="str">
        <f t="shared" si="29"/>
        <v>-</v>
      </c>
      <c r="I145" s="389" t="str">
        <f t="shared" si="30"/>
        <v>-</v>
      </c>
      <c r="J145" s="392" t="str">
        <f t="shared" si="31"/>
        <v>-</v>
      </c>
      <c r="K145" s="392" t="str">
        <f t="shared" si="32"/>
        <v>-</v>
      </c>
      <c r="L145" s="392" t="str">
        <f t="shared" si="33"/>
        <v>-</v>
      </c>
      <c r="M145"/>
      <c r="N145"/>
      <c r="O145"/>
    </row>
    <row r="146" spans="1:18" ht="15.6" thickBot="1">
      <c r="A146" s="233" t="s">
        <v>219</v>
      </c>
      <c r="B146" s="386">
        <f>SUM(B139:B144,B145)</f>
        <v>50</v>
      </c>
      <c r="C146" s="387">
        <f t="shared" ref="C146:L146" si="34">SUM(C139:C145)</f>
        <v>1</v>
      </c>
      <c r="D146" s="388">
        <f t="shared" si="34"/>
        <v>23</v>
      </c>
      <c r="E146" s="388">
        <f t="shared" si="34"/>
        <v>40</v>
      </c>
      <c r="F146" s="388">
        <f t="shared" si="34"/>
        <v>77</v>
      </c>
      <c r="G146" s="388">
        <f t="shared" si="34"/>
        <v>696362.06131907308</v>
      </c>
      <c r="H146" s="388">
        <f t="shared" si="34"/>
        <v>1171587.4080213904</v>
      </c>
      <c r="I146" s="388">
        <f t="shared" si="34"/>
        <v>2273520.1053475933</v>
      </c>
      <c r="J146" s="394">
        <f t="shared" si="34"/>
        <v>13230879.165062388</v>
      </c>
      <c r="K146" s="394">
        <f t="shared" si="34"/>
        <v>22260160.752406418</v>
      </c>
      <c r="L146" s="395">
        <f t="shared" si="34"/>
        <v>43196882.001604274</v>
      </c>
      <c r="M146"/>
      <c r="N146"/>
      <c r="O146"/>
    </row>
    <row r="147" spans="1:18" ht="14.4">
      <c r="M147"/>
      <c r="N147"/>
      <c r="O147"/>
    </row>
    <row r="148" spans="1:18" ht="15" thickBot="1">
      <c r="A148" s="34" t="s">
        <v>232</v>
      </c>
      <c r="M148"/>
      <c r="N148"/>
      <c r="O148"/>
    </row>
    <row r="149" spans="1:18" ht="14.4">
      <c r="A149" s="429" t="s">
        <v>59</v>
      </c>
      <c r="B149" s="441" t="s">
        <v>378</v>
      </c>
      <c r="C149" s="441" t="s">
        <v>454</v>
      </c>
      <c r="D149" s="468" t="s">
        <v>453</v>
      </c>
      <c r="E149" s="469"/>
      <c r="F149" s="470"/>
      <c r="G149" s="478" t="s">
        <v>225</v>
      </c>
      <c r="H149" s="478"/>
      <c r="I149" s="478"/>
      <c r="J149" s="478" t="s">
        <v>227</v>
      </c>
      <c r="K149" s="478"/>
      <c r="L149" s="479"/>
      <c r="M149"/>
      <c r="N149"/>
      <c r="O149"/>
    </row>
    <row r="150" spans="1:18" ht="14.4">
      <c r="A150" s="430"/>
      <c r="B150" s="442"/>
      <c r="C150" s="442"/>
      <c r="D150" s="344" t="s">
        <v>7</v>
      </c>
      <c r="E150" s="344" t="s">
        <v>55</v>
      </c>
      <c r="F150" s="344" t="s">
        <v>6</v>
      </c>
      <c r="G150" s="344" t="s">
        <v>7</v>
      </c>
      <c r="H150" s="344" t="s">
        <v>55</v>
      </c>
      <c r="I150" s="344" t="s">
        <v>6</v>
      </c>
      <c r="J150" s="344" t="s">
        <v>7</v>
      </c>
      <c r="K150" s="344" t="s">
        <v>55</v>
      </c>
      <c r="L150" s="47" t="s">
        <v>6</v>
      </c>
      <c r="M150"/>
      <c r="N150"/>
      <c r="O150"/>
    </row>
    <row r="151" spans="1:18" ht="14.4">
      <c r="A151" s="39" t="str">
        <f>Current!I5</f>
        <v>Human Space Flight</v>
      </c>
      <c r="B151" s="383">
        <f>Current!W5</f>
        <v>14</v>
      </c>
      <c r="C151" s="384">
        <f t="shared" ref="C151:C157" si="35">B151/$B$124</f>
        <v>0.2153846153846154</v>
      </c>
      <c r="D151" s="385">
        <f>ROUND($B151*(1+($G$13-$B$158)/$B$158),0)</f>
        <v>3</v>
      </c>
      <c r="E151" s="385">
        <f>ROUND($B151*(1+($H$13-$B$158)/$B$158),0)</f>
        <v>9</v>
      </c>
      <c r="F151" s="385">
        <f>ROUND($B151*(1+($I$13-$B$158)/$B$158),0)</f>
        <v>16</v>
      </c>
      <c r="G151" s="389">
        <f>IFERROR(IF(C30="Yes",D151*I44,"-"),"-")</f>
        <v>534130.71428571432</v>
      </c>
      <c r="H151" s="389">
        <f>IFERROR(IF(C30="Yes",E151*I44,"-"),"-")</f>
        <v>1602392.1428571427</v>
      </c>
      <c r="I151" s="389">
        <f>IFERROR(IF(C30="Yes",F151*I44,"-"),"-")</f>
        <v>2848697.1428571427</v>
      </c>
      <c r="J151" s="392">
        <f>IFERROR(G151*$B$72,"-")</f>
        <v>27774797.142857146</v>
      </c>
      <c r="K151" s="392">
        <f t="shared" ref="K151:L151" si="36">IFERROR(H151*$B$72,"-")</f>
        <v>83324391.428571418</v>
      </c>
      <c r="L151" s="392">
        <f t="shared" si="36"/>
        <v>148132251.42857143</v>
      </c>
      <c r="M151"/>
      <c r="N151"/>
      <c r="O151"/>
    </row>
    <row r="152" spans="1:18" ht="14.4">
      <c r="A152" s="39" t="str">
        <f>Current!I6</f>
        <v>Near Earth Robotic - LEO Science</v>
      </c>
      <c r="B152" s="383">
        <f>Current!W6</f>
        <v>29</v>
      </c>
      <c r="C152" s="384">
        <f t="shared" si="35"/>
        <v>0.44615384615384618</v>
      </c>
      <c r="D152" s="385">
        <f t="shared" ref="D152:D157" si="37">ROUND($B152*(1+($G$13-$B$158)/$B$158),0)</f>
        <v>7</v>
      </c>
      <c r="E152" s="385">
        <f t="shared" ref="E152:E157" si="38">ROUND($B152*(1+($H$13-$B$158)/$B$158),0)</f>
        <v>18</v>
      </c>
      <c r="F152" s="385">
        <f t="shared" ref="F152:F157" si="39">ROUND($B152*(1+($I$13-$B$158)/$B$158),0)</f>
        <v>34</v>
      </c>
      <c r="G152" s="389">
        <f t="shared" ref="G152:G157" si="40">IFERROR(IF(C31="Yes",D152*I45,"-"),"-")</f>
        <v>1062110</v>
      </c>
      <c r="H152" s="389">
        <f t="shared" ref="H152:H157" si="41">IFERROR(IF(C31="Yes",E152*I45,"-"),"-")</f>
        <v>2731140</v>
      </c>
      <c r="I152" s="389">
        <f t="shared" ref="I152:I157" si="42">IFERROR(IF(C31="Yes",F152*I45,"-"),"-")</f>
        <v>5158820</v>
      </c>
      <c r="J152" s="392">
        <f t="shared" ref="J152:J157" si="43">IFERROR(G152*$B$72,"-")</f>
        <v>55229720</v>
      </c>
      <c r="K152" s="392">
        <f t="shared" ref="K152:K157" si="44">IFERROR(H152*$B$72,"-")</f>
        <v>142019280</v>
      </c>
      <c r="L152" s="392">
        <f t="shared" ref="L152:L157" si="45">IFERROR(I152*$B$72,"-")</f>
        <v>268258640</v>
      </c>
      <c r="M152"/>
      <c r="N152"/>
      <c r="O152"/>
    </row>
    <row r="153" spans="1:18" ht="14.4">
      <c r="A153" s="39" t="str">
        <f>Current!I7</f>
        <v>Near Earth Robotic - GEO and Near Earth</v>
      </c>
      <c r="B153" s="383">
        <f>Current!W7</f>
        <v>4</v>
      </c>
      <c r="C153" s="384">
        <f t="shared" si="35"/>
        <v>6.1538461538461542E-2</v>
      </c>
      <c r="D153" s="385">
        <f t="shared" si="37"/>
        <v>1</v>
      </c>
      <c r="E153" s="385">
        <f t="shared" si="38"/>
        <v>2</v>
      </c>
      <c r="F153" s="385">
        <f t="shared" si="39"/>
        <v>5</v>
      </c>
      <c r="G153" s="389">
        <f t="shared" si="40"/>
        <v>109.25</v>
      </c>
      <c r="H153" s="389">
        <f t="shared" si="41"/>
        <v>218.5</v>
      </c>
      <c r="I153" s="389">
        <f t="shared" si="42"/>
        <v>546.25</v>
      </c>
      <c r="J153" s="392">
        <f t="shared" si="43"/>
        <v>5681</v>
      </c>
      <c r="K153" s="392">
        <f t="shared" si="44"/>
        <v>11362</v>
      </c>
      <c r="L153" s="392">
        <f t="shared" si="45"/>
        <v>28405</v>
      </c>
      <c r="M153"/>
      <c r="N153"/>
      <c r="O153"/>
    </row>
    <row r="154" spans="1:18" ht="14.4">
      <c r="A154" s="39" t="str">
        <f>Current!I8</f>
        <v>Deep Space Robotic</v>
      </c>
      <c r="B154" s="383">
        <f>Current!W8</f>
        <v>1</v>
      </c>
      <c r="C154" s="384">
        <f t="shared" si="35"/>
        <v>1.5384615384615385E-2</v>
      </c>
      <c r="D154" s="385">
        <f t="shared" si="37"/>
        <v>0</v>
      </c>
      <c r="E154" s="385">
        <f t="shared" si="38"/>
        <v>1</v>
      </c>
      <c r="F154" s="385">
        <f t="shared" si="39"/>
        <v>1</v>
      </c>
      <c r="G154" s="389">
        <f t="shared" si="40"/>
        <v>0</v>
      </c>
      <c r="H154" s="389">
        <f t="shared" si="41"/>
        <v>572</v>
      </c>
      <c r="I154" s="389">
        <f t="shared" si="42"/>
        <v>572</v>
      </c>
      <c r="J154" s="392">
        <f t="shared" si="43"/>
        <v>0</v>
      </c>
      <c r="K154" s="392">
        <f t="shared" si="44"/>
        <v>29744</v>
      </c>
      <c r="L154" s="392">
        <f t="shared" si="45"/>
        <v>29744</v>
      </c>
      <c r="M154"/>
      <c r="N154"/>
      <c r="O154"/>
    </row>
    <row r="155" spans="1:18" ht="14.4">
      <c r="A155" s="39" t="str">
        <f>Current!I9</f>
        <v>Near Earth Robotic - Low Latency &amp; Complex Needs</v>
      </c>
      <c r="B155" s="383">
        <f>Current!W9</f>
        <v>2</v>
      </c>
      <c r="C155" s="384">
        <f t="shared" si="35"/>
        <v>3.0769230769230771E-2</v>
      </c>
      <c r="D155" s="385">
        <f t="shared" si="37"/>
        <v>0</v>
      </c>
      <c r="E155" s="385">
        <f t="shared" si="38"/>
        <v>1</v>
      </c>
      <c r="F155" s="385">
        <f t="shared" si="39"/>
        <v>2</v>
      </c>
      <c r="G155" s="389">
        <f t="shared" si="40"/>
        <v>0</v>
      </c>
      <c r="H155" s="389">
        <f t="shared" si="41"/>
        <v>4094</v>
      </c>
      <c r="I155" s="389">
        <f t="shared" si="42"/>
        <v>8188</v>
      </c>
      <c r="J155" s="392">
        <f t="shared" si="43"/>
        <v>0</v>
      </c>
      <c r="K155" s="392">
        <f t="shared" si="44"/>
        <v>212888</v>
      </c>
      <c r="L155" s="392">
        <f t="shared" si="45"/>
        <v>425776</v>
      </c>
      <c r="M155"/>
      <c r="N155"/>
      <c r="O155"/>
    </row>
    <row r="156" spans="1:18" ht="14.4">
      <c r="A156" s="39" t="str">
        <f>Current!I10</f>
        <v>Mission Operations</v>
      </c>
      <c r="B156" s="383">
        <f>Current!W10</f>
        <v>0</v>
      </c>
      <c r="C156" s="384">
        <f t="shared" si="35"/>
        <v>0</v>
      </c>
      <c r="D156" s="385">
        <f t="shared" si="37"/>
        <v>0</v>
      </c>
      <c r="E156" s="385">
        <f t="shared" si="38"/>
        <v>0</v>
      </c>
      <c r="F156" s="385">
        <f t="shared" si="39"/>
        <v>0</v>
      </c>
      <c r="G156" s="389" t="str">
        <f t="shared" si="40"/>
        <v>-</v>
      </c>
      <c r="H156" s="389" t="str">
        <f t="shared" si="41"/>
        <v>-</v>
      </c>
      <c r="I156" s="389" t="str">
        <f t="shared" si="42"/>
        <v>-</v>
      </c>
      <c r="J156" s="392" t="str">
        <f t="shared" si="43"/>
        <v>-</v>
      </c>
      <c r="K156" s="392" t="str">
        <f t="shared" si="44"/>
        <v>-</v>
      </c>
      <c r="L156" s="392" t="str">
        <f t="shared" si="45"/>
        <v>-</v>
      </c>
      <c r="M156"/>
      <c r="N156"/>
      <c r="O156"/>
    </row>
    <row r="157" spans="1:18" ht="14.4">
      <c r="A157" s="39" t="str">
        <f>Current!I12</f>
        <v>Terrestrial &amp; Aerial</v>
      </c>
      <c r="B157" s="383">
        <f>Current!W12</f>
        <v>15</v>
      </c>
      <c r="C157" s="384">
        <f t="shared" si="35"/>
        <v>0.23076923076923078</v>
      </c>
      <c r="D157" s="385">
        <f t="shared" si="37"/>
        <v>4</v>
      </c>
      <c r="E157" s="385">
        <f t="shared" si="38"/>
        <v>9</v>
      </c>
      <c r="F157" s="385">
        <f t="shared" si="39"/>
        <v>18</v>
      </c>
      <c r="G157" s="389">
        <f t="shared" si="40"/>
        <v>69374.133333333331</v>
      </c>
      <c r="H157" s="389">
        <f t="shared" si="41"/>
        <v>156091.79999999999</v>
      </c>
      <c r="I157" s="389">
        <f t="shared" si="42"/>
        <v>312183.59999999998</v>
      </c>
      <c r="J157" s="392">
        <f t="shared" si="43"/>
        <v>3607454.9333333331</v>
      </c>
      <c r="K157" s="392">
        <f t="shared" si="44"/>
        <v>8116773.5999999996</v>
      </c>
      <c r="L157" s="392">
        <f t="shared" si="45"/>
        <v>16233547.199999999</v>
      </c>
      <c r="M157"/>
      <c r="N157"/>
      <c r="O157"/>
    </row>
    <row r="158" spans="1:18" ht="15.6" thickBot="1">
      <c r="A158" s="38" t="s">
        <v>219</v>
      </c>
      <c r="B158" s="386">
        <f>SUM(B151:B156,B157)</f>
        <v>65</v>
      </c>
      <c r="C158" s="387">
        <f>SUM(C151:C157)</f>
        <v>1</v>
      </c>
      <c r="D158" s="388">
        <f t="shared" ref="D158:L158" si="46">SUM(D151:D157)</f>
        <v>15</v>
      </c>
      <c r="E158" s="388">
        <f t="shared" si="46"/>
        <v>40</v>
      </c>
      <c r="F158" s="388">
        <f t="shared" si="46"/>
        <v>76</v>
      </c>
      <c r="G158" s="388">
        <f t="shared" si="46"/>
        <v>1665724.0976190476</v>
      </c>
      <c r="H158" s="388">
        <f t="shared" si="46"/>
        <v>4494508.4428571425</v>
      </c>
      <c r="I158" s="388">
        <f t="shared" si="46"/>
        <v>8329006.9928571424</v>
      </c>
      <c r="J158" s="394">
        <f t="shared" si="46"/>
        <v>86617653.076190487</v>
      </c>
      <c r="K158" s="394">
        <f t="shared" si="46"/>
        <v>233714439.0285714</v>
      </c>
      <c r="L158" s="395">
        <f t="shared" si="46"/>
        <v>433108363.62857145</v>
      </c>
      <c r="M158"/>
      <c r="N158"/>
      <c r="O158"/>
    </row>
    <row r="160" spans="1:18" customFormat="1" ht="14.4" customHeight="1">
      <c r="A160" s="57" t="s">
        <v>459</v>
      </c>
      <c r="P160" s="37"/>
      <c r="Q160" s="37"/>
      <c r="R160" s="37"/>
    </row>
    <row r="161" spans="1:18" customFormat="1" ht="14.4">
      <c r="A161" s="32" t="s">
        <v>498</v>
      </c>
      <c r="P161" s="37"/>
      <c r="Q161" s="37"/>
      <c r="R161" s="37"/>
    </row>
    <row r="162" spans="1:18" ht="14.4">
      <c r="A162" s="57" t="s">
        <v>496</v>
      </c>
      <c r="B162"/>
      <c r="C162"/>
      <c r="D162"/>
      <c r="E162"/>
      <c r="F162"/>
      <c r="G162"/>
      <c r="H162"/>
    </row>
    <row r="163" spans="1:18" ht="14.4">
      <c r="A163" s="57" t="s">
        <v>480</v>
      </c>
      <c r="B163"/>
      <c r="C163"/>
      <c r="D163"/>
      <c r="E163"/>
      <c r="F163"/>
      <c r="G163"/>
      <c r="H163"/>
    </row>
    <row r="164" spans="1:18" ht="14.4">
      <c r="A164"/>
      <c r="B164"/>
      <c r="C164"/>
      <c r="D164"/>
      <c r="E164"/>
      <c r="F164"/>
      <c r="G164"/>
      <c r="H164"/>
    </row>
    <row r="165" spans="1:18" ht="14.4">
      <c r="A165"/>
      <c r="B165"/>
      <c r="C165"/>
      <c r="D165"/>
      <c r="E165"/>
      <c r="F165"/>
      <c r="G165"/>
      <c r="H165"/>
    </row>
    <row r="166" spans="1:18" ht="14.4">
      <c r="A166"/>
      <c r="B166"/>
      <c r="C166"/>
      <c r="D166"/>
      <c r="E166"/>
      <c r="F166"/>
      <c r="G166"/>
      <c r="H166"/>
    </row>
    <row r="167" spans="1:18" ht="14.4">
      <c r="A167"/>
      <c r="B167"/>
      <c r="C167"/>
      <c r="D167"/>
      <c r="E167"/>
      <c r="F167"/>
      <c r="G167"/>
      <c r="H167"/>
    </row>
    <row r="168" spans="1:18" ht="14.4">
      <c r="A168"/>
      <c r="B168"/>
      <c r="C168"/>
      <c r="D168"/>
      <c r="E168"/>
      <c r="F168"/>
      <c r="G168"/>
      <c r="H168"/>
    </row>
    <row r="169" spans="1:18" ht="14.4">
      <c r="A169"/>
      <c r="B169"/>
      <c r="C169"/>
      <c r="D169"/>
      <c r="E169"/>
      <c r="F169"/>
      <c r="G169"/>
      <c r="H169"/>
    </row>
    <row r="170" spans="1:18" ht="14.4">
      <c r="A170"/>
      <c r="B170"/>
      <c r="C170"/>
      <c r="D170"/>
      <c r="E170"/>
      <c r="F170"/>
      <c r="G170"/>
      <c r="H170"/>
    </row>
    <row r="171" spans="1:18" ht="14.4">
      <c r="A171"/>
      <c r="B171"/>
      <c r="C171"/>
      <c r="D171"/>
      <c r="E171"/>
      <c r="F171"/>
      <c r="G171"/>
      <c r="H171"/>
    </row>
    <row r="172" spans="1:18" ht="14.4">
      <c r="A172"/>
      <c r="B172"/>
      <c r="C172"/>
      <c r="D172"/>
      <c r="E172"/>
      <c r="F172"/>
      <c r="G172"/>
      <c r="H172"/>
      <c r="J172" s="2"/>
      <c r="K172" s="2"/>
    </row>
    <row r="173" spans="1:18" ht="14.4">
      <c r="A173"/>
      <c r="B173"/>
      <c r="C173"/>
      <c r="D173"/>
      <c r="E173"/>
      <c r="F173"/>
      <c r="G173"/>
      <c r="H173"/>
      <c r="J173" s="2"/>
      <c r="K173" s="2"/>
    </row>
    <row r="174" spans="1:18" ht="14.4">
      <c r="A174"/>
      <c r="B174"/>
      <c r="C174"/>
      <c r="D174"/>
      <c r="E174"/>
      <c r="F174"/>
      <c r="G174"/>
      <c r="H174"/>
    </row>
    <row r="178" spans="2:5" ht="14.4">
      <c r="B178"/>
      <c r="C178"/>
      <c r="D178"/>
      <c r="E178"/>
    </row>
    <row r="179" spans="2:5" ht="14.4">
      <c r="B179"/>
      <c r="C179"/>
      <c r="D179"/>
      <c r="E179"/>
    </row>
    <row r="180" spans="2:5" ht="14.4">
      <c r="B180"/>
      <c r="C180"/>
      <c r="D180"/>
      <c r="E180"/>
    </row>
    <row r="181" spans="2:5" ht="14.4">
      <c r="B181"/>
      <c r="C181"/>
      <c r="D181"/>
      <c r="E181"/>
    </row>
    <row r="182" spans="2:5" ht="14.4">
      <c r="B182"/>
      <c r="C182"/>
      <c r="D182"/>
      <c r="E182"/>
    </row>
    <row r="183" spans="2:5" ht="14.4">
      <c r="B183"/>
      <c r="C183"/>
      <c r="D183"/>
      <c r="E183"/>
    </row>
    <row r="184" spans="2:5" ht="14.4">
      <c r="B184"/>
      <c r="C184"/>
      <c r="D184"/>
      <c r="E184"/>
    </row>
    <row r="217" spans="9:13">
      <c r="I217" s="2"/>
      <c r="J217" s="2"/>
      <c r="K217" s="2"/>
      <c r="L217" s="2"/>
      <c r="M217" s="2"/>
    </row>
    <row r="218" spans="9:13">
      <c r="I218" s="2"/>
      <c r="J218" s="2"/>
      <c r="K218" s="2"/>
      <c r="L218" s="2"/>
      <c r="M218" s="2"/>
    </row>
    <row r="219" spans="9:13">
      <c r="I219" s="2"/>
      <c r="J219" s="2"/>
      <c r="K219" s="2"/>
      <c r="L219" s="2"/>
      <c r="M219" s="2"/>
    </row>
    <row r="220" spans="9:13">
      <c r="I220" s="2"/>
      <c r="J220" s="2"/>
      <c r="K220" s="2"/>
      <c r="L220" s="2"/>
      <c r="M220" s="2"/>
    </row>
    <row r="221" spans="9:13">
      <c r="I221" s="2"/>
      <c r="J221" s="2"/>
      <c r="K221" s="2"/>
      <c r="L221" s="2"/>
      <c r="M221" s="2"/>
    </row>
    <row r="222" spans="9:13">
      <c r="I222" s="2"/>
      <c r="J222" s="2"/>
      <c r="K222" s="2"/>
      <c r="L222" s="2"/>
      <c r="M222" s="2"/>
    </row>
    <row r="223" spans="9:13">
      <c r="I223" s="2"/>
      <c r="J223" s="2"/>
      <c r="K223" s="2"/>
      <c r="L223" s="2"/>
      <c r="M223" s="2"/>
    </row>
    <row r="224" spans="9:13">
      <c r="I224" s="2"/>
      <c r="J224" s="2"/>
      <c r="K224" s="2"/>
      <c r="L224" s="2"/>
      <c r="M224" s="2"/>
    </row>
    <row r="225" spans="9:13">
      <c r="I225" s="2"/>
      <c r="J225" s="2"/>
      <c r="K225" s="2"/>
      <c r="L225" s="2"/>
      <c r="M225" s="2"/>
    </row>
    <row r="226" spans="9:13">
      <c r="I226" s="2"/>
      <c r="J226" s="2"/>
      <c r="K226" s="2"/>
      <c r="L226" s="2"/>
      <c r="M226" s="2"/>
    </row>
  </sheetData>
  <mergeCells count="70">
    <mergeCell ref="G149:I149"/>
    <mergeCell ref="J149:L149"/>
    <mergeCell ref="A137:A138"/>
    <mergeCell ref="G115:I115"/>
    <mergeCell ref="J115:L115"/>
    <mergeCell ref="G127:I127"/>
    <mergeCell ref="J127:L127"/>
    <mergeCell ref="A149:A150"/>
    <mergeCell ref="D149:F149"/>
    <mergeCell ref="C149:C150"/>
    <mergeCell ref="B149:B150"/>
    <mergeCell ref="B137:B138"/>
    <mergeCell ref="C137:C138"/>
    <mergeCell ref="D127:F127"/>
    <mergeCell ref="D115:F115"/>
    <mergeCell ref="G137:I137"/>
    <mergeCell ref="J137:L137"/>
    <mergeCell ref="F41:I41"/>
    <mergeCell ref="F44:G44"/>
    <mergeCell ref="F45:G45"/>
    <mergeCell ref="F46:G46"/>
    <mergeCell ref="F48:G48"/>
    <mergeCell ref="D137:F137"/>
    <mergeCell ref="A64:D64"/>
    <mergeCell ref="F49:G49"/>
    <mergeCell ref="F50:G50"/>
    <mergeCell ref="A46:B46"/>
    <mergeCell ref="G103:I103"/>
    <mergeCell ref="J103:L103"/>
    <mergeCell ref="F47:G47"/>
    <mergeCell ref="A47:B47"/>
    <mergeCell ref="A48:B48"/>
    <mergeCell ref="A44:B44"/>
    <mergeCell ref="A45:B45"/>
    <mergeCell ref="A31:B31"/>
    <mergeCell ref="A30:B30"/>
    <mergeCell ref="A36:B36"/>
    <mergeCell ref="A35:B35"/>
    <mergeCell ref="A34:B34"/>
    <mergeCell ref="A33:B33"/>
    <mergeCell ref="A32:B32"/>
    <mergeCell ref="A41:D41"/>
    <mergeCell ref="C42:C43"/>
    <mergeCell ref="A3:I4"/>
    <mergeCell ref="A10:D10"/>
    <mergeCell ref="D42:D43"/>
    <mergeCell ref="F42:G43"/>
    <mergeCell ref="H42:H43"/>
    <mergeCell ref="I42:I43"/>
    <mergeCell ref="A42:B43"/>
    <mergeCell ref="C28:C29"/>
    <mergeCell ref="A19:D19"/>
    <mergeCell ref="A28:B29"/>
    <mergeCell ref="A27:C27"/>
    <mergeCell ref="F19:I19"/>
    <mergeCell ref="A49:B49"/>
    <mergeCell ref="A77:D77"/>
    <mergeCell ref="A50:B50"/>
    <mergeCell ref="D103:F103"/>
    <mergeCell ref="A89:D89"/>
    <mergeCell ref="A103:A104"/>
    <mergeCell ref="B103:B104"/>
    <mergeCell ref="C103:C104"/>
    <mergeCell ref="A55:B55"/>
    <mergeCell ref="A115:A116"/>
    <mergeCell ref="A127:A128"/>
    <mergeCell ref="B127:B128"/>
    <mergeCell ref="C127:C128"/>
    <mergeCell ref="B115:B116"/>
    <mergeCell ref="C115:C116"/>
  </mergeCells>
  <conditionalFormatting sqref="B79:D83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{0A509FE8-6673-44B6-A930-D319ADD59AFC}</x14:id>
        </ext>
      </extLst>
    </cfRule>
  </conditionalFormatting>
  <conditionalFormatting sqref="B91:D95">
    <cfRule type="dataBar" priority="1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{BC410792-198B-4D47-A003-7F395E3E894B}</x14:id>
        </ext>
      </extLst>
    </cfRule>
  </conditionalFormatting>
  <conditionalFormatting sqref="G105:I111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{7CBEBC5F-B367-4156-BC21-C10AAD790E63}</x14:id>
        </ext>
      </extLst>
    </cfRule>
  </conditionalFormatting>
  <conditionalFormatting sqref="G117:I123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{1F524D0A-3F5A-4959-BEE2-378DEDAEFE92}</x14:id>
        </ext>
      </extLst>
    </cfRule>
  </conditionalFormatting>
  <conditionalFormatting sqref="G129:I130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{14A8E573-4E87-47E5-8722-7F1183222A07}</x14:id>
        </ext>
      </extLst>
    </cfRule>
  </conditionalFormatting>
  <conditionalFormatting sqref="G139:I145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{97AAEEF4-B110-492D-A836-839B4F322032}</x14:id>
        </ext>
      </extLst>
    </cfRule>
  </conditionalFormatting>
  <conditionalFormatting sqref="G151:I157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{153128F1-E75A-444A-B1CD-4003F54A1925}</x14:id>
        </ext>
      </extLst>
    </cfRule>
  </conditionalFormatting>
  <conditionalFormatting sqref="J105:L111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{7EA3CE66-4368-43DA-ABA1-799E8CB4A56C}</x14:id>
        </ext>
      </extLst>
    </cfRule>
  </conditionalFormatting>
  <conditionalFormatting sqref="J117:L123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{07ABB6F7-14DD-45DA-BB79-2A2905B58B33}</x14:id>
        </ext>
      </extLst>
    </cfRule>
  </conditionalFormatting>
  <conditionalFormatting sqref="J129:L130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{E78C76BC-5CEB-43EB-8CD7-E013E785BE49}</x14:id>
        </ext>
      </extLst>
    </cfRule>
  </conditionalFormatting>
  <conditionalFormatting sqref="J139:L145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{D2F92366-2A99-400A-A0DF-C77AFC693EFA}</x14:id>
        </ext>
      </extLst>
    </cfRule>
  </conditionalFormatting>
  <conditionalFormatting sqref="J151:L157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{32738247-FB31-47F2-A023-7B3CC234FC0B}</x14:id>
        </ext>
      </extLst>
    </cfRule>
  </conditionalFormatting>
  <pageMargins left="0.75" right="0.75" top="1" bottom="1" header="0.5" footer="0.5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A509FE8-6673-44B6-A930-D319ADD59AF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B79:D83</xm:sqref>
        </x14:conditionalFormatting>
        <x14:conditionalFormatting xmlns:xm="http://schemas.microsoft.com/office/excel/2006/main">
          <x14:cfRule type="dataBar" id="{BC410792-198B-4D47-A003-7F395E3E894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B91:D95</xm:sqref>
        </x14:conditionalFormatting>
        <x14:conditionalFormatting xmlns:xm="http://schemas.microsoft.com/office/excel/2006/main">
          <x14:cfRule type="dataBar" id="{7CBEBC5F-B367-4156-BC21-C10AAD790E6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G105:I111</xm:sqref>
        </x14:conditionalFormatting>
        <x14:conditionalFormatting xmlns:xm="http://schemas.microsoft.com/office/excel/2006/main">
          <x14:cfRule type="dataBar" id="{1F524D0A-3F5A-4959-BEE2-378DEDAEFE9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G117:I123</xm:sqref>
        </x14:conditionalFormatting>
        <x14:conditionalFormatting xmlns:xm="http://schemas.microsoft.com/office/excel/2006/main">
          <x14:cfRule type="dataBar" id="{14A8E573-4E87-47E5-8722-7F1183222A0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G129:I130</xm:sqref>
        </x14:conditionalFormatting>
        <x14:conditionalFormatting xmlns:xm="http://schemas.microsoft.com/office/excel/2006/main">
          <x14:cfRule type="dataBar" id="{97AAEEF4-B110-492D-A836-839B4F32203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G139:I145</xm:sqref>
        </x14:conditionalFormatting>
        <x14:conditionalFormatting xmlns:xm="http://schemas.microsoft.com/office/excel/2006/main">
          <x14:cfRule type="dataBar" id="{153128F1-E75A-444A-B1CD-4003F54A192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G151:I157</xm:sqref>
        </x14:conditionalFormatting>
        <x14:conditionalFormatting xmlns:xm="http://schemas.microsoft.com/office/excel/2006/main">
          <x14:cfRule type="dataBar" id="{7EA3CE66-4368-43DA-ABA1-799E8CB4A56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J105:L111</xm:sqref>
        </x14:conditionalFormatting>
        <x14:conditionalFormatting xmlns:xm="http://schemas.microsoft.com/office/excel/2006/main">
          <x14:cfRule type="dataBar" id="{07ABB6F7-14DD-45DA-BB79-2A2905B58B3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J117:L123</xm:sqref>
        </x14:conditionalFormatting>
        <x14:conditionalFormatting xmlns:xm="http://schemas.microsoft.com/office/excel/2006/main">
          <x14:cfRule type="dataBar" id="{E78C76BC-5CEB-43EB-8CD7-E013E785BE4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J129:L130</xm:sqref>
        </x14:conditionalFormatting>
        <x14:conditionalFormatting xmlns:xm="http://schemas.microsoft.com/office/excel/2006/main">
          <x14:cfRule type="dataBar" id="{D2F92366-2A99-400A-A0DF-C77AFC693EF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J139:L145</xm:sqref>
        </x14:conditionalFormatting>
        <x14:conditionalFormatting xmlns:xm="http://schemas.microsoft.com/office/excel/2006/main">
          <x14:cfRule type="dataBar" id="{32738247-FB31-47F2-A023-7B3CC234FC0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J151:L157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8">
        <x14:dataValidation type="list" allowBlank="1" showInputMessage="1" showErrorMessage="1" xr:uid="{19603A80-E134-4B3B-AB72-46893990B6BE}">
          <x14:formula1>
            <xm:f>List_Options!$C$1:$C$2</xm:f>
          </x14:formula1>
          <xm:sqref>C30:C36</xm:sqref>
        </x14:dataValidation>
        <x14:dataValidation type="list" allowBlank="1" showInputMessage="1" showErrorMessage="1" xr:uid="{6E6D7F42-EF81-402F-A786-78DD47EBAF1A}">
          <x14:formula1>
            <xm:f>List_Options!$D$1:$D$101</xm:f>
          </x14:formula1>
          <xm:sqref>B12:D14 G12:I13</xm:sqref>
        </x14:dataValidation>
        <x14:dataValidation type="list" allowBlank="1" showInputMessage="1" showErrorMessage="1" xr:uid="{6C96F8D1-C724-45BE-92C9-ACFB33AC2EA4}">
          <x14:formula1>
            <xm:f>List_Options!$A$2:$A$12</xm:f>
          </x14:formula1>
          <xm:sqref>B21:D21</xm:sqref>
        </x14:dataValidation>
        <x14:dataValidation type="list" allowBlank="1" showInputMessage="1" showErrorMessage="1" xr:uid="{47912AD6-6C92-4433-BA4A-5E02A4C2979F}">
          <x14:formula1>
            <xm:f>List_Options!$B$2:$B$13</xm:f>
          </x14:formula1>
          <xm:sqref>B22:D22</xm:sqref>
        </x14:dataValidation>
        <x14:dataValidation type="list" allowBlank="1" showInputMessage="1" showErrorMessage="1" xr:uid="{620DC379-CE50-46D4-9D19-6C09AD4D176C}">
          <x14:formula1>
            <xm:f>List_Options!$G$1:$G$61</xm:f>
          </x14:formula1>
          <xm:sqref>B58</xm:sqref>
        </x14:dataValidation>
        <x14:dataValidation type="list" allowBlank="1" showInputMessage="1" showErrorMessage="1" xr:uid="{0CB4372E-163B-41A0-91C9-450A18443364}">
          <x14:formula1>
            <xm:f>List_Options!$H$1:$H$21</xm:f>
          </x14:formula1>
          <xm:sqref>B59</xm:sqref>
        </x14:dataValidation>
        <x14:dataValidation type="list" allowBlank="1" showInputMessage="1" showErrorMessage="1" xr:uid="{0B7A56E7-CEED-417D-9FE3-D5375538D2E8}">
          <x14:formula1>
            <xm:f>List_Options!$F$1:$F$13</xm:f>
          </x14:formula1>
          <xm:sqref>B57</xm:sqref>
        </x14:dataValidation>
        <x14:dataValidation type="list" allowBlank="1" showInputMessage="1" showErrorMessage="1" xr:uid="{3F3088CC-1C10-410A-856F-85AF7DEF43A1}">
          <x14:formula1>
            <xm:f>List_Options!$E$1:$E$21</xm:f>
          </x14:formula1>
          <xm:sqref>B66:D67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A25A8-AB89-44E0-B717-CEC3AD143104}">
  <sheetPr codeName="Sheet7" filterMode="1">
    <tabColor rgb="FF92D050"/>
  </sheetPr>
  <dimension ref="A1:Z91"/>
  <sheetViews>
    <sheetView topLeftCell="V1" zoomScaleNormal="100" workbookViewId="0">
      <selection activeCell="AE14" sqref="AA5:AE14"/>
    </sheetView>
  </sheetViews>
  <sheetFormatPr defaultRowHeight="13.8"/>
  <cols>
    <col min="1" max="1" width="10.33203125" style="2" customWidth="1"/>
    <col min="2" max="2" width="30.77734375" style="2" customWidth="1"/>
    <col min="3" max="3" width="27.109375" style="2" customWidth="1"/>
    <col min="4" max="4" width="49.88671875" style="27" bestFit="1" customWidth="1"/>
    <col min="5" max="5" width="13.33203125" style="2" customWidth="1"/>
    <col min="6" max="6" width="11.33203125" style="2" customWidth="1"/>
    <col min="7" max="7" width="11.77734375" style="2" customWidth="1"/>
    <col min="8" max="8" width="7" style="2" customWidth="1"/>
    <col min="9" max="9" width="50.5546875" style="2" customWidth="1"/>
    <col min="10" max="10" width="7.6640625" style="2" customWidth="1"/>
    <col min="11" max="11" width="7.77734375" style="2" bestFit="1" customWidth="1"/>
    <col min="12" max="12" width="12.88671875" style="13" bestFit="1" customWidth="1"/>
    <col min="13" max="13" width="6.6640625" style="2" customWidth="1"/>
    <col min="14" max="14" width="10.5546875" style="2" customWidth="1"/>
    <col min="15" max="15" width="6.77734375" style="2" customWidth="1"/>
    <col min="16" max="16" width="20.77734375" style="2" customWidth="1"/>
    <col min="17" max="17" width="51.109375" style="2" customWidth="1"/>
    <col min="18" max="18" width="13.33203125" style="2" customWidth="1"/>
    <col min="19" max="19" width="11.77734375" style="2" customWidth="1"/>
    <col min="20" max="20" width="13.44140625" style="13" bestFit="1" customWidth="1"/>
    <col min="21" max="21" width="5.77734375" style="2" customWidth="1"/>
    <col min="22" max="22" width="49.88671875" style="2" bestFit="1" customWidth="1"/>
    <col min="23" max="23" width="8.5546875" style="2" customWidth="1"/>
    <col min="24" max="24" width="8.109375" style="2" bestFit="1" customWidth="1"/>
    <col min="25" max="25" width="12.21875" style="2" customWidth="1"/>
    <col min="26" max="26" width="15.109375" style="2" bestFit="1" customWidth="1"/>
    <col min="27" max="16384" width="8.88671875" style="2"/>
  </cols>
  <sheetData>
    <row r="1" spans="1:26" s="6" customFormat="1">
      <c r="D1" s="332"/>
      <c r="L1" s="325"/>
      <c r="T1" s="325"/>
    </row>
    <row r="2" spans="1:26" s="8" customFormat="1">
      <c r="D2" s="333"/>
      <c r="L2" s="326"/>
      <c r="T2" s="326"/>
    </row>
    <row r="3" spans="1:26" s="327" customFormat="1" ht="14.4" thickBot="1">
      <c r="D3" s="334"/>
      <c r="L3" s="328"/>
      <c r="T3" s="328"/>
    </row>
    <row r="4" spans="1:26" s="407" customFormat="1" ht="55.2">
      <c r="A4" s="221" t="s">
        <v>137</v>
      </c>
      <c r="B4" s="222" t="s">
        <v>136</v>
      </c>
      <c r="C4" s="222" t="s">
        <v>139</v>
      </c>
      <c r="D4" s="330" t="s">
        <v>59</v>
      </c>
      <c r="E4" s="330" t="s">
        <v>262</v>
      </c>
      <c r="F4" s="330" t="s">
        <v>263</v>
      </c>
      <c r="G4" s="220" t="s">
        <v>135</v>
      </c>
      <c r="H4" s="329"/>
      <c r="I4" s="405" t="s">
        <v>59</v>
      </c>
      <c r="J4" s="406" t="s">
        <v>60</v>
      </c>
      <c r="K4" s="406" t="s">
        <v>62</v>
      </c>
      <c r="L4" s="404" t="s">
        <v>261</v>
      </c>
      <c r="M4" s="329"/>
      <c r="N4" s="221" t="s">
        <v>137</v>
      </c>
      <c r="O4" s="222" t="s">
        <v>136</v>
      </c>
      <c r="P4" s="222" t="s">
        <v>139</v>
      </c>
      <c r="Q4" s="222" t="s">
        <v>59</v>
      </c>
      <c r="R4" s="222" t="s">
        <v>262</v>
      </c>
      <c r="S4" s="222" t="s">
        <v>263</v>
      </c>
      <c r="T4" s="220" t="s">
        <v>218</v>
      </c>
      <c r="U4" s="329"/>
      <c r="V4" s="405" t="s">
        <v>59</v>
      </c>
      <c r="W4" s="406" t="s">
        <v>60</v>
      </c>
      <c r="X4" s="406" t="s">
        <v>62</v>
      </c>
      <c r="Y4" s="404" t="s">
        <v>261</v>
      </c>
    </row>
    <row r="5" spans="1:26" s="23" customFormat="1">
      <c r="A5" s="303" t="s">
        <v>40</v>
      </c>
      <c r="B5" s="304"/>
      <c r="C5" s="304" t="s">
        <v>455</v>
      </c>
      <c r="D5" s="335" t="s">
        <v>34</v>
      </c>
      <c r="E5" s="305">
        <v>0</v>
      </c>
      <c r="F5" s="305">
        <v>0</v>
      </c>
      <c r="G5" s="127">
        <v>3345.0000000000005</v>
      </c>
      <c r="H5" s="2"/>
      <c r="I5" s="110" t="s">
        <v>37</v>
      </c>
      <c r="J5" s="111">
        <f>COUNTIFS($D$5:$D$103,I5, $E$5:$E$103,"=0")</f>
        <v>4</v>
      </c>
      <c r="K5" s="58">
        <f t="shared" ref="K5:K13" si="0">J5/$J$15</f>
        <v>6.6666666666666666E-2</v>
      </c>
      <c r="L5" s="112">
        <f>IFERROR(SUMIFS($G$5:$G$71,$D$5:$D$71,I5,$F$5:$F$71,"=0")/J5,"-")</f>
        <v>115860.20833333333</v>
      </c>
      <c r="M5" s="2"/>
      <c r="N5" s="303" t="s">
        <v>16</v>
      </c>
      <c r="O5" s="304"/>
      <c r="P5" s="306" t="s">
        <v>140</v>
      </c>
      <c r="Q5" s="331" t="s">
        <v>35</v>
      </c>
      <c r="R5" s="304">
        <v>0</v>
      </c>
      <c r="S5" s="304">
        <v>0</v>
      </c>
      <c r="T5" s="127">
        <v>67107</v>
      </c>
      <c r="U5" s="2"/>
      <c r="V5" s="110" t="s">
        <v>37</v>
      </c>
      <c r="W5" s="111">
        <f t="shared" ref="W5:W12" si="1">COUNTIFS($Q$4:$Q$102,V5,$R$4:$R$102,"=0")</f>
        <v>14</v>
      </c>
      <c r="X5" s="58">
        <f t="shared" ref="X5:X13" si="2">W5/$W$15</f>
        <v>0.20895522388059701</v>
      </c>
      <c r="Y5" s="112">
        <f>IFERROR(SUMIFS($T$5:$T$86,$Q$5:$Q$86,V5,$S$5:$S$86,"=0")/W5,"-")</f>
        <v>178043.57142857142</v>
      </c>
      <c r="Z5" s="408"/>
    </row>
    <row r="6" spans="1:26">
      <c r="A6" s="303" t="s">
        <v>16</v>
      </c>
      <c r="B6" s="304"/>
      <c r="C6" s="304" t="s">
        <v>140</v>
      </c>
      <c r="D6" s="335" t="s">
        <v>35</v>
      </c>
      <c r="E6" s="305">
        <v>0</v>
      </c>
      <c r="F6" s="305">
        <v>0</v>
      </c>
      <c r="G6" s="127">
        <v>3669.0000000000045</v>
      </c>
      <c r="I6" s="110" t="s">
        <v>35</v>
      </c>
      <c r="J6" s="111">
        <f t="shared" ref="J6:J13" si="3">COUNTIFS($D$5:$D$103,I6, $E$5:$E$103,"=0")</f>
        <v>34</v>
      </c>
      <c r="K6" s="58">
        <f t="shared" si="0"/>
        <v>0.56666666666666665</v>
      </c>
      <c r="L6" s="112">
        <f t="shared" ref="L6:L13" si="4">IFERROR(SUMIFS($G$5:$G$71,$D$5:$D$71,I6,$F$5:$F$71,"=0")/J6,"-")</f>
        <v>19394.681862745099</v>
      </c>
      <c r="N6" s="303" t="s">
        <v>41</v>
      </c>
      <c r="O6" s="303" t="s">
        <v>41</v>
      </c>
      <c r="P6" s="15"/>
      <c r="Q6" s="331" t="s">
        <v>35</v>
      </c>
      <c r="R6" s="304">
        <v>0</v>
      </c>
      <c r="S6" s="304">
        <v>0</v>
      </c>
      <c r="T6" s="127">
        <v>646470</v>
      </c>
      <c r="V6" s="110" t="s">
        <v>35</v>
      </c>
      <c r="W6" s="111">
        <f t="shared" si="1"/>
        <v>29</v>
      </c>
      <c r="X6" s="58">
        <f t="shared" si="2"/>
        <v>0.43283582089552236</v>
      </c>
      <c r="Y6" s="112">
        <f t="shared" ref="Y6:Y13" si="5">IFERROR(SUMIFS($T$5:$T$86,$Q$5:$Q$86,V6,$S$5:$S$86,"=0")/W6,"-")</f>
        <v>151730</v>
      </c>
      <c r="Z6" s="16"/>
    </row>
    <row r="7" spans="1:26">
      <c r="A7" s="307" t="s">
        <v>76</v>
      </c>
      <c r="B7" s="306" t="s">
        <v>16</v>
      </c>
      <c r="C7" s="306" t="s">
        <v>140</v>
      </c>
      <c r="D7" s="336" t="s">
        <v>35</v>
      </c>
      <c r="E7" s="308">
        <v>0</v>
      </c>
      <c r="F7" s="308">
        <v>0</v>
      </c>
      <c r="G7" s="309">
        <v>4906.4500000000044</v>
      </c>
      <c r="I7" s="110" t="s">
        <v>34</v>
      </c>
      <c r="J7" s="111">
        <f t="shared" si="3"/>
        <v>11</v>
      </c>
      <c r="K7" s="58">
        <f t="shared" si="0"/>
        <v>0.18333333333333332</v>
      </c>
      <c r="L7" s="112">
        <f t="shared" si="4"/>
        <v>30865.34696969697</v>
      </c>
      <c r="N7" s="303" t="s">
        <v>149</v>
      </c>
      <c r="O7" s="304"/>
      <c r="P7" s="306"/>
      <c r="Q7" s="331" t="s">
        <v>36</v>
      </c>
      <c r="R7" s="304">
        <v>0</v>
      </c>
      <c r="S7" s="304">
        <v>0</v>
      </c>
      <c r="T7" s="127">
        <v>1471</v>
      </c>
      <c r="V7" s="110" t="s">
        <v>34</v>
      </c>
      <c r="W7" s="111">
        <f t="shared" si="1"/>
        <v>4</v>
      </c>
      <c r="X7" s="58">
        <f t="shared" si="2"/>
        <v>5.9701492537313432E-2</v>
      </c>
      <c r="Y7" s="112">
        <f t="shared" si="5"/>
        <v>109.25</v>
      </c>
      <c r="Z7" s="16"/>
    </row>
    <row r="8" spans="1:26">
      <c r="A8" s="303" t="s">
        <v>77</v>
      </c>
      <c r="B8" s="304" t="s">
        <v>41</v>
      </c>
      <c r="C8" s="304"/>
      <c r="D8" s="335" t="s">
        <v>35</v>
      </c>
      <c r="E8" s="305">
        <v>0</v>
      </c>
      <c r="F8" s="305">
        <v>0</v>
      </c>
      <c r="G8" s="127">
        <v>130459.95</v>
      </c>
      <c r="I8" s="110" t="s">
        <v>57</v>
      </c>
      <c r="J8" s="111">
        <f t="shared" si="3"/>
        <v>0</v>
      </c>
      <c r="K8" s="58">
        <f t="shared" si="0"/>
        <v>0</v>
      </c>
      <c r="L8" s="112" t="str">
        <f t="shared" si="4"/>
        <v>-</v>
      </c>
      <c r="N8" s="303" t="s">
        <v>42</v>
      </c>
      <c r="O8" s="303" t="s">
        <v>42</v>
      </c>
      <c r="P8" s="306"/>
      <c r="Q8" s="331" t="s">
        <v>35</v>
      </c>
      <c r="R8" s="304">
        <v>0</v>
      </c>
      <c r="S8" s="304">
        <v>0</v>
      </c>
      <c r="T8" s="127">
        <v>600092</v>
      </c>
      <c r="V8" s="110" t="s">
        <v>57</v>
      </c>
      <c r="W8" s="111">
        <f t="shared" si="1"/>
        <v>1</v>
      </c>
      <c r="X8" s="58">
        <f t="shared" si="2"/>
        <v>1.4925373134328358E-2</v>
      </c>
      <c r="Y8" s="112">
        <f t="shared" si="5"/>
        <v>572</v>
      </c>
      <c r="Z8" s="16"/>
    </row>
    <row r="9" spans="1:26">
      <c r="A9" s="303" t="s">
        <v>78</v>
      </c>
      <c r="B9" s="304" t="s">
        <v>42</v>
      </c>
      <c r="C9" s="304"/>
      <c r="D9" s="335" t="s">
        <v>35</v>
      </c>
      <c r="E9" s="305">
        <v>0</v>
      </c>
      <c r="F9" s="305">
        <v>0</v>
      </c>
      <c r="G9" s="127">
        <v>122399.21666666665</v>
      </c>
      <c r="I9" s="110" t="s">
        <v>38</v>
      </c>
      <c r="J9" s="111">
        <f t="shared" si="3"/>
        <v>1</v>
      </c>
      <c r="K9" s="58">
        <f t="shared" si="0"/>
        <v>1.6666666666666666E-2</v>
      </c>
      <c r="L9" s="112">
        <f t="shared" si="4"/>
        <v>22562.250000000011</v>
      </c>
      <c r="N9" s="310" t="s">
        <v>150</v>
      </c>
      <c r="O9" s="311"/>
      <c r="P9" s="311" t="s">
        <v>217</v>
      </c>
      <c r="Q9" s="339" t="s">
        <v>39</v>
      </c>
      <c r="R9" s="311">
        <v>1</v>
      </c>
      <c r="S9" s="311">
        <v>1</v>
      </c>
      <c r="T9" s="312">
        <v>469</v>
      </c>
      <c r="V9" s="110" t="s">
        <v>38</v>
      </c>
      <c r="W9" s="111">
        <f t="shared" si="1"/>
        <v>2</v>
      </c>
      <c r="X9" s="58">
        <f t="shared" si="2"/>
        <v>2.9850746268656716E-2</v>
      </c>
      <c r="Y9" s="112">
        <f t="shared" si="5"/>
        <v>4094</v>
      </c>
      <c r="Z9" s="16"/>
    </row>
    <row r="10" spans="1:26">
      <c r="A10" s="303" t="s">
        <v>79</v>
      </c>
      <c r="B10" s="304"/>
      <c r="C10" s="304"/>
      <c r="D10" s="335" t="s">
        <v>413</v>
      </c>
      <c r="E10" s="305">
        <v>0</v>
      </c>
      <c r="F10" s="305">
        <v>0</v>
      </c>
      <c r="G10" s="127">
        <v>1725.0000000000018</v>
      </c>
      <c r="I10" s="110" t="s">
        <v>58</v>
      </c>
      <c r="J10" s="111">
        <f t="shared" si="3"/>
        <v>0</v>
      </c>
      <c r="K10" s="58">
        <f t="shared" si="0"/>
        <v>0</v>
      </c>
      <c r="L10" s="112" t="str">
        <f t="shared" si="4"/>
        <v>-</v>
      </c>
      <c r="N10" s="310" t="s">
        <v>17</v>
      </c>
      <c r="O10" s="311"/>
      <c r="P10" s="311" t="s">
        <v>216</v>
      </c>
      <c r="Q10" s="339" t="s">
        <v>39</v>
      </c>
      <c r="R10" s="311">
        <v>1</v>
      </c>
      <c r="S10" s="311">
        <v>1</v>
      </c>
      <c r="T10" s="312">
        <v>276349</v>
      </c>
      <c r="V10" s="110" t="s">
        <v>58</v>
      </c>
      <c r="W10" s="111">
        <f t="shared" si="1"/>
        <v>0</v>
      </c>
      <c r="X10" s="58">
        <f t="shared" si="2"/>
        <v>0</v>
      </c>
      <c r="Y10" s="112" t="str">
        <f t="shared" si="5"/>
        <v>-</v>
      </c>
      <c r="Z10" s="16"/>
    </row>
    <row r="11" spans="1:26">
      <c r="A11" s="303" t="s">
        <v>80</v>
      </c>
      <c r="B11" s="304"/>
      <c r="C11" s="304"/>
      <c r="D11" s="335" t="s">
        <v>413</v>
      </c>
      <c r="E11" s="305">
        <v>0</v>
      </c>
      <c r="F11" s="305">
        <v>0</v>
      </c>
      <c r="G11" s="127">
        <v>2555.7333333333377</v>
      </c>
      <c r="I11" s="110" t="s">
        <v>36</v>
      </c>
      <c r="J11" s="111">
        <f t="shared" si="3"/>
        <v>0</v>
      </c>
      <c r="K11" s="58">
        <f t="shared" si="0"/>
        <v>0</v>
      </c>
      <c r="L11" s="112" t="str">
        <f t="shared" si="4"/>
        <v>-</v>
      </c>
      <c r="N11" s="303" t="s">
        <v>151</v>
      </c>
      <c r="O11" s="304"/>
      <c r="P11" s="306"/>
      <c r="Q11" s="331" t="s">
        <v>35</v>
      </c>
      <c r="R11" s="304">
        <v>0</v>
      </c>
      <c r="S11" s="304">
        <v>0</v>
      </c>
      <c r="T11" s="127">
        <v>486</v>
      </c>
      <c r="V11" s="110" t="s">
        <v>36</v>
      </c>
      <c r="W11" s="111">
        <f>COUNTIFS($Q$4:$Q$102,V11,$R$4:$R$102,"=0")</f>
        <v>2</v>
      </c>
      <c r="X11" s="58">
        <f t="shared" si="2"/>
        <v>2.9850746268656716E-2</v>
      </c>
      <c r="Y11" s="112">
        <f t="shared" si="5"/>
        <v>1672</v>
      </c>
      <c r="Z11" s="16"/>
    </row>
    <row r="12" spans="1:26">
      <c r="A12" s="303" t="s">
        <v>81</v>
      </c>
      <c r="B12" s="304" t="s">
        <v>247</v>
      </c>
      <c r="C12" s="304" t="s">
        <v>246</v>
      </c>
      <c r="D12" s="335" t="s">
        <v>35</v>
      </c>
      <c r="E12" s="305">
        <v>0</v>
      </c>
      <c r="F12" s="305">
        <v>0</v>
      </c>
      <c r="G12" s="127">
        <v>2115</v>
      </c>
      <c r="I12" s="110" t="s">
        <v>39</v>
      </c>
      <c r="J12" s="111">
        <f t="shared" si="3"/>
        <v>0</v>
      </c>
      <c r="K12" s="58">
        <f t="shared" si="0"/>
        <v>0</v>
      </c>
      <c r="L12" s="112" t="str">
        <f t="shared" si="4"/>
        <v>-</v>
      </c>
      <c r="N12" s="303" t="s">
        <v>152</v>
      </c>
      <c r="O12" s="304"/>
      <c r="P12" s="306"/>
      <c r="Q12" s="331" t="s">
        <v>37</v>
      </c>
      <c r="R12" s="304">
        <v>0</v>
      </c>
      <c r="S12" s="304">
        <v>0</v>
      </c>
      <c r="T12" s="127">
        <v>180</v>
      </c>
      <c r="V12" s="110" t="s">
        <v>39</v>
      </c>
      <c r="W12" s="111">
        <f t="shared" si="1"/>
        <v>15</v>
      </c>
      <c r="X12" s="58">
        <f t="shared" si="2"/>
        <v>0.22388059701492538</v>
      </c>
      <c r="Y12" s="112">
        <f t="shared" si="5"/>
        <v>17343.533333333333</v>
      </c>
      <c r="Z12" s="16"/>
    </row>
    <row r="13" spans="1:26" ht="14.4" thickBot="1">
      <c r="A13" s="303" t="s">
        <v>82</v>
      </c>
      <c r="B13" s="304" t="s">
        <v>43</v>
      </c>
      <c r="C13" s="304"/>
      <c r="D13" s="335" t="s">
        <v>35</v>
      </c>
      <c r="E13" s="305">
        <v>0</v>
      </c>
      <c r="F13" s="305">
        <v>0</v>
      </c>
      <c r="G13" s="127">
        <v>1022.0000000000001</v>
      </c>
      <c r="I13" s="80" t="s">
        <v>413</v>
      </c>
      <c r="J13" s="95">
        <f t="shared" si="3"/>
        <v>10</v>
      </c>
      <c r="K13" s="324">
        <f t="shared" si="0"/>
        <v>0.16666666666666666</v>
      </c>
      <c r="L13" s="115">
        <f t="shared" si="4"/>
        <v>961.14500000000044</v>
      </c>
      <c r="N13" s="303" t="s">
        <v>153</v>
      </c>
      <c r="O13" s="304"/>
      <c r="P13" s="306"/>
      <c r="Q13" s="331" t="s">
        <v>37</v>
      </c>
      <c r="R13" s="304">
        <v>0</v>
      </c>
      <c r="S13" s="304">
        <v>0</v>
      </c>
      <c r="T13" s="127">
        <v>53049</v>
      </c>
      <c r="V13" s="80" t="s">
        <v>413</v>
      </c>
      <c r="W13" s="113">
        <f t="shared" ref="W13" si="6">COUNTIFS($Q$4:$Q$102,V13,$R$4:$R$102,"=0")</f>
        <v>3</v>
      </c>
      <c r="X13" s="114">
        <f t="shared" si="2"/>
        <v>4.4776119402985072E-2</v>
      </c>
      <c r="Y13" s="115">
        <f t="shared" si="5"/>
        <v>966.66666666666663</v>
      </c>
    </row>
    <row r="14" spans="1:26">
      <c r="A14" s="307" t="s">
        <v>83</v>
      </c>
      <c r="B14" s="306"/>
      <c r="C14" s="306"/>
      <c r="D14" s="336" t="s">
        <v>413</v>
      </c>
      <c r="E14" s="308">
        <v>0</v>
      </c>
      <c r="F14" s="308">
        <v>0</v>
      </c>
      <c r="G14" s="309">
        <v>50.250000000000185</v>
      </c>
      <c r="L14" s="16"/>
      <c r="N14" s="303" t="s">
        <v>154</v>
      </c>
      <c r="O14" s="304"/>
      <c r="P14" s="306"/>
      <c r="Q14" s="331" t="s">
        <v>37</v>
      </c>
      <c r="R14" s="304">
        <v>0</v>
      </c>
      <c r="S14" s="304">
        <v>0</v>
      </c>
      <c r="T14" s="127">
        <v>90357</v>
      </c>
      <c r="Y14" s="16"/>
    </row>
    <row r="15" spans="1:26">
      <c r="A15" s="303" t="s">
        <v>84</v>
      </c>
      <c r="B15" s="304"/>
      <c r="C15" s="304" t="s">
        <v>141</v>
      </c>
      <c r="D15" s="335" t="s">
        <v>35</v>
      </c>
      <c r="E15" s="305">
        <v>0</v>
      </c>
      <c r="F15" s="305">
        <v>0</v>
      </c>
      <c r="G15" s="127">
        <v>506.99999999999926</v>
      </c>
      <c r="I15" s="20" t="s">
        <v>61</v>
      </c>
      <c r="J15" s="19">
        <f>SUM(J5:J13)</f>
        <v>60</v>
      </c>
      <c r="K15" s="12">
        <f>SUM(K5:K13)</f>
        <v>1</v>
      </c>
      <c r="L15" s="56">
        <f>SUM(L5:L13)</f>
        <v>189643.63216577537</v>
      </c>
      <c r="N15" s="303" t="s">
        <v>44</v>
      </c>
      <c r="O15" s="304"/>
      <c r="P15" s="306"/>
      <c r="Q15" s="331" t="s">
        <v>36</v>
      </c>
      <c r="R15" s="304">
        <v>0</v>
      </c>
      <c r="S15" s="304">
        <v>0</v>
      </c>
      <c r="T15" s="127">
        <v>1873</v>
      </c>
      <c r="V15" s="20" t="s">
        <v>61</v>
      </c>
      <c r="W15" s="19">
        <f>SUM(W5:W12)</f>
        <v>67</v>
      </c>
      <c r="X15" s="12">
        <f>SUM(X5:X12)</f>
        <v>0.99999999999999989</v>
      </c>
      <c r="Y15" s="56">
        <f>SUM(Y5:Y14)</f>
        <v>354531.02142857143</v>
      </c>
    </row>
    <row r="16" spans="1:26">
      <c r="A16" s="303" t="s">
        <v>85</v>
      </c>
      <c r="B16" s="304" t="s">
        <v>50</v>
      </c>
      <c r="C16" s="304" t="s">
        <v>248</v>
      </c>
      <c r="D16" s="335" t="s">
        <v>34</v>
      </c>
      <c r="E16" s="305">
        <v>0</v>
      </c>
      <c r="F16" s="305">
        <v>0</v>
      </c>
      <c r="G16" s="127">
        <v>14700</v>
      </c>
      <c r="N16" s="303" t="s">
        <v>155</v>
      </c>
      <c r="O16" s="306"/>
      <c r="P16" s="306"/>
      <c r="Q16" s="21" t="s">
        <v>413</v>
      </c>
      <c r="R16" s="304">
        <v>0</v>
      </c>
      <c r="S16" s="304">
        <v>0</v>
      </c>
      <c r="T16" s="127">
        <v>2375</v>
      </c>
    </row>
    <row r="17" spans="1:25">
      <c r="A17" s="303" t="s">
        <v>18</v>
      </c>
      <c r="B17" s="304" t="s">
        <v>156</v>
      </c>
      <c r="C17" s="304" t="s">
        <v>202</v>
      </c>
      <c r="D17" s="335" t="s">
        <v>413</v>
      </c>
      <c r="E17" s="305">
        <v>0</v>
      </c>
      <c r="F17" s="305">
        <v>0</v>
      </c>
      <c r="G17" s="127">
        <v>97.283333333333061</v>
      </c>
      <c r="I17" s="480" t="s">
        <v>356</v>
      </c>
      <c r="J17" s="480"/>
      <c r="K17" s="480"/>
      <c r="L17" s="67">
        <f>SUM(L5:L12)/SUM(J5:J12)</f>
        <v>3773.6497433155077</v>
      </c>
      <c r="N17" s="303" t="s">
        <v>156</v>
      </c>
      <c r="O17" s="306"/>
      <c r="P17" s="306" t="s">
        <v>202</v>
      </c>
      <c r="Q17" s="331" t="s">
        <v>35</v>
      </c>
      <c r="R17" s="304">
        <v>0</v>
      </c>
      <c r="S17" s="304">
        <v>0</v>
      </c>
      <c r="T17" s="127">
        <v>52575</v>
      </c>
      <c r="V17" s="480" t="s">
        <v>358</v>
      </c>
      <c r="W17" s="480"/>
      <c r="X17" s="480"/>
      <c r="Y17" s="67">
        <f>SUM(Y5:Y12)/SUM(W5:W12)</f>
        <v>5277.0799218194734</v>
      </c>
    </row>
    <row r="18" spans="1:25">
      <c r="A18" s="303" t="s">
        <v>86</v>
      </c>
      <c r="B18" s="304"/>
      <c r="C18" s="304"/>
      <c r="D18" s="335" t="s">
        <v>35</v>
      </c>
      <c r="E18" s="305">
        <v>0</v>
      </c>
      <c r="F18" s="305">
        <v>0</v>
      </c>
      <c r="G18" s="127">
        <v>178.99999999999989</v>
      </c>
      <c r="I18" s="480" t="s">
        <v>357</v>
      </c>
      <c r="J18" s="480"/>
      <c r="K18" s="480"/>
      <c r="L18" s="67">
        <f>SUM(L6:L12)/SUM(J6:J12)</f>
        <v>1583.093018096567</v>
      </c>
      <c r="N18" s="303" t="s">
        <v>18</v>
      </c>
      <c r="O18" s="303" t="s">
        <v>18</v>
      </c>
      <c r="P18" s="306" t="s">
        <v>257</v>
      </c>
      <c r="Q18" s="331" t="s">
        <v>35</v>
      </c>
      <c r="R18" s="304">
        <v>0</v>
      </c>
      <c r="S18" s="304">
        <v>0</v>
      </c>
      <c r="T18" s="127">
        <v>726669</v>
      </c>
      <c r="V18" s="480" t="s">
        <v>359</v>
      </c>
      <c r="W18" s="480"/>
      <c r="X18" s="480"/>
      <c r="Y18" s="67">
        <f>SUM(Y6:Y12)/SUM(W6:W12)</f>
        <v>3311.7128930817607</v>
      </c>
    </row>
    <row r="19" spans="1:25">
      <c r="A19" s="303" t="s">
        <v>87</v>
      </c>
      <c r="B19" s="304"/>
      <c r="C19" s="304"/>
      <c r="D19" s="335" t="s">
        <v>35</v>
      </c>
      <c r="E19" s="305">
        <v>0</v>
      </c>
      <c r="F19" s="305">
        <v>0</v>
      </c>
      <c r="G19" s="127">
        <v>210</v>
      </c>
      <c r="N19" s="303" t="s">
        <v>19</v>
      </c>
      <c r="O19" s="304" t="s">
        <v>19</v>
      </c>
      <c r="P19" s="306" t="s">
        <v>203</v>
      </c>
      <c r="Q19" s="331" t="s">
        <v>35</v>
      </c>
      <c r="R19" s="304">
        <v>0</v>
      </c>
      <c r="S19" s="304">
        <v>0</v>
      </c>
      <c r="T19" s="127">
        <v>762932</v>
      </c>
    </row>
    <row r="20" spans="1:25">
      <c r="A20" s="303" t="s">
        <v>88</v>
      </c>
      <c r="B20" s="304"/>
      <c r="C20" s="304"/>
      <c r="D20" s="335" t="s">
        <v>35</v>
      </c>
      <c r="E20" s="305">
        <v>0</v>
      </c>
      <c r="F20" s="305">
        <v>0</v>
      </c>
      <c r="G20" s="127">
        <v>349.00000000000023</v>
      </c>
      <c r="N20" s="303" t="s">
        <v>157</v>
      </c>
      <c r="O20" s="304"/>
      <c r="P20" s="306"/>
      <c r="Q20" s="21" t="s">
        <v>413</v>
      </c>
      <c r="R20" s="304">
        <v>0</v>
      </c>
      <c r="S20" s="304">
        <v>0</v>
      </c>
      <c r="T20" s="127">
        <v>349</v>
      </c>
    </row>
    <row r="21" spans="1:25">
      <c r="A21" s="303" t="s">
        <v>89</v>
      </c>
      <c r="B21" s="304"/>
      <c r="C21" s="304"/>
      <c r="D21" s="335" t="s">
        <v>35</v>
      </c>
      <c r="E21" s="305">
        <v>0</v>
      </c>
      <c r="F21" s="305">
        <v>0</v>
      </c>
      <c r="G21" s="127">
        <v>179.99999999999969</v>
      </c>
      <c r="N21" s="310" t="s">
        <v>158</v>
      </c>
      <c r="O21" s="311"/>
      <c r="P21" s="311" t="s">
        <v>258</v>
      </c>
      <c r="Q21" s="339" t="s">
        <v>39</v>
      </c>
      <c r="R21" s="311">
        <v>1</v>
      </c>
      <c r="S21" s="311">
        <v>1</v>
      </c>
      <c r="T21" s="312">
        <v>66</v>
      </c>
    </row>
    <row r="22" spans="1:25">
      <c r="A22" s="307" t="s">
        <v>90</v>
      </c>
      <c r="B22" s="306"/>
      <c r="C22" s="306"/>
      <c r="D22" s="336" t="s">
        <v>35</v>
      </c>
      <c r="E22" s="308">
        <v>0</v>
      </c>
      <c r="F22" s="308">
        <v>0</v>
      </c>
      <c r="G22" s="309">
        <v>2160</v>
      </c>
      <c r="N22" s="310" t="s">
        <v>159</v>
      </c>
      <c r="O22" s="311"/>
      <c r="P22" s="311" t="s">
        <v>258</v>
      </c>
      <c r="Q22" s="339" t="s">
        <v>39</v>
      </c>
      <c r="R22" s="311">
        <v>1</v>
      </c>
      <c r="S22" s="311">
        <v>1</v>
      </c>
      <c r="T22" s="312">
        <v>1621</v>
      </c>
    </row>
    <row r="23" spans="1:25">
      <c r="A23" s="307" t="s">
        <v>91</v>
      </c>
      <c r="B23" s="306"/>
      <c r="C23" s="306"/>
      <c r="D23" s="336" t="s">
        <v>35</v>
      </c>
      <c r="E23" s="308">
        <v>0</v>
      </c>
      <c r="F23" s="308">
        <v>0</v>
      </c>
      <c r="G23" s="309">
        <v>119.99999999999957</v>
      </c>
      <c r="N23" s="303" t="s">
        <v>160</v>
      </c>
      <c r="O23" s="304"/>
      <c r="P23" s="306" t="s">
        <v>204</v>
      </c>
      <c r="Q23" s="331" t="s">
        <v>57</v>
      </c>
      <c r="R23" s="304">
        <v>0</v>
      </c>
      <c r="S23" s="304">
        <v>0</v>
      </c>
      <c r="T23" s="127">
        <v>572</v>
      </c>
    </row>
    <row r="24" spans="1:25">
      <c r="A24" s="307" t="s">
        <v>92</v>
      </c>
      <c r="B24" s="306"/>
      <c r="C24" s="306"/>
      <c r="D24" s="336" t="s">
        <v>413</v>
      </c>
      <c r="E24" s="308">
        <v>0</v>
      </c>
      <c r="F24" s="308">
        <v>0</v>
      </c>
      <c r="G24" s="309">
        <v>243.38333333333341</v>
      </c>
      <c r="N24" s="303" t="s">
        <v>161</v>
      </c>
      <c r="O24" s="304"/>
      <c r="P24" s="306" t="s">
        <v>148</v>
      </c>
      <c r="Q24" s="331" t="s">
        <v>35</v>
      </c>
      <c r="R24" s="304">
        <v>0</v>
      </c>
      <c r="S24" s="304">
        <v>0</v>
      </c>
      <c r="T24" s="127">
        <v>302</v>
      </c>
    </row>
    <row r="25" spans="1:25">
      <c r="A25" s="307" t="s">
        <v>93</v>
      </c>
      <c r="B25" s="306"/>
      <c r="C25" s="306"/>
      <c r="D25" s="336" t="s">
        <v>413</v>
      </c>
      <c r="E25" s="308">
        <v>0</v>
      </c>
      <c r="F25" s="308">
        <v>0</v>
      </c>
      <c r="G25" s="309">
        <v>476.29999999999973</v>
      </c>
      <c r="N25" s="303" t="s">
        <v>162</v>
      </c>
      <c r="O25" s="304"/>
      <c r="P25" s="306"/>
      <c r="Q25" s="331" t="s">
        <v>37</v>
      </c>
      <c r="R25" s="304">
        <v>0</v>
      </c>
      <c r="S25" s="304">
        <v>0</v>
      </c>
      <c r="T25" s="127">
        <v>120</v>
      </c>
    </row>
    <row r="26" spans="1:25">
      <c r="A26" s="307" t="s">
        <v>94</v>
      </c>
      <c r="B26" s="306" t="s">
        <v>138</v>
      </c>
      <c r="C26" s="306"/>
      <c r="D26" s="336" t="s">
        <v>34</v>
      </c>
      <c r="E26" s="308">
        <v>0</v>
      </c>
      <c r="F26" s="308">
        <v>0</v>
      </c>
      <c r="G26" s="309">
        <v>989.99999999999818</v>
      </c>
      <c r="N26" s="303" t="s">
        <v>20</v>
      </c>
      <c r="O26" s="303" t="s">
        <v>20</v>
      </c>
      <c r="P26" s="306" t="s">
        <v>205</v>
      </c>
      <c r="Q26" s="331" t="s">
        <v>35</v>
      </c>
      <c r="R26" s="304">
        <v>0</v>
      </c>
      <c r="S26" s="304">
        <v>0</v>
      </c>
      <c r="T26" s="127">
        <v>606494</v>
      </c>
    </row>
    <row r="27" spans="1:25">
      <c r="A27" s="307" t="s">
        <v>51</v>
      </c>
      <c r="B27" s="306" t="s">
        <v>138</v>
      </c>
      <c r="C27" s="306"/>
      <c r="D27" s="336" t="s">
        <v>34</v>
      </c>
      <c r="E27" s="308">
        <v>0</v>
      </c>
      <c r="F27" s="308">
        <v>0</v>
      </c>
      <c r="G27" s="309">
        <v>180.00000000000011</v>
      </c>
      <c r="N27" s="303" t="s">
        <v>163</v>
      </c>
      <c r="O27" s="304" t="s">
        <v>45</v>
      </c>
      <c r="P27" s="306"/>
      <c r="Q27" s="331" t="s">
        <v>35</v>
      </c>
      <c r="R27" s="304">
        <v>0</v>
      </c>
      <c r="S27" s="304">
        <v>0</v>
      </c>
      <c r="T27" s="127">
        <v>1296</v>
      </c>
    </row>
    <row r="28" spans="1:25">
      <c r="A28" s="307" t="s">
        <v>19</v>
      </c>
      <c r="B28" s="306"/>
      <c r="C28" s="306"/>
      <c r="D28" s="336" t="s">
        <v>35</v>
      </c>
      <c r="E28" s="308">
        <v>0</v>
      </c>
      <c r="F28" s="308">
        <v>0</v>
      </c>
      <c r="G28" s="309">
        <v>243.51666666666662</v>
      </c>
      <c r="N28" s="303" t="s">
        <v>21</v>
      </c>
      <c r="O28" s="304"/>
      <c r="P28" s="306" t="s">
        <v>206</v>
      </c>
      <c r="Q28" s="331" t="s">
        <v>35</v>
      </c>
      <c r="R28" s="304">
        <v>0</v>
      </c>
      <c r="S28" s="304">
        <v>0</v>
      </c>
      <c r="T28" s="127">
        <v>25</v>
      </c>
    </row>
    <row r="29" spans="1:25">
      <c r="A29" s="307" t="s">
        <v>20</v>
      </c>
      <c r="B29" s="306"/>
      <c r="C29" s="306"/>
      <c r="D29" s="336" t="s">
        <v>35</v>
      </c>
      <c r="E29" s="308">
        <v>0</v>
      </c>
      <c r="F29" s="308">
        <v>0</v>
      </c>
      <c r="G29" s="309">
        <v>134</v>
      </c>
      <c r="N29" s="303" t="s">
        <v>164</v>
      </c>
      <c r="O29" s="304"/>
      <c r="P29" s="306" t="s">
        <v>207</v>
      </c>
      <c r="Q29" s="331" t="s">
        <v>37</v>
      </c>
      <c r="R29" s="304">
        <v>0</v>
      </c>
      <c r="S29" s="304">
        <v>0</v>
      </c>
      <c r="T29" s="127">
        <v>436</v>
      </c>
    </row>
    <row r="30" spans="1:25">
      <c r="A30" s="307" t="s">
        <v>95</v>
      </c>
      <c r="B30" s="306" t="s">
        <v>45</v>
      </c>
      <c r="C30" s="306"/>
      <c r="D30" s="336" t="s">
        <v>35</v>
      </c>
      <c r="E30" s="308">
        <v>0</v>
      </c>
      <c r="F30" s="308">
        <v>0</v>
      </c>
      <c r="G30" s="309">
        <v>41390.433333333334</v>
      </c>
      <c r="N30" s="303" t="s">
        <v>22</v>
      </c>
      <c r="O30" s="15" t="s">
        <v>22</v>
      </c>
      <c r="P30" s="306"/>
      <c r="Q30" s="331" t="s">
        <v>37</v>
      </c>
      <c r="R30" s="304">
        <v>0</v>
      </c>
      <c r="S30" s="304">
        <v>0</v>
      </c>
      <c r="T30" s="127">
        <v>2305359</v>
      </c>
      <c r="U30" s="13"/>
    </row>
    <row r="31" spans="1:25">
      <c r="A31" s="307" t="s">
        <v>96</v>
      </c>
      <c r="B31" s="306" t="s">
        <v>21</v>
      </c>
      <c r="C31" s="306"/>
      <c r="D31" s="336" t="s">
        <v>35</v>
      </c>
      <c r="E31" s="308">
        <v>0</v>
      </c>
      <c r="F31" s="308">
        <v>0</v>
      </c>
      <c r="G31" s="309">
        <v>278.7333333333338</v>
      </c>
      <c r="N31" s="303" t="s">
        <v>23</v>
      </c>
      <c r="O31" s="15"/>
      <c r="P31" s="306" t="s">
        <v>208</v>
      </c>
      <c r="Q31" s="331" t="s">
        <v>38</v>
      </c>
      <c r="R31" s="304">
        <v>0</v>
      </c>
      <c r="S31" s="304">
        <v>0</v>
      </c>
      <c r="T31" s="127">
        <v>1250</v>
      </c>
    </row>
    <row r="32" spans="1:25">
      <c r="A32" s="307" t="s">
        <v>97</v>
      </c>
      <c r="B32" s="306" t="s">
        <v>539</v>
      </c>
      <c r="C32" s="306" t="s">
        <v>249</v>
      </c>
      <c r="D32" s="336" t="s">
        <v>35</v>
      </c>
      <c r="E32" s="308">
        <v>0</v>
      </c>
      <c r="F32" s="308">
        <v>0</v>
      </c>
      <c r="G32" s="309">
        <v>34371.283333333333</v>
      </c>
      <c r="N32" s="303" t="s">
        <v>165</v>
      </c>
      <c r="O32" s="304"/>
      <c r="P32" s="306" t="s">
        <v>208</v>
      </c>
      <c r="Q32" s="331" t="s">
        <v>38</v>
      </c>
      <c r="R32" s="304">
        <v>0</v>
      </c>
      <c r="S32" s="304">
        <v>0</v>
      </c>
      <c r="T32" s="127">
        <v>6938</v>
      </c>
    </row>
    <row r="33" spans="1:20">
      <c r="A33" s="307" t="s">
        <v>22</v>
      </c>
      <c r="B33" s="306" t="s">
        <v>22</v>
      </c>
      <c r="C33" s="306"/>
      <c r="D33" s="336" t="s">
        <v>37</v>
      </c>
      <c r="E33" s="308">
        <v>0</v>
      </c>
      <c r="F33" s="308">
        <v>0</v>
      </c>
      <c r="G33" s="309">
        <v>885.70000000000039</v>
      </c>
      <c r="N33" s="303" t="s">
        <v>24</v>
      </c>
      <c r="O33" s="304"/>
      <c r="P33" s="306" t="s">
        <v>259</v>
      </c>
      <c r="Q33" s="331" t="s">
        <v>39</v>
      </c>
      <c r="R33" s="304">
        <v>0</v>
      </c>
      <c r="S33" s="304">
        <v>0</v>
      </c>
      <c r="T33" s="127">
        <v>628</v>
      </c>
    </row>
    <row r="34" spans="1:20">
      <c r="A34" s="307" t="s">
        <v>98</v>
      </c>
      <c r="B34" s="306"/>
      <c r="C34" s="306" t="s">
        <v>142</v>
      </c>
      <c r="D34" s="336" t="s">
        <v>35</v>
      </c>
      <c r="E34" s="308">
        <v>0</v>
      </c>
      <c r="F34" s="308">
        <v>0</v>
      </c>
      <c r="G34" s="309">
        <v>5889.5833333333339</v>
      </c>
      <c r="N34" s="303" t="s">
        <v>166</v>
      </c>
      <c r="O34" s="304"/>
      <c r="P34" s="306" t="s">
        <v>259</v>
      </c>
      <c r="Q34" s="331" t="s">
        <v>39</v>
      </c>
      <c r="R34" s="304">
        <v>0</v>
      </c>
      <c r="S34" s="304">
        <v>0</v>
      </c>
      <c r="T34" s="127">
        <v>4850</v>
      </c>
    </row>
    <row r="35" spans="1:20">
      <c r="A35" s="307" t="s">
        <v>99</v>
      </c>
      <c r="B35" s="306" t="s">
        <v>250</v>
      </c>
      <c r="C35" s="306" t="s">
        <v>250</v>
      </c>
      <c r="D35" s="336" t="s">
        <v>35</v>
      </c>
      <c r="E35" s="308">
        <v>0</v>
      </c>
      <c r="F35" s="308">
        <v>0</v>
      </c>
      <c r="G35" s="309">
        <v>37392</v>
      </c>
      <c r="N35" s="303" t="s">
        <v>167</v>
      </c>
      <c r="O35" s="304"/>
      <c r="P35" s="306" t="s">
        <v>259</v>
      </c>
      <c r="Q35" s="331" t="s">
        <v>39</v>
      </c>
      <c r="R35" s="304">
        <v>0</v>
      </c>
      <c r="S35" s="304">
        <v>0</v>
      </c>
      <c r="T35" s="127">
        <v>2106</v>
      </c>
    </row>
    <row r="36" spans="1:20">
      <c r="A36" s="307" t="s">
        <v>100</v>
      </c>
      <c r="B36" s="306" t="s">
        <v>100</v>
      </c>
      <c r="C36" s="306" t="s">
        <v>143</v>
      </c>
      <c r="D36" s="110" t="s">
        <v>34</v>
      </c>
      <c r="E36" s="308">
        <v>0</v>
      </c>
      <c r="F36" s="308">
        <v>0</v>
      </c>
      <c r="G36" s="309">
        <v>246879.64999999997</v>
      </c>
      <c r="N36" s="303" t="s">
        <v>168</v>
      </c>
      <c r="O36" s="304"/>
      <c r="P36" s="306" t="s">
        <v>259</v>
      </c>
      <c r="Q36" s="331" t="s">
        <v>39</v>
      </c>
      <c r="R36" s="304">
        <v>0</v>
      </c>
      <c r="S36" s="304">
        <v>0</v>
      </c>
      <c r="T36" s="127">
        <v>232</v>
      </c>
    </row>
    <row r="37" spans="1:20">
      <c r="A37" s="307" t="s">
        <v>101</v>
      </c>
      <c r="B37" s="306" t="s">
        <v>251</v>
      </c>
      <c r="C37" s="306"/>
      <c r="D37" s="336" t="s">
        <v>35</v>
      </c>
      <c r="E37" s="308">
        <v>0</v>
      </c>
      <c r="F37" s="308">
        <v>0</v>
      </c>
      <c r="G37" s="309">
        <v>939.10000000000116</v>
      </c>
      <c r="N37" s="303" t="s">
        <v>169</v>
      </c>
      <c r="O37" s="304"/>
      <c r="P37" s="306" t="s">
        <v>259</v>
      </c>
      <c r="Q37" s="331" t="s">
        <v>39</v>
      </c>
      <c r="R37" s="304">
        <v>0</v>
      </c>
      <c r="S37" s="304">
        <v>0</v>
      </c>
      <c r="T37" s="127">
        <v>17580</v>
      </c>
    </row>
    <row r="38" spans="1:20">
      <c r="A38" s="307" t="s">
        <v>102</v>
      </c>
      <c r="B38" s="306" t="s">
        <v>250</v>
      </c>
      <c r="C38" s="306"/>
      <c r="D38" s="336" t="s">
        <v>35</v>
      </c>
      <c r="E38" s="308">
        <v>0</v>
      </c>
      <c r="F38" s="308">
        <v>0</v>
      </c>
      <c r="G38" s="309">
        <v>152.00000000000026</v>
      </c>
      <c r="N38" s="303" t="s">
        <v>170</v>
      </c>
      <c r="O38" s="304"/>
      <c r="P38" s="306" t="s">
        <v>259</v>
      </c>
      <c r="Q38" s="331" t="s">
        <v>39</v>
      </c>
      <c r="R38" s="304">
        <v>0</v>
      </c>
      <c r="S38" s="304">
        <v>0</v>
      </c>
      <c r="T38" s="127">
        <v>923</v>
      </c>
    </row>
    <row r="39" spans="1:20">
      <c r="A39" s="307" t="s">
        <v>103</v>
      </c>
      <c r="B39" s="306" t="s">
        <v>250</v>
      </c>
      <c r="C39" s="306"/>
      <c r="D39" s="336" t="s">
        <v>35</v>
      </c>
      <c r="E39" s="308">
        <v>0</v>
      </c>
      <c r="F39" s="308">
        <v>0</v>
      </c>
      <c r="G39" s="309">
        <v>166.23333333333329</v>
      </c>
      <c r="N39" s="303" t="s">
        <v>171</v>
      </c>
      <c r="O39" s="304"/>
      <c r="P39" s="306" t="s">
        <v>259</v>
      </c>
      <c r="Q39" s="331" t="s">
        <v>39</v>
      </c>
      <c r="R39" s="304">
        <v>0</v>
      </c>
      <c r="S39" s="304">
        <v>0</v>
      </c>
      <c r="T39" s="127">
        <v>623</v>
      </c>
    </row>
    <row r="40" spans="1:20">
      <c r="A40" s="307" t="s">
        <v>104</v>
      </c>
      <c r="B40" s="306" t="s">
        <v>252</v>
      </c>
      <c r="C40" s="306"/>
      <c r="D40" s="336" t="s">
        <v>35</v>
      </c>
      <c r="E40" s="308">
        <v>0</v>
      </c>
      <c r="F40" s="308">
        <v>0</v>
      </c>
      <c r="G40" s="309">
        <v>57098.45</v>
      </c>
      <c r="N40" s="303" t="s">
        <v>172</v>
      </c>
      <c r="O40" s="304"/>
      <c r="P40" s="306" t="s">
        <v>259</v>
      </c>
      <c r="Q40" s="331" t="s">
        <v>39</v>
      </c>
      <c r="R40" s="304">
        <v>0</v>
      </c>
      <c r="S40" s="304">
        <v>0</v>
      </c>
      <c r="T40" s="127">
        <v>1662</v>
      </c>
    </row>
    <row r="41" spans="1:20">
      <c r="A41" s="307" t="s">
        <v>105</v>
      </c>
      <c r="B41" s="306"/>
      <c r="C41" s="306" t="s">
        <v>144</v>
      </c>
      <c r="D41" s="336" t="s">
        <v>35</v>
      </c>
      <c r="E41" s="308">
        <v>0</v>
      </c>
      <c r="F41" s="308">
        <v>0</v>
      </c>
      <c r="G41" s="309">
        <v>1120</v>
      </c>
      <c r="N41" s="303" t="s">
        <v>173</v>
      </c>
      <c r="O41" s="304"/>
      <c r="P41" s="306" t="s">
        <v>259</v>
      </c>
      <c r="Q41" s="331" t="s">
        <v>39</v>
      </c>
      <c r="R41" s="304">
        <v>0</v>
      </c>
      <c r="S41" s="304">
        <v>0</v>
      </c>
      <c r="T41" s="127">
        <v>1993</v>
      </c>
    </row>
    <row r="42" spans="1:20">
      <c r="A42" s="307" t="s">
        <v>106</v>
      </c>
      <c r="B42" s="306"/>
      <c r="C42" s="306" t="s">
        <v>144</v>
      </c>
      <c r="D42" s="336" t="s">
        <v>35</v>
      </c>
      <c r="E42" s="308">
        <v>0</v>
      </c>
      <c r="F42" s="308">
        <v>0</v>
      </c>
      <c r="G42" s="309">
        <v>1109.9999999999993</v>
      </c>
      <c r="N42" s="303" t="s">
        <v>174</v>
      </c>
      <c r="O42" s="304"/>
      <c r="P42" s="306" t="s">
        <v>259</v>
      </c>
      <c r="Q42" s="331" t="s">
        <v>39</v>
      </c>
      <c r="R42" s="304">
        <v>0</v>
      </c>
      <c r="S42" s="304">
        <v>0</v>
      </c>
      <c r="T42" s="127">
        <v>4811</v>
      </c>
    </row>
    <row r="43" spans="1:20">
      <c r="A43" s="307" t="s">
        <v>107</v>
      </c>
      <c r="B43" s="306"/>
      <c r="C43" s="306" t="s">
        <v>144</v>
      </c>
      <c r="D43" s="336" t="s">
        <v>35</v>
      </c>
      <c r="E43" s="308">
        <v>0</v>
      </c>
      <c r="F43" s="308">
        <v>0</v>
      </c>
      <c r="G43" s="309">
        <v>994.99999999999864</v>
      </c>
      <c r="N43" s="303" t="s">
        <v>175</v>
      </c>
      <c r="O43" s="304"/>
      <c r="P43" s="306" t="s">
        <v>259</v>
      </c>
      <c r="Q43" s="331" t="s">
        <v>39</v>
      </c>
      <c r="R43" s="304">
        <v>0</v>
      </c>
      <c r="S43" s="304">
        <v>0</v>
      </c>
      <c r="T43" s="127">
        <v>81</v>
      </c>
    </row>
    <row r="44" spans="1:20">
      <c r="A44" s="307" t="s">
        <v>108</v>
      </c>
      <c r="B44" s="306"/>
      <c r="C44" s="306" t="s">
        <v>144</v>
      </c>
      <c r="D44" s="336" t="s">
        <v>35</v>
      </c>
      <c r="E44" s="308">
        <v>0</v>
      </c>
      <c r="F44" s="308">
        <v>0</v>
      </c>
      <c r="G44" s="309">
        <v>1065.0000000000002</v>
      </c>
      <c r="N44" s="303" t="s">
        <v>176</v>
      </c>
      <c r="O44" s="304"/>
      <c r="P44" s="306" t="s">
        <v>259</v>
      </c>
      <c r="Q44" s="331" t="s">
        <v>39</v>
      </c>
      <c r="R44" s="304">
        <v>0</v>
      </c>
      <c r="S44" s="304">
        <v>0</v>
      </c>
      <c r="T44" s="127">
        <v>35708</v>
      </c>
    </row>
    <row r="45" spans="1:20">
      <c r="A45" s="307" t="s">
        <v>109</v>
      </c>
      <c r="B45" s="306"/>
      <c r="C45" s="306" t="s">
        <v>46</v>
      </c>
      <c r="D45" s="336" t="s">
        <v>35</v>
      </c>
      <c r="E45" s="308">
        <v>0</v>
      </c>
      <c r="F45" s="308">
        <v>0</v>
      </c>
      <c r="G45" s="309">
        <v>4325.9500000000044</v>
      </c>
      <c r="N45" s="303" t="s">
        <v>177</v>
      </c>
      <c r="O45" s="304"/>
      <c r="P45" s="306" t="s">
        <v>250</v>
      </c>
      <c r="Q45" s="331" t="s">
        <v>35</v>
      </c>
      <c r="R45" s="304">
        <v>0</v>
      </c>
      <c r="S45" s="304">
        <v>0</v>
      </c>
      <c r="T45" s="127">
        <v>31521</v>
      </c>
    </row>
    <row r="46" spans="1:20">
      <c r="A46" s="307" t="s">
        <v>110</v>
      </c>
      <c r="B46" s="306"/>
      <c r="C46" s="306" t="s">
        <v>145</v>
      </c>
      <c r="D46" s="336" t="s">
        <v>35</v>
      </c>
      <c r="E46" s="308">
        <v>0</v>
      </c>
      <c r="F46" s="308">
        <v>0</v>
      </c>
      <c r="G46" s="309">
        <v>20496.283333333333</v>
      </c>
      <c r="N46" s="303" t="s">
        <v>178</v>
      </c>
      <c r="O46" s="304"/>
      <c r="P46" s="306" t="s">
        <v>250</v>
      </c>
      <c r="Q46" s="331" t="s">
        <v>35</v>
      </c>
      <c r="R46" s="304">
        <v>0</v>
      </c>
      <c r="S46" s="304">
        <v>0</v>
      </c>
      <c r="T46" s="127">
        <v>1228</v>
      </c>
    </row>
    <row r="47" spans="1:20">
      <c r="A47" s="307" t="s">
        <v>111</v>
      </c>
      <c r="B47" s="306"/>
      <c r="C47" s="306"/>
      <c r="D47" s="336" t="s">
        <v>413</v>
      </c>
      <c r="E47" s="308">
        <v>0</v>
      </c>
      <c r="F47" s="308">
        <v>0</v>
      </c>
      <c r="G47" s="309">
        <v>1069.4999999999984</v>
      </c>
      <c r="N47" s="303" t="s">
        <v>179</v>
      </c>
      <c r="O47" s="304"/>
      <c r="P47" s="306" t="s">
        <v>250</v>
      </c>
      <c r="Q47" s="331" t="s">
        <v>35</v>
      </c>
      <c r="R47" s="304">
        <v>0</v>
      </c>
      <c r="S47" s="304">
        <v>0</v>
      </c>
      <c r="T47" s="127">
        <v>1190</v>
      </c>
    </row>
    <row r="48" spans="1:20">
      <c r="A48" s="307" t="s">
        <v>112</v>
      </c>
      <c r="B48" s="306" t="s">
        <v>253</v>
      </c>
      <c r="C48" s="306"/>
      <c r="D48" s="110" t="s">
        <v>37</v>
      </c>
      <c r="E48" s="308">
        <v>0</v>
      </c>
      <c r="F48" s="308">
        <v>0</v>
      </c>
      <c r="G48" s="309">
        <v>731.00000000000011</v>
      </c>
      <c r="N48" s="303" t="s">
        <v>63</v>
      </c>
      <c r="O48" s="304"/>
      <c r="P48" s="306" t="s">
        <v>144</v>
      </c>
      <c r="Q48" s="331" t="s">
        <v>35</v>
      </c>
      <c r="R48" s="304">
        <v>0</v>
      </c>
      <c r="S48" s="304">
        <v>0</v>
      </c>
      <c r="T48" s="127">
        <v>13399</v>
      </c>
    </row>
    <row r="49" spans="1:20">
      <c r="A49" s="307" t="s">
        <v>113</v>
      </c>
      <c r="B49" s="306" t="s">
        <v>253</v>
      </c>
      <c r="C49" s="306"/>
      <c r="D49" s="110" t="s">
        <v>37</v>
      </c>
      <c r="E49" s="308">
        <v>0</v>
      </c>
      <c r="F49" s="308">
        <v>0</v>
      </c>
      <c r="G49" s="309">
        <v>386.13333333333281</v>
      </c>
      <c r="N49" s="303" t="s">
        <v>64</v>
      </c>
      <c r="O49" s="304"/>
      <c r="P49" s="306" t="s">
        <v>144</v>
      </c>
      <c r="Q49" s="331" t="s">
        <v>35</v>
      </c>
      <c r="R49" s="304">
        <v>0</v>
      </c>
      <c r="S49" s="304">
        <v>0</v>
      </c>
      <c r="T49" s="127">
        <v>11127</v>
      </c>
    </row>
    <row r="50" spans="1:20">
      <c r="A50" s="307" t="s">
        <v>114</v>
      </c>
      <c r="B50" s="306" t="s">
        <v>502</v>
      </c>
      <c r="C50" s="306"/>
      <c r="D50" s="336" t="s">
        <v>35</v>
      </c>
      <c r="E50" s="308">
        <v>0</v>
      </c>
      <c r="F50" s="308">
        <v>0</v>
      </c>
      <c r="G50" s="309">
        <v>19383.033333333336</v>
      </c>
      <c r="N50" s="303" t="s">
        <v>65</v>
      </c>
      <c r="O50" s="304"/>
      <c r="P50" s="306" t="s">
        <v>144</v>
      </c>
      <c r="Q50" s="331" t="s">
        <v>35</v>
      </c>
      <c r="R50" s="304">
        <v>0</v>
      </c>
      <c r="S50" s="304">
        <v>0</v>
      </c>
      <c r="T50" s="127">
        <v>11208</v>
      </c>
    </row>
    <row r="51" spans="1:20">
      <c r="A51" s="307" t="s">
        <v>115</v>
      </c>
      <c r="B51" s="306"/>
      <c r="C51" s="306"/>
      <c r="D51" s="336" t="s">
        <v>413</v>
      </c>
      <c r="E51" s="308">
        <v>0</v>
      </c>
      <c r="F51" s="308">
        <v>0</v>
      </c>
      <c r="G51" s="309">
        <v>3345.0000000000014</v>
      </c>
      <c r="N51" s="303" t="s">
        <v>66</v>
      </c>
      <c r="O51" s="304"/>
      <c r="P51" s="306" t="s">
        <v>144</v>
      </c>
      <c r="Q51" s="331" t="s">
        <v>35</v>
      </c>
      <c r="R51" s="304">
        <v>0</v>
      </c>
      <c r="S51" s="304">
        <v>0</v>
      </c>
      <c r="T51" s="127">
        <v>13599</v>
      </c>
    </row>
    <row r="52" spans="1:20">
      <c r="A52" s="307" t="s">
        <v>116</v>
      </c>
      <c r="B52" s="306" t="s">
        <v>501</v>
      </c>
      <c r="C52" s="306"/>
      <c r="D52" s="336" t="s">
        <v>35</v>
      </c>
      <c r="E52" s="308">
        <v>0</v>
      </c>
      <c r="F52" s="308">
        <v>0</v>
      </c>
      <c r="G52" s="309">
        <v>132943.28333333333</v>
      </c>
      <c r="N52" s="303" t="s">
        <v>33</v>
      </c>
      <c r="O52" s="304"/>
      <c r="P52" s="306" t="s">
        <v>209</v>
      </c>
      <c r="Q52" s="331" t="s">
        <v>35</v>
      </c>
      <c r="R52" s="304">
        <v>0</v>
      </c>
      <c r="S52" s="304">
        <v>0</v>
      </c>
      <c r="T52" s="127">
        <v>113375</v>
      </c>
    </row>
    <row r="53" spans="1:20">
      <c r="A53" s="307" t="s">
        <v>117</v>
      </c>
      <c r="B53" s="306"/>
      <c r="C53" s="306"/>
      <c r="D53" s="336" t="s">
        <v>413</v>
      </c>
      <c r="E53" s="308">
        <v>0</v>
      </c>
      <c r="F53" s="308">
        <v>0</v>
      </c>
      <c r="G53" s="309">
        <v>36.999999999999986</v>
      </c>
      <c r="N53" s="310" t="s">
        <v>180</v>
      </c>
      <c r="O53" s="311"/>
      <c r="P53" s="311"/>
      <c r="Q53" s="21" t="s">
        <v>413</v>
      </c>
      <c r="R53" s="311">
        <v>1</v>
      </c>
      <c r="S53" s="311">
        <v>1</v>
      </c>
      <c r="T53" s="312">
        <v>9012</v>
      </c>
    </row>
    <row r="54" spans="1:20">
      <c r="A54" s="307" t="s">
        <v>118</v>
      </c>
      <c r="B54" s="306"/>
      <c r="C54" s="306"/>
      <c r="D54" s="336" t="s">
        <v>413</v>
      </c>
      <c r="E54" s="308">
        <v>0</v>
      </c>
      <c r="F54" s="308">
        <v>0</v>
      </c>
      <c r="G54" s="309">
        <v>11.999999999999996</v>
      </c>
      <c r="N54" s="303" t="s">
        <v>25</v>
      </c>
      <c r="O54" s="304"/>
      <c r="P54" s="306" t="s">
        <v>260</v>
      </c>
      <c r="Q54" s="331" t="s">
        <v>35</v>
      </c>
      <c r="R54" s="304">
        <v>0</v>
      </c>
      <c r="S54" s="304">
        <v>0</v>
      </c>
      <c r="T54" s="127">
        <v>3401</v>
      </c>
    </row>
    <row r="55" spans="1:20">
      <c r="A55" s="307" t="s">
        <v>119</v>
      </c>
      <c r="B55" s="306" t="s">
        <v>254</v>
      </c>
      <c r="C55" s="306" t="s">
        <v>146</v>
      </c>
      <c r="D55" s="336" t="s">
        <v>35</v>
      </c>
      <c r="E55" s="308">
        <v>0</v>
      </c>
      <c r="F55" s="308">
        <v>0</v>
      </c>
      <c r="G55" s="309">
        <v>25077.333333333332</v>
      </c>
      <c r="N55" s="303" t="s">
        <v>46</v>
      </c>
      <c r="O55" s="304"/>
      <c r="P55" s="306" t="s">
        <v>210</v>
      </c>
      <c r="Q55" s="331" t="s">
        <v>35</v>
      </c>
      <c r="R55" s="304">
        <v>0</v>
      </c>
      <c r="S55" s="304">
        <v>0</v>
      </c>
      <c r="T55" s="127">
        <v>6454</v>
      </c>
    </row>
    <row r="56" spans="1:20">
      <c r="A56" s="307" t="s">
        <v>120</v>
      </c>
      <c r="B56" s="306" t="s">
        <v>147</v>
      </c>
      <c r="C56" s="306" t="s">
        <v>147</v>
      </c>
      <c r="D56" s="336" t="s">
        <v>34</v>
      </c>
      <c r="E56" s="308">
        <v>0</v>
      </c>
      <c r="F56" s="308">
        <v>0</v>
      </c>
      <c r="G56" s="309">
        <v>2160</v>
      </c>
      <c r="N56" s="303" t="s">
        <v>26</v>
      </c>
      <c r="O56" s="304"/>
      <c r="P56" s="306" t="s">
        <v>145</v>
      </c>
      <c r="Q56" s="331" t="s">
        <v>35</v>
      </c>
      <c r="R56" s="304">
        <v>0</v>
      </c>
      <c r="S56" s="304">
        <v>0</v>
      </c>
      <c r="T56" s="127">
        <v>296</v>
      </c>
    </row>
    <row r="57" spans="1:20">
      <c r="A57" s="307" t="s">
        <v>121</v>
      </c>
      <c r="B57" s="306" t="s">
        <v>22</v>
      </c>
      <c r="C57" s="306"/>
      <c r="D57" s="110" t="s">
        <v>37</v>
      </c>
      <c r="E57" s="308">
        <v>0</v>
      </c>
      <c r="F57" s="308">
        <v>0</v>
      </c>
      <c r="G57" s="309">
        <v>461438</v>
      </c>
      <c r="H57" s="16"/>
      <c r="N57" s="303" t="s">
        <v>27</v>
      </c>
      <c r="O57" s="304"/>
      <c r="P57" s="306"/>
      <c r="Q57" s="331" t="s">
        <v>37</v>
      </c>
      <c r="R57" s="304">
        <v>0</v>
      </c>
      <c r="S57" s="304">
        <v>0</v>
      </c>
      <c r="T57" s="127">
        <v>3024</v>
      </c>
    </row>
    <row r="58" spans="1:20">
      <c r="A58" s="307" t="s">
        <v>48</v>
      </c>
      <c r="B58" s="306" t="s">
        <v>48</v>
      </c>
      <c r="C58" s="306"/>
      <c r="D58" s="110" t="s">
        <v>38</v>
      </c>
      <c r="E58" s="308">
        <v>0</v>
      </c>
      <c r="F58" s="308">
        <v>0</v>
      </c>
      <c r="G58" s="309">
        <v>22562.250000000011</v>
      </c>
      <c r="I58" s="16"/>
      <c r="N58" s="303" t="s">
        <v>181</v>
      </c>
      <c r="O58" s="304"/>
      <c r="P58" s="306" t="s">
        <v>211</v>
      </c>
      <c r="Q58" s="331" t="s">
        <v>35</v>
      </c>
      <c r="R58" s="304">
        <v>0</v>
      </c>
      <c r="S58" s="304">
        <v>0</v>
      </c>
      <c r="T58" s="127">
        <v>1690</v>
      </c>
    </row>
    <row r="59" spans="1:20">
      <c r="A59" s="310" t="s">
        <v>122</v>
      </c>
      <c r="B59" s="311" t="s">
        <v>255</v>
      </c>
      <c r="C59" s="311"/>
      <c r="D59" s="409" t="s">
        <v>34</v>
      </c>
      <c r="E59" s="410">
        <v>1</v>
      </c>
      <c r="F59" s="410">
        <v>1</v>
      </c>
      <c r="G59" s="312">
        <v>510.00000000000011</v>
      </c>
      <c r="N59" s="303" t="s">
        <v>182</v>
      </c>
      <c r="O59" s="304"/>
      <c r="P59" s="306"/>
      <c r="Q59" s="331" t="s">
        <v>35</v>
      </c>
      <c r="R59" s="304">
        <v>0</v>
      </c>
      <c r="S59" s="304">
        <v>0</v>
      </c>
      <c r="T59" s="127">
        <v>180</v>
      </c>
    </row>
    <row r="60" spans="1:20">
      <c r="A60" s="310" t="s">
        <v>123</v>
      </c>
      <c r="B60" s="311" t="s">
        <v>255</v>
      </c>
      <c r="C60" s="311"/>
      <c r="D60" s="409" t="s">
        <v>34</v>
      </c>
      <c r="E60" s="410">
        <v>1</v>
      </c>
      <c r="F60" s="410">
        <v>1</v>
      </c>
      <c r="G60" s="312">
        <v>2219</v>
      </c>
      <c r="N60" s="303" t="s">
        <v>183</v>
      </c>
      <c r="O60" s="304"/>
      <c r="P60" s="306"/>
      <c r="Q60" s="331" t="s">
        <v>35</v>
      </c>
      <c r="R60" s="304">
        <v>0</v>
      </c>
      <c r="S60" s="304">
        <v>0</v>
      </c>
      <c r="T60" s="127">
        <v>3249</v>
      </c>
    </row>
    <row r="61" spans="1:20">
      <c r="A61" s="310" t="s">
        <v>124</v>
      </c>
      <c r="B61" s="311" t="s">
        <v>255</v>
      </c>
      <c r="C61" s="311"/>
      <c r="D61" s="409" t="s">
        <v>34</v>
      </c>
      <c r="E61" s="410">
        <v>1</v>
      </c>
      <c r="F61" s="410">
        <v>1</v>
      </c>
      <c r="G61" s="312">
        <v>5669.9999999999991</v>
      </c>
      <c r="N61" s="303" t="s">
        <v>184</v>
      </c>
      <c r="O61" s="304"/>
      <c r="P61" s="306"/>
      <c r="Q61" s="331" t="s">
        <v>35</v>
      </c>
      <c r="R61" s="304">
        <v>0</v>
      </c>
      <c r="S61" s="304">
        <v>0</v>
      </c>
      <c r="T61" s="127">
        <v>11166</v>
      </c>
    </row>
    <row r="62" spans="1:20">
      <c r="A62" s="310" t="s">
        <v>125</v>
      </c>
      <c r="B62" s="311" t="s">
        <v>255</v>
      </c>
      <c r="C62" s="311"/>
      <c r="D62" s="409" t="s">
        <v>34</v>
      </c>
      <c r="E62" s="410">
        <v>1</v>
      </c>
      <c r="F62" s="410">
        <v>1</v>
      </c>
      <c r="G62" s="312">
        <v>464.99999999999994</v>
      </c>
      <c r="N62" s="303" t="s">
        <v>185</v>
      </c>
      <c r="O62" s="304"/>
      <c r="P62" s="306"/>
      <c r="Q62" s="331" t="s">
        <v>35</v>
      </c>
      <c r="R62" s="304">
        <v>0</v>
      </c>
      <c r="S62" s="304">
        <v>0</v>
      </c>
      <c r="T62" s="127">
        <v>6514</v>
      </c>
    </row>
    <row r="63" spans="1:20">
      <c r="A63" s="310" t="s">
        <v>126</v>
      </c>
      <c r="B63" s="311" t="s">
        <v>255</v>
      </c>
      <c r="C63" s="311"/>
      <c r="D63" s="409" t="s">
        <v>34</v>
      </c>
      <c r="E63" s="410">
        <v>1</v>
      </c>
      <c r="F63" s="410">
        <v>1</v>
      </c>
      <c r="G63" s="312">
        <v>15455</v>
      </c>
      <c r="N63" s="303" t="s">
        <v>186</v>
      </c>
      <c r="O63" s="304"/>
      <c r="P63" s="306" t="s">
        <v>212</v>
      </c>
      <c r="Q63" s="331" t="s">
        <v>39</v>
      </c>
      <c r="R63" s="304">
        <v>0</v>
      </c>
      <c r="S63" s="304">
        <v>0</v>
      </c>
      <c r="T63" s="127">
        <v>119</v>
      </c>
    </row>
    <row r="64" spans="1:20">
      <c r="A64" s="310" t="s">
        <v>127</v>
      </c>
      <c r="B64" s="311" t="s">
        <v>255</v>
      </c>
      <c r="C64" s="311"/>
      <c r="D64" s="409" t="s">
        <v>34</v>
      </c>
      <c r="E64" s="410">
        <v>1</v>
      </c>
      <c r="F64" s="410">
        <v>1</v>
      </c>
      <c r="G64" s="312">
        <v>27975</v>
      </c>
      <c r="N64" s="303" t="s">
        <v>28</v>
      </c>
      <c r="O64" s="304"/>
      <c r="P64" s="306" t="s">
        <v>213</v>
      </c>
      <c r="Q64" s="331" t="s">
        <v>39</v>
      </c>
      <c r="R64" s="304">
        <v>0</v>
      </c>
      <c r="S64" s="304">
        <v>0</v>
      </c>
      <c r="T64" s="127">
        <v>188688</v>
      </c>
    </row>
    <row r="65" spans="1:22">
      <c r="A65" s="310" t="s">
        <v>128</v>
      </c>
      <c r="B65" s="311" t="s">
        <v>255</v>
      </c>
      <c r="C65" s="311"/>
      <c r="D65" s="409" t="s">
        <v>34</v>
      </c>
      <c r="E65" s="410">
        <v>1</v>
      </c>
      <c r="F65" s="410">
        <v>1</v>
      </c>
      <c r="G65" s="312">
        <v>2046</v>
      </c>
      <c r="N65" s="303" t="s">
        <v>187</v>
      </c>
      <c r="O65" s="304"/>
      <c r="P65" s="306"/>
      <c r="Q65" s="331" t="s">
        <v>37</v>
      </c>
      <c r="R65" s="304">
        <v>0</v>
      </c>
      <c r="S65" s="304">
        <v>0</v>
      </c>
      <c r="T65" s="127">
        <v>2816</v>
      </c>
    </row>
    <row r="66" spans="1:22">
      <c r="A66" s="307" t="s">
        <v>129</v>
      </c>
      <c r="B66" s="306" t="s">
        <v>256</v>
      </c>
      <c r="C66" s="306"/>
      <c r="D66" s="336" t="s">
        <v>34</v>
      </c>
      <c r="E66" s="308">
        <v>0</v>
      </c>
      <c r="F66" s="308">
        <v>0</v>
      </c>
      <c r="G66" s="309">
        <v>21592.25</v>
      </c>
      <c r="N66" s="303" t="s">
        <v>188</v>
      </c>
      <c r="O66" s="304"/>
      <c r="P66" s="306"/>
      <c r="Q66" s="331" t="s">
        <v>37</v>
      </c>
      <c r="R66" s="304">
        <v>0</v>
      </c>
      <c r="S66" s="304">
        <v>0</v>
      </c>
      <c r="T66" s="127">
        <v>7996</v>
      </c>
    </row>
    <row r="67" spans="1:22">
      <c r="A67" s="303" t="s">
        <v>130</v>
      </c>
      <c r="B67" s="306" t="s">
        <v>256</v>
      </c>
      <c r="C67" s="304"/>
      <c r="D67" s="335" t="s">
        <v>34</v>
      </c>
      <c r="E67" s="305">
        <v>0</v>
      </c>
      <c r="F67" s="305">
        <v>0</v>
      </c>
      <c r="G67" s="127">
        <v>8821</v>
      </c>
      <c r="N67" s="303" t="s">
        <v>189</v>
      </c>
      <c r="O67" s="304"/>
      <c r="P67" s="306"/>
      <c r="Q67" s="331" t="s">
        <v>37</v>
      </c>
      <c r="R67" s="304">
        <v>0</v>
      </c>
      <c r="S67" s="304">
        <v>0</v>
      </c>
      <c r="T67" s="127">
        <v>8213</v>
      </c>
    </row>
    <row r="68" spans="1:22">
      <c r="A68" s="303" t="s">
        <v>131</v>
      </c>
      <c r="B68" s="306" t="s">
        <v>256</v>
      </c>
      <c r="C68" s="304"/>
      <c r="D68" s="335" t="s">
        <v>34</v>
      </c>
      <c r="E68" s="305">
        <v>0</v>
      </c>
      <c r="F68" s="305">
        <v>0</v>
      </c>
      <c r="G68" s="127">
        <v>9585.9166666666697</v>
      </c>
      <c r="N68" s="303" t="s">
        <v>190</v>
      </c>
      <c r="O68" s="304"/>
      <c r="P68" s="306"/>
      <c r="Q68" s="331" t="s">
        <v>37</v>
      </c>
      <c r="R68" s="304">
        <v>0</v>
      </c>
      <c r="S68" s="304">
        <v>0</v>
      </c>
      <c r="T68" s="127">
        <v>8412</v>
      </c>
    </row>
    <row r="69" spans="1:22">
      <c r="A69" s="303" t="s">
        <v>132</v>
      </c>
      <c r="B69" s="306" t="s">
        <v>256</v>
      </c>
      <c r="C69" s="304"/>
      <c r="D69" s="335" t="s">
        <v>34</v>
      </c>
      <c r="E69" s="305">
        <v>0</v>
      </c>
      <c r="F69" s="305">
        <v>0</v>
      </c>
      <c r="G69" s="127">
        <v>17015.000000000004</v>
      </c>
      <c r="N69" s="303" t="s">
        <v>191</v>
      </c>
      <c r="O69" s="304"/>
      <c r="P69" s="306"/>
      <c r="Q69" s="331" t="s">
        <v>37</v>
      </c>
      <c r="R69" s="304">
        <v>0</v>
      </c>
      <c r="S69" s="304">
        <v>0</v>
      </c>
      <c r="T69" s="127">
        <v>10199</v>
      </c>
    </row>
    <row r="70" spans="1:22">
      <c r="A70" s="303" t="s">
        <v>133</v>
      </c>
      <c r="B70" s="306" t="s">
        <v>256</v>
      </c>
      <c r="C70" s="304"/>
      <c r="D70" s="335" t="s">
        <v>34</v>
      </c>
      <c r="E70" s="305">
        <v>0</v>
      </c>
      <c r="F70" s="305">
        <v>0</v>
      </c>
      <c r="G70" s="127">
        <v>14250.000000000002</v>
      </c>
      <c r="N70" s="303" t="s">
        <v>47</v>
      </c>
      <c r="O70" s="304"/>
      <c r="P70" s="306"/>
      <c r="Q70" s="331" t="s">
        <v>37</v>
      </c>
      <c r="R70" s="304">
        <v>0</v>
      </c>
      <c r="S70" s="304">
        <v>0</v>
      </c>
      <c r="T70" s="127">
        <v>1904</v>
      </c>
    </row>
    <row r="71" spans="1:22" ht="14.4" thickBot="1">
      <c r="A71" s="313" t="s">
        <v>134</v>
      </c>
      <c r="B71" s="314"/>
      <c r="C71" s="314" t="s">
        <v>148</v>
      </c>
      <c r="D71" s="337" t="s">
        <v>35</v>
      </c>
      <c r="E71" s="315">
        <v>0</v>
      </c>
      <c r="F71" s="315">
        <v>0</v>
      </c>
      <c r="G71" s="128">
        <v>6571.3499999999995</v>
      </c>
      <c r="N71" s="310" t="s">
        <v>192</v>
      </c>
      <c r="O71" s="311"/>
      <c r="P71" s="311"/>
      <c r="Q71" s="339" t="s">
        <v>39</v>
      </c>
      <c r="R71" s="311">
        <v>1</v>
      </c>
      <c r="S71" s="311">
        <v>1</v>
      </c>
      <c r="T71" s="312">
        <v>285</v>
      </c>
    </row>
    <row r="72" spans="1:22" ht="14.4" thickBot="1">
      <c r="N72" s="310" t="s">
        <v>193</v>
      </c>
      <c r="O72" s="316"/>
      <c r="P72" s="311"/>
      <c r="Q72" s="339" t="s">
        <v>39</v>
      </c>
      <c r="R72" s="311">
        <v>1</v>
      </c>
      <c r="S72" s="311">
        <v>1</v>
      </c>
      <c r="T72" s="312">
        <v>6538</v>
      </c>
    </row>
    <row r="73" spans="1:22" ht="14.4" thickBot="1">
      <c r="D73" s="338"/>
      <c r="E73" s="317" t="s">
        <v>61</v>
      </c>
      <c r="F73" s="318"/>
      <c r="G73" s="319">
        <f>SUM(G5:G71)</f>
        <v>1548892.5333333332</v>
      </c>
      <c r="N73" s="310" t="s">
        <v>194</v>
      </c>
      <c r="O73" s="316"/>
      <c r="P73" s="311"/>
      <c r="Q73" s="339" t="s">
        <v>39</v>
      </c>
      <c r="R73" s="311">
        <v>1</v>
      </c>
      <c r="S73" s="311">
        <v>1</v>
      </c>
      <c r="T73" s="320">
        <v>7269</v>
      </c>
    </row>
    <row r="74" spans="1:22">
      <c r="N74" s="303" t="s">
        <v>195</v>
      </c>
      <c r="O74" s="15"/>
      <c r="P74" s="15"/>
      <c r="Q74" s="331" t="s">
        <v>34</v>
      </c>
      <c r="R74" s="304">
        <v>0</v>
      </c>
      <c r="S74" s="304">
        <v>0</v>
      </c>
      <c r="T74" s="127">
        <v>4</v>
      </c>
    </row>
    <row r="75" spans="1:22">
      <c r="G75" s="13"/>
      <c r="N75" s="310" t="s">
        <v>48</v>
      </c>
      <c r="O75" s="316"/>
      <c r="P75" s="316" t="s">
        <v>503</v>
      </c>
      <c r="Q75" s="339" t="s">
        <v>38</v>
      </c>
      <c r="R75" s="311">
        <v>1</v>
      </c>
      <c r="S75" s="311">
        <v>1</v>
      </c>
      <c r="T75" s="312">
        <v>72288973</v>
      </c>
      <c r="V75" s="13"/>
    </row>
    <row r="76" spans="1:22">
      <c r="N76" s="310" t="s">
        <v>196</v>
      </c>
      <c r="O76" s="316"/>
      <c r="P76" s="311"/>
      <c r="Q76" s="339" t="s">
        <v>39</v>
      </c>
      <c r="R76" s="311">
        <v>1</v>
      </c>
      <c r="S76" s="311">
        <v>1</v>
      </c>
      <c r="T76" s="312">
        <v>377</v>
      </c>
    </row>
    <row r="77" spans="1:22">
      <c r="A77" s="2" t="s">
        <v>499</v>
      </c>
      <c r="N77" s="310" t="s">
        <v>197</v>
      </c>
      <c r="O77" s="316"/>
      <c r="P77" s="311"/>
      <c r="Q77" s="339" t="s">
        <v>39</v>
      </c>
      <c r="R77" s="311">
        <v>1</v>
      </c>
      <c r="S77" s="311">
        <v>1</v>
      </c>
      <c r="T77" s="312">
        <v>491</v>
      </c>
    </row>
    <row r="78" spans="1:22">
      <c r="A78" s="2" t="s">
        <v>500</v>
      </c>
      <c r="N78" s="303" t="s">
        <v>49</v>
      </c>
      <c r="O78" s="303" t="s">
        <v>49</v>
      </c>
      <c r="P78" s="15"/>
      <c r="Q78" s="331" t="s">
        <v>35</v>
      </c>
      <c r="R78" s="304">
        <v>0</v>
      </c>
      <c r="S78" s="304">
        <v>0</v>
      </c>
      <c r="T78" s="127">
        <v>705586</v>
      </c>
    </row>
    <row r="79" spans="1:22">
      <c r="N79" s="303" t="s">
        <v>29</v>
      </c>
      <c r="O79" s="15"/>
      <c r="P79" s="15"/>
      <c r="Q79" s="331" t="s">
        <v>34</v>
      </c>
      <c r="R79" s="304">
        <v>0</v>
      </c>
      <c r="S79" s="304">
        <v>0</v>
      </c>
      <c r="T79" s="127">
        <v>129</v>
      </c>
    </row>
    <row r="80" spans="1:22">
      <c r="N80" s="303" t="s">
        <v>30</v>
      </c>
      <c r="O80" s="15"/>
      <c r="P80" s="15"/>
      <c r="Q80" s="331" t="s">
        <v>34</v>
      </c>
      <c r="R80" s="304">
        <v>0</v>
      </c>
      <c r="S80" s="304">
        <v>0</v>
      </c>
      <c r="T80" s="127">
        <v>210</v>
      </c>
    </row>
    <row r="81" spans="14:20">
      <c r="N81" s="303" t="s">
        <v>31</v>
      </c>
      <c r="O81" s="15"/>
      <c r="P81" s="15"/>
      <c r="Q81" s="331" t="s">
        <v>34</v>
      </c>
      <c r="R81" s="304">
        <v>0</v>
      </c>
      <c r="S81" s="304">
        <v>0</v>
      </c>
      <c r="T81" s="127">
        <v>94</v>
      </c>
    </row>
    <row r="82" spans="14:20">
      <c r="N82" s="303" t="s">
        <v>32</v>
      </c>
      <c r="O82" s="15"/>
      <c r="P82" s="15"/>
      <c r="Q82" s="331" t="s">
        <v>35</v>
      </c>
      <c r="R82" s="304">
        <v>0</v>
      </c>
      <c r="S82" s="304">
        <v>0</v>
      </c>
      <c r="T82" s="127">
        <v>539</v>
      </c>
    </row>
    <row r="83" spans="14:20">
      <c r="N83" s="310" t="s">
        <v>198</v>
      </c>
      <c r="O83" s="316"/>
      <c r="P83" s="316" t="s">
        <v>214</v>
      </c>
      <c r="Q83" s="339" t="s">
        <v>39</v>
      </c>
      <c r="R83" s="311">
        <v>1</v>
      </c>
      <c r="S83" s="311">
        <v>1</v>
      </c>
      <c r="T83" s="312">
        <v>980</v>
      </c>
    </row>
    <row r="84" spans="14:20">
      <c r="N84" s="303" t="s">
        <v>199</v>
      </c>
      <c r="O84" s="15"/>
      <c r="P84" s="15"/>
      <c r="Q84" s="331" t="s">
        <v>37</v>
      </c>
      <c r="R84" s="304">
        <v>0</v>
      </c>
      <c r="S84" s="304">
        <v>0</v>
      </c>
      <c r="T84" s="127">
        <v>545</v>
      </c>
    </row>
    <row r="85" spans="14:20">
      <c r="N85" s="303" t="s">
        <v>200</v>
      </c>
      <c r="O85" s="15"/>
      <c r="P85" s="15" t="s">
        <v>215</v>
      </c>
      <c r="Q85" s="331" t="s">
        <v>39</v>
      </c>
      <c r="R85" s="304">
        <v>0</v>
      </c>
      <c r="S85" s="304">
        <v>0</v>
      </c>
      <c r="T85" s="127">
        <v>149</v>
      </c>
    </row>
    <row r="86" spans="14:20" ht="14.4" thickBot="1">
      <c r="N86" s="313" t="s">
        <v>201</v>
      </c>
      <c r="O86" s="95"/>
      <c r="P86" s="95"/>
      <c r="Q86" s="81" t="s">
        <v>413</v>
      </c>
      <c r="R86" s="314">
        <v>0</v>
      </c>
      <c r="S86" s="314">
        <v>0</v>
      </c>
      <c r="T86" s="128">
        <v>176</v>
      </c>
    </row>
    <row r="87" spans="14:20" ht="14.4" thickBot="1"/>
    <row r="88" spans="14:20" ht="14.4" thickBot="1">
      <c r="R88" s="321" t="s">
        <v>61</v>
      </c>
      <c r="S88" s="322"/>
      <c r="T88" s="323">
        <f>SUMIFS(T5:T86,S5:S86,"=0")</f>
        <v>7168374</v>
      </c>
    </row>
    <row r="89" spans="14:20">
      <c r="N89" s="2" t="s">
        <v>499</v>
      </c>
    </row>
    <row r="90" spans="14:20">
      <c r="N90" s="2" t="s">
        <v>504</v>
      </c>
    </row>
    <row r="91" spans="14:20">
      <c r="N91" s="2" t="s">
        <v>505</v>
      </c>
    </row>
  </sheetData>
  <mergeCells count="4">
    <mergeCell ref="I17:K17"/>
    <mergeCell ref="V17:X17"/>
    <mergeCell ref="V18:X18"/>
    <mergeCell ref="I18:K1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25219-EA98-4161-9BB2-303371CA7C90}">
  <sheetPr>
    <tabColor rgb="FFFFC000"/>
  </sheetPr>
  <dimension ref="A1:BI96"/>
  <sheetViews>
    <sheetView zoomScaleNormal="100" workbookViewId="0">
      <selection activeCell="B32" sqref="B32"/>
    </sheetView>
  </sheetViews>
  <sheetFormatPr defaultRowHeight="13.8"/>
  <cols>
    <col min="1" max="1" width="33.88671875" style="28" customWidth="1"/>
    <col min="2" max="2" width="15.5546875" style="2" bestFit="1" customWidth="1"/>
    <col min="3" max="3" width="16.44140625" style="2" bestFit="1" customWidth="1"/>
    <col min="4" max="4" width="18.109375" style="2" customWidth="1"/>
    <col min="5" max="27" width="8.88671875" style="2"/>
    <col min="28" max="28" width="15.6640625" style="2" bestFit="1" customWidth="1"/>
    <col min="29" max="29" width="16.77734375" style="2" bestFit="1" customWidth="1"/>
    <col min="30" max="30" width="12.21875" style="2" bestFit="1" customWidth="1"/>
    <col min="31" max="31" width="15.77734375" style="2" bestFit="1" customWidth="1"/>
    <col min="32" max="32" width="16.44140625" style="2" bestFit="1" customWidth="1"/>
    <col min="33" max="33" width="28.33203125" style="2" bestFit="1" customWidth="1"/>
    <col min="34" max="34" width="26.88671875" style="2" bestFit="1" customWidth="1"/>
    <col min="35" max="35" width="30.5546875" style="2" bestFit="1" customWidth="1"/>
    <col min="36" max="36" width="33.88671875" style="2" bestFit="1" customWidth="1"/>
    <col min="37" max="37" width="22.33203125" style="2" bestFit="1" customWidth="1"/>
    <col min="38" max="38" width="13.77734375" style="2" customWidth="1"/>
    <col min="39" max="39" width="13.44140625" style="2" bestFit="1" customWidth="1"/>
    <col min="40" max="58" width="8.88671875" style="2"/>
    <col min="59" max="59" width="9.44140625" style="2" bestFit="1" customWidth="1"/>
    <col min="60" max="60" width="11.109375" style="2" bestFit="1" customWidth="1"/>
    <col min="61" max="61" width="14.5546875" style="2" bestFit="1" customWidth="1"/>
    <col min="62" max="16384" width="8.88671875" style="2"/>
  </cols>
  <sheetData>
    <row r="1" spans="1:37" ht="15" customHeight="1" thickBot="1">
      <c r="A1" s="484" t="s">
        <v>407</v>
      </c>
      <c r="B1" s="484"/>
      <c r="C1" s="484"/>
      <c r="D1" s="484"/>
      <c r="AC1" s="482" t="s">
        <v>335</v>
      </c>
      <c r="AD1" s="482"/>
      <c r="AE1" s="482"/>
      <c r="AF1" s="482"/>
      <c r="AG1" s="482"/>
      <c r="AH1" s="482"/>
      <c r="AI1" s="482"/>
      <c r="AJ1" s="482"/>
      <c r="AK1" s="482"/>
    </row>
    <row r="2" spans="1:37">
      <c r="A2" s="215" t="s">
        <v>272</v>
      </c>
      <c r="B2" s="216" t="s">
        <v>9</v>
      </c>
      <c r="C2" s="216" t="s">
        <v>8</v>
      </c>
      <c r="D2" s="249" t="s">
        <v>74</v>
      </c>
      <c r="AC2" s="87" t="s">
        <v>261</v>
      </c>
      <c r="AD2" s="88" t="s">
        <v>274</v>
      </c>
      <c r="AE2" s="228" t="s">
        <v>320</v>
      </c>
      <c r="AF2" s="228" t="s">
        <v>321</v>
      </c>
      <c r="AG2" s="88" t="s">
        <v>322</v>
      </c>
      <c r="AH2" s="88" t="s">
        <v>323</v>
      </c>
      <c r="AI2" s="88" t="s">
        <v>361</v>
      </c>
      <c r="AJ2" s="88" t="s">
        <v>362</v>
      </c>
      <c r="AK2" s="89" t="s">
        <v>324</v>
      </c>
    </row>
    <row r="3" spans="1:37">
      <c r="A3" s="231" t="s">
        <v>330</v>
      </c>
      <c r="B3" s="41">
        <v>4</v>
      </c>
      <c r="C3" s="25" t="s">
        <v>282</v>
      </c>
      <c r="D3" s="250" t="s">
        <v>72</v>
      </c>
      <c r="AC3" s="118">
        <v>0</v>
      </c>
      <c r="AD3" s="234">
        <v>0</v>
      </c>
      <c r="AE3" s="15"/>
      <c r="AF3" s="15"/>
      <c r="AG3" s="15"/>
      <c r="AH3" s="90">
        <v>0</v>
      </c>
      <c r="AI3" s="90">
        <v>0</v>
      </c>
      <c r="AJ3" s="90">
        <v>0</v>
      </c>
      <c r="AK3" s="116">
        <v>0</v>
      </c>
    </row>
    <row r="4" spans="1:37" ht="14.4">
      <c r="A4" s="231" t="s">
        <v>67</v>
      </c>
      <c r="B4" s="264">
        <v>3.5</v>
      </c>
      <c r="C4" s="25" t="s">
        <v>282</v>
      </c>
      <c r="D4" s="250" t="s">
        <v>72</v>
      </c>
      <c r="AB4" s="263"/>
      <c r="AC4" s="92">
        <f>AC34</f>
        <v>525600</v>
      </c>
      <c r="AD4" s="234">
        <v>1</v>
      </c>
      <c r="AE4" s="17">
        <f>SUM(AF4+AG4)</f>
        <v>109.11184486104776</v>
      </c>
      <c r="AF4" s="17">
        <f>SUM($AE$64:$AI$64,$BH$64)</f>
        <v>109.11184486104776</v>
      </c>
      <c r="AG4" s="15">
        <v>0</v>
      </c>
      <c r="AH4" s="67">
        <f>SUM(AI4:AJ4)</f>
        <v>207.59483421051704</v>
      </c>
      <c r="AI4" s="67">
        <f>IFERROR(AF4/AC4,0)*1000000</f>
        <v>207.59483421051704</v>
      </c>
      <c r="AJ4" s="67">
        <f>IFERROR(AG4/AC4,0)*1000000</f>
        <v>0</v>
      </c>
      <c r="AK4" s="91">
        <f>IFERROR((AE4-AE3)/(AC4-AC3),0)*1000000</f>
        <v>207.59483421051704</v>
      </c>
    </row>
    <row r="5" spans="1:37" ht="14.4">
      <c r="A5" s="213" t="s">
        <v>68</v>
      </c>
      <c r="B5" s="265">
        <v>2</v>
      </c>
      <c r="C5" s="25" t="s">
        <v>282</v>
      </c>
      <c r="D5" s="250" t="s">
        <v>72</v>
      </c>
      <c r="AB5" s="263"/>
      <c r="AC5" s="92">
        <f t="shared" ref="AC5:AC28" si="0">AC35</f>
        <v>1051200</v>
      </c>
      <c r="AD5" s="234">
        <v>2</v>
      </c>
      <c r="AE5" s="17">
        <f t="shared" ref="AE5:AE28" si="1">SUM(AF5+AG5)</f>
        <v>128.36668687133871</v>
      </c>
      <c r="AF5" s="17">
        <f t="shared" ref="AF5:AF28" si="2">SUM($AE$64:$AI$64,$BH$64)</f>
        <v>109.11184486104776</v>
      </c>
      <c r="AG5" s="68">
        <f t="shared" ref="AG5:AG28" si="3">AG4+SUM(AE65,BH65)</f>
        <v>19.254842010290965</v>
      </c>
      <c r="AH5" s="67">
        <f>SUM(AI5:AJ5)</f>
        <v>122.11442815005586</v>
      </c>
      <c r="AI5" s="67">
        <f>IFERROR(AF5/AC5,0)*1000000</f>
        <v>103.79741710525852</v>
      </c>
      <c r="AJ5" s="67">
        <f>IFERROR(AG5/AC5,0)*1000000</f>
        <v>18.31701104479734</v>
      </c>
      <c r="AK5" s="91">
        <f t="shared" ref="AK5:AK28" si="4">IFERROR((AE5-AE4)/(AC5-AC4),0)*1000000</f>
        <v>36.634022089594666</v>
      </c>
    </row>
    <row r="6" spans="1:37" ht="14.4">
      <c r="A6" s="251" t="s">
        <v>69</v>
      </c>
      <c r="B6" s="103">
        <v>0.02</v>
      </c>
      <c r="C6" s="25" t="s">
        <v>286</v>
      </c>
      <c r="D6" s="250" t="s">
        <v>72</v>
      </c>
      <c r="AB6" s="263"/>
      <c r="AC6" s="92">
        <f t="shared" si="0"/>
        <v>1576800</v>
      </c>
      <c r="AD6" s="234">
        <v>3</v>
      </c>
      <c r="AE6" s="17">
        <f t="shared" si="1"/>
        <v>147.62152888162967</v>
      </c>
      <c r="AF6" s="17">
        <f t="shared" si="2"/>
        <v>109.11184486104776</v>
      </c>
      <c r="AG6" s="68">
        <f t="shared" si="3"/>
        <v>38.509684020581929</v>
      </c>
      <c r="AH6" s="67">
        <f>SUM(AI6:AJ6)</f>
        <v>93.620959463235465</v>
      </c>
      <c r="AI6" s="67">
        <f>IFERROR(AF6/AC6,0)*1000000</f>
        <v>69.198278070172336</v>
      </c>
      <c r="AJ6" s="67">
        <f>IFERROR(AG6/AC6,0)*1000000</f>
        <v>24.422681393063122</v>
      </c>
      <c r="AK6" s="91">
        <f t="shared" si="4"/>
        <v>36.634022089594666</v>
      </c>
    </row>
    <row r="7" spans="1:37" ht="14.4">
      <c r="A7" s="251" t="s">
        <v>75</v>
      </c>
      <c r="B7" s="104">
        <v>0.5</v>
      </c>
      <c r="C7" s="62" t="s">
        <v>331</v>
      </c>
      <c r="D7" s="250" t="s">
        <v>72</v>
      </c>
      <c r="AB7" s="263"/>
      <c r="AC7" s="92">
        <f t="shared" si="0"/>
        <v>2102400</v>
      </c>
      <c r="AD7" s="234">
        <v>4</v>
      </c>
      <c r="AE7" s="17">
        <f t="shared" si="1"/>
        <v>166.87637089192066</v>
      </c>
      <c r="AF7" s="17">
        <f t="shared" si="2"/>
        <v>109.11184486104776</v>
      </c>
      <c r="AG7" s="68">
        <f t="shared" si="3"/>
        <v>57.764526030872894</v>
      </c>
      <c r="AH7" s="67">
        <f t="shared" ref="AH7:AH27" si="5">SUM(AI7:AJ7)</f>
        <v>79.374225119825269</v>
      </c>
      <c r="AI7" s="67">
        <f t="shared" ref="AI7:AI28" si="6">IFERROR(AF7/AC7,0)*1000000</f>
        <v>51.898708552629259</v>
      </c>
      <c r="AJ7" s="67">
        <f t="shared" ref="AJ7:AJ28" si="7">IFERROR(AG7/AC7,0)*1000000</f>
        <v>27.47551656719601</v>
      </c>
      <c r="AK7" s="91">
        <f t="shared" si="4"/>
        <v>36.634022089594723</v>
      </c>
    </row>
    <row r="8" spans="1:37" ht="14.4">
      <c r="A8" s="251" t="s">
        <v>287</v>
      </c>
      <c r="B8" s="104">
        <v>0.1</v>
      </c>
      <c r="C8" s="62" t="s">
        <v>332</v>
      </c>
      <c r="D8" s="250" t="s">
        <v>73</v>
      </c>
      <c r="AB8" s="263"/>
      <c r="AC8" s="92">
        <f t="shared" si="0"/>
        <v>2628000</v>
      </c>
      <c r="AD8" s="234">
        <v>5</v>
      </c>
      <c r="AE8" s="17">
        <f t="shared" si="1"/>
        <v>186.13121290221162</v>
      </c>
      <c r="AF8" s="17">
        <f t="shared" si="2"/>
        <v>109.11184486104776</v>
      </c>
      <c r="AG8" s="68">
        <f t="shared" si="3"/>
        <v>77.019368041163858</v>
      </c>
      <c r="AH8" s="67">
        <f t="shared" si="5"/>
        <v>70.82618451377914</v>
      </c>
      <c r="AI8" s="67">
        <f t="shared" si="6"/>
        <v>41.518966842103403</v>
      </c>
      <c r="AJ8" s="67">
        <f t="shared" si="7"/>
        <v>29.307217671675744</v>
      </c>
      <c r="AK8" s="91">
        <f t="shared" si="4"/>
        <v>36.634022089594666</v>
      </c>
    </row>
    <row r="9" spans="1:37" ht="14.4">
      <c r="A9" s="251" t="s">
        <v>333</v>
      </c>
      <c r="B9" s="105">
        <v>10</v>
      </c>
      <c r="C9" s="25" t="s">
        <v>290</v>
      </c>
      <c r="D9" s="250" t="s">
        <v>73</v>
      </c>
      <c r="AB9" s="263"/>
      <c r="AC9" s="92">
        <f t="shared" si="0"/>
        <v>3153600</v>
      </c>
      <c r="AD9" s="234">
        <v>6</v>
      </c>
      <c r="AE9" s="17">
        <f t="shared" si="1"/>
        <v>205.38605491250257</v>
      </c>
      <c r="AF9" s="17">
        <f t="shared" si="2"/>
        <v>109.11184486104776</v>
      </c>
      <c r="AG9" s="68">
        <f t="shared" si="3"/>
        <v>96.274210051454816</v>
      </c>
      <c r="AH9" s="67">
        <f t="shared" si="5"/>
        <v>65.127490776415073</v>
      </c>
      <c r="AI9" s="67">
        <f t="shared" si="6"/>
        <v>34.599139035086168</v>
      </c>
      <c r="AJ9" s="67">
        <f t="shared" si="7"/>
        <v>30.528351741328898</v>
      </c>
      <c r="AK9" s="91">
        <f t="shared" si="4"/>
        <v>36.634022089594666</v>
      </c>
    </row>
    <row r="10" spans="1:37" ht="14.4">
      <c r="A10" s="251" t="s">
        <v>70</v>
      </c>
      <c r="B10" s="103">
        <v>0.19</v>
      </c>
      <c r="C10" s="25" t="s">
        <v>291</v>
      </c>
      <c r="D10" s="250" t="s">
        <v>73</v>
      </c>
      <c r="AB10" s="263"/>
      <c r="AC10" s="92">
        <f t="shared" si="0"/>
        <v>3679200</v>
      </c>
      <c r="AD10" s="234">
        <v>7</v>
      </c>
      <c r="AE10" s="17">
        <f t="shared" si="1"/>
        <v>224.64089692279353</v>
      </c>
      <c r="AF10" s="17">
        <f t="shared" si="2"/>
        <v>109.11184486104776</v>
      </c>
      <c r="AG10" s="68">
        <f t="shared" si="3"/>
        <v>115.52905206174577</v>
      </c>
      <c r="AH10" s="67">
        <f t="shared" si="5"/>
        <v>61.056995249726441</v>
      </c>
      <c r="AI10" s="67">
        <f t="shared" si="6"/>
        <v>29.65640488721672</v>
      </c>
      <c r="AJ10" s="67">
        <f t="shared" si="7"/>
        <v>31.400590362509725</v>
      </c>
      <c r="AK10" s="91">
        <f t="shared" si="4"/>
        <v>36.634022089594666</v>
      </c>
    </row>
    <row r="11" spans="1:37" ht="15" thickBot="1">
      <c r="A11" s="252" t="s">
        <v>71</v>
      </c>
      <c r="B11" s="253">
        <v>3</v>
      </c>
      <c r="C11" s="72" t="s">
        <v>292</v>
      </c>
      <c r="D11" s="254" t="s">
        <v>5</v>
      </c>
      <c r="AB11" s="263"/>
      <c r="AC11" s="92">
        <f t="shared" si="0"/>
        <v>4204800</v>
      </c>
      <c r="AD11" s="234">
        <v>8</v>
      </c>
      <c r="AE11" s="17">
        <f t="shared" si="1"/>
        <v>243.89573893308449</v>
      </c>
      <c r="AF11" s="17">
        <f t="shared" si="2"/>
        <v>109.11184486104776</v>
      </c>
      <c r="AG11" s="68">
        <f t="shared" si="3"/>
        <v>134.78389407203673</v>
      </c>
      <c r="AH11" s="67">
        <f t="shared" si="5"/>
        <v>58.004123604709974</v>
      </c>
      <c r="AI11" s="67">
        <f t="shared" si="6"/>
        <v>25.949354276314629</v>
      </c>
      <c r="AJ11" s="67">
        <f t="shared" si="7"/>
        <v>32.054769328395345</v>
      </c>
      <c r="AK11" s="91">
        <f t="shared" si="4"/>
        <v>36.634022089594666</v>
      </c>
    </row>
    <row r="12" spans="1:37" ht="14.4">
      <c r="AB12" s="263"/>
      <c r="AC12" s="92">
        <f t="shared" si="0"/>
        <v>4730400</v>
      </c>
      <c r="AD12" s="234">
        <v>9</v>
      </c>
      <c r="AE12" s="17">
        <f t="shared" si="1"/>
        <v>263.15058094337542</v>
      </c>
      <c r="AF12" s="17">
        <f t="shared" si="2"/>
        <v>109.11184486104776</v>
      </c>
      <c r="AG12" s="68">
        <f t="shared" si="3"/>
        <v>154.03873608232769</v>
      </c>
      <c r="AH12" s="67">
        <f t="shared" si="5"/>
        <v>55.62966788080827</v>
      </c>
      <c r="AI12" s="67">
        <f t="shared" si="6"/>
        <v>23.066092690057449</v>
      </c>
      <c r="AJ12" s="67">
        <f t="shared" si="7"/>
        <v>32.563575190750825</v>
      </c>
      <c r="AK12" s="91">
        <f t="shared" si="4"/>
        <v>36.634022089594616</v>
      </c>
    </row>
    <row r="13" spans="1:37" ht="14.4">
      <c r="A13" s="2"/>
      <c r="AB13" s="263"/>
      <c r="AC13" s="92">
        <f t="shared" si="0"/>
        <v>5256000</v>
      </c>
      <c r="AD13" s="234">
        <v>10</v>
      </c>
      <c r="AE13" s="17">
        <f t="shared" si="1"/>
        <v>282.4054229536664</v>
      </c>
      <c r="AF13" s="17">
        <f t="shared" si="2"/>
        <v>109.11184486104776</v>
      </c>
      <c r="AG13" s="68">
        <f t="shared" si="3"/>
        <v>173.29357809261865</v>
      </c>
      <c r="AH13" s="67">
        <f t="shared" si="5"/>
        <v>53.73010330168691</v>
      </c>
      <c r="AI13" s="67">
        <f t="shared" si="6"/>
        <v>20.759483421051701</v>
      </c>
      <c r="AJ13" s="67">
        <f t="shared" si="7"/>
        <v>32.970619880635212</v>
      </c>
      <c r="AK13" s="91">
        <f t="shared" si="4"/>
        <v>36.634022089594723</v>
      </c>
    </row>
    <row r="14" spans="1:37" ht="14.4">
      <c r="A14" s="37"/>
      <c r="B14" s="37"/>
      <c r="C14" s="37"/>
      <c r="D14" s="37"/>
      <c r="AB14" s="263"/>
      <c r="AC14" s="92">
        <f t="shared" si="0"/>
        <v>5781600</v>
      </c>
      <c r="AD14" s="234">
        <v>11</v>
      </c>
      <c r="AE14" s="17">
        <f t="shared" si="1"/>
        <v>301.66026496395739</v>
      </c>
      <c r="AF14" s="17">
        <f t="shared" si="2"/>
        <v>109.11184486104776</v>
      </c>
      <c r="AG14" s="68">
        <f t="shared" si="3"/>
        <v>192.5484201029096</v>
      </c>
      <c r="AH14" s="67">
        <f t="shared" si="5"/>
        <v>52.175914100587619</v>
      </c>
      <c r="AI14" s="67">
        <f t="shared" si="6"/>
        <v>18.872257655501549</v>
      </c>
      <c r="AJ14" s="67">
        <f t="shared" si="7"/>
        <v>33.303656445086069</v>
      </c>
      <c r="AK14" s="91">
        <f t="shared" si="4"/>
        <v>36.634022089594723</v>
      </c>
    </row>
    <row r="15" spans="1:37" ht="13.8" customHeight="1">
      <c r="A15" s="2"/>
      <c r="AB15" s="263"/>
      <c r="AC15" s="92">
        <f t="shared" si="0"/>
        <v>6307200</v>
      </c>
      <c r="AD15" s="234">
        <v>12</v>
      </c>
      <c r="AE15" s="17">
        <f t="shared" si="1"/>
        <v>320.91510697424832</v>
      </c>
      <c r="AF15" s="17">
        <f t="shared" si="2"/>
        <v>109.11184486104776</v>
      </c>
      <c r="AG15" s="68">
        <f t="shared" si="3"/>
        <v>211.80326211320056</v>
      </c>
      <c r="AH15" s="67">
        <f t="shared" si="5"/>
        <v>50.880756433004869</v>
      </c>
      <c r="AI15" s="67">
        <f t="shared" si="6"/>
        <v>17.299569517543084</v>
      </c>
      <c r="AJ15" s="67">
        <f t="shared" si="7"/>
        <v>33.581186915461785</v>
      </c>
      <c r="AK15" s="91">
        <f t="shared" si="4"/>
        <v>36.634022089594616</v>
      </c>
    </row>
    <row r="16" spans="1:37" ht="14.4">
      <c r="A16" s="28" t="s">
        <v>4</v>
      </c>
      <c r="AB16" s="263"/>
      <c r="AC16" s="92">
        <f t="shared" si="0"/>
        <v>6832800</v>
      </c>
      <c r="AD16" s="234">
        <v>13</v>
      </c>
      <c r="AE16" s="17">
        <f t="shared" si="1"/>
        <v>340.16994898453925</v>
      </c>
      <c r="AF16" s="17">
        <f t="shared" si="2"/>
        <v>109.11184486104776</v>
      </c>
      <c r="AG16" s="68">
        <f t="shared" si="3"/>
        <v>231.05810412349152</v>
      </c>
      <c r="AH16" s="67">
        <f t="shared" si="5"/>
        <v>49.784853791204085</v>
      </c>
      <c r="AI16" s="67">
        <f t="shared" si="6"/>
        <v>15.968833400809004</v>
      </c>
      <c r="AJ16" s="67">
        <f t="shared" si="7"/>
        <v>33.816020390395082</v>
      </c>
      <c r="AK16" s="91">
        <f t="shared" si="4"/>
        <v>36.634022089594616</v>
      </c>
    </row>
    <row r="17" spans="1:61" ht="14.4">
      <c r="A17" s="2" t="s">
        <v>334</v>
      </c>
      <c r="AB17" s="263"/>
      <c r="AC17" s="92">
        <f t="shared" si="0"/>
        <v>7358400</v>
      </c>
      <c r="AD17" s="234">
        <v>14</v>
      </c>
      <c r="AE17" s="17">
        <f t="shared" si="1"/>
        <v>359.42479099483023</v>
      </c>
      <c r="AF17" s="17">
        <f t="shared" si="2"/>
        <v>109.11184486104776</v>
      </c>
      <c r="AG17" s="68">
        <f t="shared" si="3"/>
        <v>250.31294613378248</v>
      </c>
      <c r="AH17" s="67">
        <f t="shared" si="5"/>
        <v>48.84550866966056</v>
      </c>
      <c r="AI17" s="67">
        <f t="shared" si="6"/>
        <v>14.82820244360836</v>
      </c>
      <c r="AJ17" s="67">
        <f t="shared" si="7"/>
        <v>34.017306226052199</v>
      </c>
      <c r="AK17" s="91">
        <f t="shared" si="4"/>
        <v>36.634022089594723</v>
      </c>
    </row>
    <row r="18" spans="1:61" ht="14.4">
      <c r="A18" s="2" t="s">
        <v>336</v>
      </c>
      <c r="AB18" s="263"/>
      <c r="AC18" s="92">
        <f t="shared" si="0"/>
        <v>7884000</v>
      </c>
      <c r="AD18" s="234">
        <v>15</v>
      </c>
      <c r="AE18" s="17">
        <f t="shared" si="1"/>
        <v>378.67963300512122</v>
      </c>
      <c r="AF18" s="17">
        <f t="shared" si="2"/>
        <v>109.11184486104776</v>
      </c>
      <c r="AG18" s="68">
        <f t="shared" si="3"/>
        <v>269.56778814407346</v>
      </c>
      <c r="AH18" s="67">
        <f t="shared" si="5"/>
        <v>48.031409564322836</v>
      </c>
      <c r="AI18" s="67">
        <f t="shared" si="6"/>
        <v>13.83965561403447</v>
      </c>
      <c r="AJ18" s="67">
        <f t="shared" si="7"/>
        <v>34.191753950288366</v>
      </c>
      <c r="AK18" s="91">
        <f t="shared" si="4"/>
        <v>36.634022089594723</v>
      </c>
    </row>
    <row r="19" spans="1:61" ht="14.4">
      <c r="A19" s="2" t="s">
        <v>417</v>
      </c>
      <c r="AB19" s="263"/>
      <c r="AC19" s="92">
        <f t="shared" si="0"/>
        <v>8409600</v>
      </c>
      <c r="AD19" s="234">
        <v>16</v>
      </c>
      <c r="AE19" s="17">
        <f t="shared" si="1"/>
        <v>397.9344750154122</v>
      </c>
      <c r="AF19" s="17">
        <f t="shared" si="2"/>
        <v>109.11184486104776</v>
      </c>
      <c r="AG19" s="68">
        <f t="shared" si="3"/>
        <v>288.82263015436445</v>
      </c>
      <c r="AH19" s="67">
        <f t="shared" si="5"/>
        <v>47.319072847152327</v>
      </c>
      <c r="AI19" s="67">
        <f t="shared" si="6"/>
        <v>12.974677138157315</v>
      </c>
      <c r="AJ19" s="67">
        <f t="shared" si="7"/>
        <v>34.344395708995009</v>
      </c>
      <c r="AK19" s="91">
        <f t="shared" si="4"/>
        <v>36.634022089594723</v>
      </c>
    </row>
    <row r="20" spans="1:61" ht="14.4">
      <c r="A20" s="2" t="s">
        <v>337</v>
      </c>
      <c r="AB20" s="263"/>
      <c r="AC20" s="92">
        <f t="shared" si="0"/>
        <v>8935200</v>
      </c>
      <c r="AD20" s="234">
        <v>17</v>
      </c>
      <c r="AE20" s="17">
        <f t="shared" si="1"/>
        <v>417.18931702570319</v>
      </c>
      <c r="AF20" s="17">
        <f t="shared" si="2"/>
        <v>109.11184486104776</v>
      </c>
      <c r="AG20" s="68">
        <f t="shared" si="3"/>
        <v>308.07747216465543</v>
      </c>
      <c r="AH20" s="67">
        <f t="shared" si="5"/>
        <v>46.690540449648935</v>
      </c>
      <c r="AI20" s="67">
        <f t="shared" si="6"/>
        <v>12.211460835912767</v>
      </c>
      <c r="AJ20" s="67">
        <f t="shared" si="7"/>
        <v>34.479079613736168</v>
      </c>
      <c r="AK20" s="91">
        <f t="shared" si="4"/>
        <v>36.634022089594723</v>
      </c>
    </row>
    <row r="21" spans="1:61" ht="14.4">
      <c r="A21" s="2" t="s">
        <v>338</v>
      </c>
      <c r="AB21" s="263"/>
      <c r="AC21" s="92">
        <f t="shared" si="0"/>
        <v>9460800</v>
      </c>
      <c r="AD21" s="234">
        <v>18</v>
      </c>
      <c r="AE21" s="17">
        <f t="shared" si="1"/>
        <v>436.44415903599418</v>
      </c>
      <c r="AF21" s="17">
        <f t="shared" si="2"/>
        <v>109.11184486104776</v>
      </c>
      <c r="AG21" s="68">
        <f t="shared" si="3"/>
        <v>327.33231417494642</v>
      </c>
      <c r="AH21" s="67">
        <f t="shared" si="5"/>
        <v>46.131844985201475</v>
      </c>
      <c r="AI21" s="67">
        <f t="shared" si="6"/>
        <v>11.533046345028724</v>
      </c>
      <c r="AJ21" s="67">
        <f t="shared" si="7"/>
        <v>34.598798640172753</v>
      </c>
      <c r="AK21" s="91">
        <f t="shared" si="4"/>
        <v>36.634022089594723</v>
      </c>
    </row>
    <row r="22" spans="1:61" ht="14.4">
      <c r="A22" s="2" t="s">
        <v>418</v>
      </c>
      <c r="AB22" s="263"/>
      <c r="AC22" s="92">
        <f t="shared" si="0"/>
        <v>9986400</v>
      </c>
      <c r="AD22" s="234">
        <v>19</v>
      </c>
      <c r="AE22" s="17">
        <f t="shared" si="1"/>
        <v>455.69900104628516</v>
      </c>
      <c r="AF22" s="17">
        <f t="shared" si="2"/>
        <v>109.11184486104776</v>
      </c>
      <c r="AG22" s="68">
        <f t="shared" si="3"/>
        <v>346.5871561852374</v>
      </c>
      <c r="AH22" s="67">
        <f t="shared" si="5"/>
        <v>45.631959569643222</v>
      </c>
      <c r="AI22" s="67">
        <f t="shared" si="6"/>
        <v>10.926043905816686</v>
      </c>
      <c r="AJ22" s="67">
        <f t="shared" si="7"/>
        <v>34.705915663826538</v>
      </c>
      <c r="AK22" s="91">
        <f t="shared" si="4"/>
        <v>36.634022089594723</v>
      </c>
    </row>
    <row r="23" spans="1:61" ht="14.4">
      <c r="A23" s="2" t="s">
        <v>299</v>
      </c>
      <c r="AB23" s="263"/>
      <c r="AC23" s="92">
        <f t="shared" si="0"/>
        <v>10512000</v>
      </c>
      <c r="AD23" s="234">
        <v>20</v>
      </c>
      <c r="AE23" s="17">
        <f t="shared" si="1"/>
        <v>474.95384305657615</v>
      </c>
      <c r="AF23" s="17">
        <f t="shared" si="2"/>
        <v>109.11184486104776</v>
      </c>
      <c r="AG23" s="68">
        <f t="shared" si="3"/>
        <v>365.84199819552839</v>
      </c>
      <c r="AH23" s="67">
        <f t="shared" si="5"/>
        <v>45.182062695640802</v>
      </c>
      <c r="AI23" s="67">
        <f t="shared" si="6"/>
        <v>10.379741710525851</v>
      </c>
      <c r="AJ23" s="67">
        <f t="shared" si="7"/>
        <v>34.802320985114953</v>
      </c>
      <c r="AK23" s="91">
        <f t="shared" si="4"/>
        <v>36.634022089594723</v>
      </c>
    </row>
    <row r="24" spans="1:61" ht="14.4" customHeight="1">
      <c r="A24" s="37"/>
      <c r="B24" s="37"/>
      <c r="C24" s="37"/>
      <c r="AB24" s="263"/>
      <c r="AC24" s="92">
        <f t="shared" si="0"/>
        <v>11037600</v>
      </c>
      <c r="AD24" s="234">
        <v>21</v>
      </c>
      <c r="AE24" s="17">
        <f t="shared" si="1"/>
        <v>494.20868506686713</v>
      </c>
      <c r="AF24" s="17">
        <f t="shared" si="2"/>
        <v>109.11184486104776</v>
      </c>
      <c r="AG24" s="68">
        <f t="shared" si="3"/>
        <v>385.09684020581938</v>
      </c>
      <c r="AH24" s="67">
        <f t="shared" si="5"/>
        <v>44.775013142971943</v>
      </c>
      <c r="AI24" s="67">
        <f t="shared" si="6"/>
        <v>9.8854682957389066</v>
      </c>
      <c r="AJ24" s="67">
        <f t="shared" si="7"/>
        <v>34.889544847233033</v>
      </c>
      <c r="AK24" s="91">
        <f t="shared" si="4"/>
        <v>36.634022089594723</v>
      </c>
    </row>
    <row r="25" spans="1:61" ht="14.4">
      <c r="A25" s="37"/>
      <c r="B25" s="37"/>
      <c r="C25" s="37"/>
      <c r="AB25" s="263"/>
      <c r="AC25" s="92">
        <f t="shared" si="0"/>
        <v>11563200</v>
      </c>
      <c r="AD25" s="234">
        <v>22</v>
      </c>
      <c r="AE25" s="17">
        <f t="shared" si="1"/>
        <v>513.46352707715812</v>
      </c>
      <c r="AF25" s="17">
        <f t="shared" si="2"/>
        <v>109.11184486104776</v>
      </c>
      <c r="AG25" s="68">
        <f t="shared" si="3"/>
        <v>404.35168221611036</v>
      </c>
      <c r="AH25" s="67">
        <f t="shared" si="5"/>
        <v>44.404968095091164</v>
      </c>
      <c r="AI25" s="67">
        <f t="shared" si="6"/>
        <v>9.4361288277507747</v>
      </c>
      <c r="AJ25" s="67">
        <f t="shared" si="7"/>
        <v>34.968839267340385</v>
      </c>
      <c r="AK25" s="91">
        <f t="shared" si="4"/>
        <v>36.634022089594723</v>
      </c>
    </row>
    <row r="26" spans="1:61" ht="14.4">
      <c r="A26" s="37"/>
      <c r="B26" s="37"/>
      <c r="C26" s="37"/>
      <c r="AB26" s="263"/>
      <c r="AC26" s="92">
        <f t="shared" si="0"/>
        <v>12088800</v>
      </c>
      <c r="AD26" s="234">
        <v>23</v>
      </c>
      <c r="AE26" s="17">
        <f t="shared" si="1"/>
        <v>532.7183690874491</v>
      </c>
      <c r="AF26" s="17">
        <f t="shared" si="2"/>
        <v>109.11184486104776</v>
      </c>
      <c r="AG26" s="68">
        <f t="shared" si="3"/>
        <v>423.60652422640135</v>
      </c>
      <c r="AH26" s="67">
        <f t="shared" si="5"/>
        <v>44.067100877460888</v>
      </c>
      <c r="AI26" s="67">
        <f t="shared" si="6"/>
        <v>9.0258623569790029</v>
      </c>
      <c r="AJ26" s="67">
        <f t="shared" si="7"/>
        <v>35.041238520481883</v>
      </c>
      <c r="AK26" s="91">
        <f t="shared" si="4"/>
        <v>36.634022089594723</v>
      </c>
    </row>
    <row r="27" spans="1:61" ht="14.4">
      <c r="A27" s="37"/>
      <c r="B27" s="37"/>
      <c r="C27" s="37"/>
      <c r="AB27" s="263"/>
      <c r="AC27" s="92">
        <f t="shared" si="0"/>
        <v>12614400</v>
      </c>
      <c r="AD27" s="234">
        <v>24</v>
      </c>
      <c r="AE27" s="17">
        <f t="shared" si="1"/>
        <v>551.97321109774009</v>
      </c>
      <c r="AF27" s="17">
        <f t="shared" si="2"/>
        <v>109.11184486104776</v>
      </c>
      <c r="AG27" s="68">
        <f t="shared" si="3"/>
        <v>442.86136623669233</v>
      </c>
      <c r="AH27" s="67">
        <f t="shared" si="5"/>
        <v>43.757389261299792</v>
      </c>
      <c r="AI27" s="67">
        <f t="shared" si="6"/>
        <v>8.649784758771542</v>
      </c>
      <c r="AJ27" s="67">
        <f t="shared" si="7"/>
        <v>35.107604502528247</v>
      </c>
      <c r="AK27" s="91">
        <f t="shared" si="4"/>
        <v>36.634022089594723</v>
      </c>
    </row>
    <row r="28" spans="1:61" ht="15" thickBot="1">
      <c r="B28" s="37"/>
      <c r="C28" s="37"/>
      <c r="AB28" s="263"/>
      <c r="AC28" s="102">
        <f t="shared" si="0"/>
        <v>13140000</v>
      </c>
      <c r="AD28" s="261">
        <v>25</v>
      </c>
      <c r="AE28" s="17">
        <f t="shared" si="1"/>
        <v>571.22805310803108</v>
      </c>
      <c r="AF28" s="17">
        <f t="shared" si="2"/>
        <v>109.11184486104776</v>
      </c>
      <c r="AG28" s="97">
        <f t="shared" si="3"/>
        <v>462.11620824698332</v>
      </c>
      <c r="AH28" s="94">
        <f>SUM(AI28:AJ28)</f>
        <v>43.472454574431595</v>
      </c>
      <c r="AI28" s="67">
        <f t="shared" si="6"/>
        <v>8.3037933684206813</v>
      </c>
      <c r="AJ28" s="67">
        <f t="shared" si="7"/>
        <v>35.16866120601091</v>
      </c>
      <c r="AK28" s="91">
        <f t="shared" si="4"/>
        <v>36.634022089594723</v>
      </c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</row>
    <row r="31" spans="1:61" ht="13.8" customHeight="1" thickBot="1">
      <c r="AC31" s="483" t="s">
        <v>399</v>
      </c>
      <c r="AD31" s="483"/>
      <c r="AE31" s="483"/>
      <c r="AF31" s="483"/>
      <c r="AG31" s="483"/>
      <c r="AH31" s="483"/>
      <c r="AI31" s="483"/>
      <c r="AJ31" s="483"/>
      <c r="AK31" s="483"/>
      <c r="AL31" s="483"/>
      <c r="AM31"/>
    </row>
    <row r="32" spans="1:61" ht="14.4">
      <c r="AC32" s="218" t="s">
        <v>261</v>
      </c>
      <c r="AD32" s="219" t="s">
        <v>339</v>
      </c>
      <c r="AE32" s="219" t="s">
        <v>329</v>
      </c>
      <c r="AF32" s="219" t="s">
        <v>67</v>
      </c>
      <c r="AG32" s="219" t="s">
        <v>68</v>
      </c>
      <c r="AH32" s="255" t="s">
        <v>69</v>
      </c>
      <c r="AI32" s="255" t="s">
        <v>75</v>
      </c>
      <c r="AJ32" s="255" t="s">
        <v>287</v>
      </c>
      <c r="AK32" s="255" t="s">
        <v>280</v>
      </c>
      <c r="AL32" s="249" t="s">
        <v>70</v>
      </c>
      <c r="AM32"/>
    </row>
    <row r="33" spans="28:39" ht="14.4">
      <c r="AC33" s="256">
        <v>0</v>
      </c>
      <c r="AD33" s="26">
        <v>0</v>
      </c>
      <c r="AE33" s="26">
        <v>0</v>
      </c>
      <c r="AF33" s="26">
        <v>0</v>
      </c>
      <c r="AG33" s="26">
        <v>0</v>
      </c>
      <c r="AH33" s="26">
        <v>0</v>
      </c>
      <c r="AI33" s="26">
        <v>0</v>
      </c>
      <c r="AJ33" s="26">
        <v>0</v>
      </c>
      <c r="AK33" s="26">
        <v>0</v>
      </c>
      <c r="AL33" s="257">
        <v>0</v>
      </c>
      <c r="AM33"/>
    </row>
    <row r="34" spans="28:39" ht="14.4">
      <c r="AB34" s="16"/>
      <c r="AC34" s="180">
        <f>(60*24*365)</f>
        <v>525600</v>
      </c>
      <c r="AD34" s="15">
        <v>1</v>
      </c>
      <c r="AE34" s="26">
        <v>1</v>
      </c>
      <c r="AF34" s="15">
        <v>1</v>
      </c>
      <c r="AG34" s="15">
        <v>5</v>
      </c>
      <c r="AH34" s="15">
        <f>AG34*10</f>
        <v>50</v>
      </c>
      <c r="AI34" s="15">
        <v>5</v>
      </c>
      <c r="AJ34" s="100">
        <v>1</v>
      </c>
      <c r="AK34" s="68">
        <f t="shared" ref="AK34:AK58" si="8">$B$9</f>
        <v>10</v>
      </c>
      <c r="AL34" s="125">
        <v>20</v>
      </c>
      <c r="AM34"/>
    </row>
    <row r="35" spans="28:39" ht="14.4">
      <c r="AB35" s="16"/>
      <c r="AC35" s="180">
        <f>AC34+$AC$34</f>
        <v>1051200</v>
      </c>
      <c r="AD35" s="15">
        <v>2</v>
      </c>
      <c r="AE35" s="15">
        <v>1</v>
      </c>
      <c r="AF35" s="15">
        <v>0.33</v>
      </c>
      <c r="AG35" s="15">
        <v>0</v>
      </c>
      <c r="AH35" s="259">
        <f t="shared" ref="AH35:AH58" si="9">AG35*10</f>
        <v>0</v>
      </c>
      <c r="AI35" s="15">
        <v>0</v>
      </c>
      <c r="AJ35" s="100">
        <v>1</v>
      </c>
      <c r="AK35" s="68">
        <f t="shared" si="8"/>
        <v>10</v>
      </c>
      <c r="AL35" s="125">
        <v>2</v>
      </c>
      <c r="AM35"/>
    </row>
    <row r="36" spans="28:39" ht="14.4">
      <c r="AB36" s="16"/>
      <c r="AC36" s="180">
        <f t="shared" ref="AC36:AC58" si="10">AC35+$AC$34</f>
        <v>1576800</v>
      </c>
      <c r="AD36" s="15">
        <v>3</v>
      </c>
      <c r="AE36" s="15">
        <v>1</v>
      </c>
      <c r="AF36" s="15">
        <v>0.33</v>
      </c>
      <c r="AG36" s="15">
        <v>0</v>
      </c>
      <c r="AH36" s="259">
        <f>AG36*10</f>
        <v>0</v>
      </c>
      <c r="AI36" s="15">
        <v>0</v>
      </c>
      <c r="AJ36" s="100">
        <v>1</v>
      </c>
      <c r="AK36" s="68">
        <f t="shared" si="8"/>
        <v>10</v>
      </c>
      <c r="AL36" s="125">
        <v>2</v>
      </c>
      <c r="AM36"/>
    </row>
    <row r="37" spans="28:39" ht="14.4">
      <c r="AB37" s="16"/>
      <c r="AC37" s="180">
        <f t="shared" si="10"/>
        <v>2102400</v>
      </c>
      <c r="AD37" s="15">
        <v>4</v>
      </c>
      <c r="AE37" s="15">
        <v>1</v>
      </c>
      <c r="AF37" s="15">
        <v>0.33</v>
      </c>
      <c r="AG37" s="15">
        <v>0</v>
      </c>
      <c r="AH37" s="259">
        <f t="shared" si="9"/>
        <v>0</v>
      </c>
      <c r="AI37" s="15">
        <v>0</v>
      </c>
      <c r="AJ37" s="100">
        <v>1</v>
      </c>
      <c r="AK37" s="68">
        <f t="shared" si="8"/>
        <v>10</v>
      </c>
      <c r="AL37" s="125">
        <v>2</v>
      </c>
      <c r="AM37"/>
    </row>
    <row r="38" spans="28:39" ht="14.4">
      <c r="AB38" s="16"/>
      <c r="AC38" s="180">
        <f t="shared" si="10"/>
        <v>2628000</v>
      </c>
      <c r="AD38" s="15">
        <v>5</v>
      </c>
      <c r="AE38" s="15">
        <v>1</v>
      </c>
      <c r="AF38" s="15">
        <v>0.33</v>
      </c>
      <c r="AG38" s="15">
        <v>0</v>
      </c>
      <c r="AH38" s="259">
        <f t="shared" si="9"/>
        <v>0</v>
      </c>
      <c r="AI38" s="15">
        <v>0</v>
      </c>
      <c r="AJ38" s="100">
        <v>1</v>
      </c>
      <c r="AK38" s="68">
        <f t="shared" si="8"/>
        <v>10</v>
      </c>
      <c r="AL38" s="125">
        <v>2</v>
      </c>
      <c r="AM38"/>
    </row>
    <row r="39" spans="28:39" ht="14.4">
      <c r="AB39" s="16"/>
      <c r="AC39" s="180">
        <f t="shared" si="10"/>
        <v>3153600</v>
      </c>
      <c r="AD39" s="15">
        <v>6</v>
      </c>
      <c r="AE39" s="15">
        <v>1</v>
      </c>
      <c r="AF39" s="15">
        <v>0.33</v>
      </c>
      <c r="AG39" s="15">
        <v>0</v>
      </c>
      <c r="AH39" s="259">
        <f t="shared" si="9"/>
        <v>0</v>
      </c>
      <c r="AI39" s="15">
        <v>0</v>
      </c>
      <c r="AJ39" s="100">
        <v>1</v>
      </c>
      <c r="AK39" s="68">
        <f t="shared" si="8"/>
        <v>10</v>
      </c>
      <c r="AL39" s="125">
        <v>2</v>
      </c>
      <c r="AM39"/>
    </row>
    <row r="40" spans="28:39" ht="14.4">
      <c r="AB40" s="16"/>
      <c r="AC40" s="180">
        <f t="shared" si="10"/>
        <v>3679200</v>
      </c>
      <c r="AD40" s="15">
        <v>7</v>
      </c>
      <c r="AE40" s="15">
        <v>1</v>
      </c>
      <c r="AF40" s="15">
        <v>0.33</v>
      </c>
      <c r="AG40" s="15">
        <v>0</v>
      </c>
      <c r="AH40" s="259">
        <f t="shared" si="9"/>
        <v>0</v>
      </c>
      <c r="AI40" s="15">
        <v>0</v>
      </c>
      <c r="AJ40" s="100">
        <v>1</v>
      </c>
      <c r="AK40" s="68">
        <f t="shared" si="8"/>
        <v>10</v>
      </c>
      <c r="AL40" s="125">
        <v>2</v>
      </c>
      <c r="AM40"/>
    </row>
    <row r="41" spans="28:39" ht="14.4">
      <c r="AB41" s="16"/>
      <c r="AC41" s="180">
        <f t="shared" si="10"/>
        <v>4204800</v>
      </c>
      <c r="AD41" s="15">
        <v>8</v>
      </c>
      <c r="AE41" s="15">
        <v>1</v>
      </c>
      <c r="AF41" s="15">
        <v>0.33</v>
      </c>
      <c r="AG41" s="15">
        <v>0</v>
      </c>
      <c r="AH41" s="259">
        <f t="shared" si="9"/>
        <v>0</v>
      </c>
      <c r="AI41" s="15">
        <v>0</v>
      </c>
      <c r="AJ41" s="100">
        <v>1</v>
      </c>
      <c r="AK41" s="68">
        <f t="shared" si="8"/>
        <v>10</v>
      </c>
      <c r="AL41" s="125">
        <v>2</v>
      </c>
      <c r="AM41"/>
    </row>
    <row r="42" spans="28:39" ht="14.4">
      <c r="AB42" s="16"/>
      <c r="AC42" s="180">
        <f t="shared" si="10"/>
        <v>4730400</v>
      </c>
      <c r="AD42" s="15">
        <v>9</v>
      </c>
      <c r="AE42" s="15">
        <v>1</v>
      </c>
      <c r="AF42" s="15">
        <v>0.33</v>
      </c>
      <c r="AG42" s="15">
        <v>0</v>
      </c>
      <c r="AH42" s="259">
        <f t="shared" si="9"/>
        <v>0</v>
      </c>
      <c r="AI42" s="15">
        <v>0</v>
      </c>
      <c r="AJ42" s="100">
        <v>1</v>
      </c>
      <c r="AK42" s="68">
        <f t="shared" si="8"/>
        <v>10</v>
      </c>
      <c r="AL42" s="125">
        <v>2</v>
      </c>
      <c r="AM42"/>
    </row>
    <row r="43" spans="28:39" ht="14.4">
      <c r="AC43" s="180">
        <f t="shared" si="10"/>
        <v>5256000</v>
      </c>
      <c r="AD43" s="15">
        <v>10</v>
      </c>
      <c r="AE43" s="15">
        <v>1</v>
      </c>
      <c r="AF43" s="15">
        <v>0.33</v>
      </c>
      <c r="AG43" s="15">
        <v>0</v>
      </c>
      <c r="AH43" s="259">
        <f t="shared" si="9"/>
        <v>0</v>
      </c>
      <c r="AI43" s="15">
        <v>0</v>
      </c>
      <c r="AJ43" s="100">
        <v>1</v>
      </c>
      <c r="AK43" s="68">
        <f t="shared" si="8"/>
        <v>10</v>
      </c>
      <c r="AL43" s="125">
        <v>2</v>
      </c>
      <c r="AM43"/>
    </row>
    <row r="44" spans="28:39" ht="14.4">
      <c r="AC44" s="180">
        <f t="shared" si="10"/>
        <v>5781600</v>
      </c>
      <c r="AD44" s="15">
        <v>11</v>
      </c>
      <c r="AE44" s="15">
        <v>1</v>
      </c>
      <c r="AF44" s="15">
        <v>0.33</v>
      </c>
      <c r="AG44" s="15">
        <v>0</v>
      </c>
      <c r="AH44" s="259">
        <f t="shared" si="9"/>
        <v>0</v>
      </c>
      <c r="AI44" s="15">
        <v>0</v>
      </c>
      <c r="AJ44" s="100">
        <v>1</v>
      </c>
      <c r="AK44" s="68">
        <f t="shared" si="8"/>
        <v>10</v>
      </c>
      <c r="AL44" s="125">
        <v>2</v>
      </c>
      <c r="AM44"/>
    </row>
    <row r="45" spans="28:39" ht="13.8" customHeight="1">
      <c r="AC45" s="180">
        <f t="shared" si="10"/>
        <v>6307200</v>
      </c>
      <c r="AD45" s="15">
        <v>12</v>
      </c>
      <c r="AE45" s="15">
        <v>1</v>
      </c>
      <c r="AF45" s="15">
        <v>0.33</v>
      </c>
      <c r="AG45" s="15">
        <v>0</v>
      </c>
      <c r="AH45" s="259">
        <f t="shared" si="9"/>
        <v>0</v>
      </c>
      <c r="AI45" s="15">
        <v>0</v>
      </c>
      <c r="AJ45" s="100">
        <v>1</v>
      </c>
      <c r="AK45" s="68">
        <f t="shared" si="8"/>
        <v>10</v>
      </c>
      <c r="AL45" s="125">
        <v>2</v>
      </c>
    </row>
    <row r="46" spans="28:39">
      <c r="AC46" s="180">
        <f t="shared" si="10"/>
        <v>6832800</v>
      </c>
      <c r="AD46" s="15">
        <v>13</v>
      </c>
      <c r="AE46" s="15">
        <v>1</v>
      </c>
      <c r="AF46" s="15">
        <v>0.33</v>
      </c>
      <c r="AG46" s="15">
        <v>0</v>
      </c>
      <c r="AH46" s="259">
        <f t="shared" si="9"/>
        <v>0</v>
      </c>
      <c r="AI46" s="15">
        <v>0</v>
      </c>
      <c r="AJ46" s="100">
        <v>1</v>
      </c>
      <c r="AK46" s="68">
        <f t="shared" si="8"/>
        <v>10</v>
      </c>
      <c r="AL46" s="125">
        <v>2</v>
      </c>
    </row>
    <row r="47" spans="28:39">
      <c r="AC47" s="180">
        <f t="shared" si="10"/>
        <v>7358400</v>
      </c>
      <c r="AD47" s="15">
        <v>14</v>
      </c>
      <c r="AE47" s="15">
        <v>1</v>
      </c>
      <c r="AF47" s="15">
        <v>0.33</v>
      </c>
      <c r="AG47" s="15">
        <v>0</v>
      </c>
      <c r="AH47" s="259">
        <f t="shared" si="9"/>
        <v>0</v>
      </c>
      <c r="AI47" s="15">
        <v>0</v>
      </c>
      <c r="AJ47" s="100">
        <v>1</v>
      </c>
      <c r="AK47" s="68">
        <f t="shared" si="8"/>
        <v>10</v>
      </c>
      <c r="AL47" s="125">
        <v>2</v>
      </c>
    </row>
    <row r="48" spans="28:39">
      <c r="AC48" s="180">
        <f t="shared" si="10"/>
        <v>7884000</v>
      </c>
      <c r="AD48" s="15">
        <v>15</v>
      </c>
      <c r="AE48" s="15">
        <v>1</v>
      </c>
      <c r="AF48" s="15">
        <v>0.33</v>
      </c>
      <c r="AG48" s="15">
        <v>0</v>
      </c>
      <c r="AH48" s="259">
        <f t="shared" si="9"/>
        <v>0</v>
      </c>
      <c r="AI48" s="15">
        <v>0</v>
      </c>
      <c r="AJ48" s="100">
        <v>1</v>
      </c>
      <c r="AK48" s="68">
        <f t="shared" si="8"/>
        <v>10</v>
      </c>
      <c r="AL48" s="125">
        <v>2</v>
      </c>
    </row>
    <row r="49" spans="29:60">
      <c r="AC49" s="180">
        <f t="shared" si="10"/>
        <v>8409600</v>
      </c>
      <c r="AD49" s="15">
        <v>16</v>
      </c>
      <c r="AE49" s="15">
        <v>1</v>
      </c>
      <c r="AF49" s="15">
        <v>0.33</v>
      </c>
      <c r="AG49" s="15">
        <v>0</v>
      </c>
      <c r="AH49" s="259">
        <f t="shared" si="9"/>
        <v>0</v>
      </c>
      <c r="AI49" s="15">
        <v>0</v>
      </c>
      <c r="AJ49" s="100">
        <v>1</v>
      </c>
      <c r="AK49" s="68">
        <f t="shared" si="8"/>
        <v>10</v>
      </c>
      <c r="AL49" s="125">
        <v>2</v>
      </c>
    </row>
    <row r="50" spans="29:60">
      <c r="AC50" s="180">
        <f t="shared" si="10"/>
        <v>8935200</v>
      </c>
      <c r="AD50" s="15">
        <v>17</v>
      </c>
      <c r="AE50" s="15">
        <v>1</v>
      </c>
      <c r="AF50" s="15">
        <v>0.33</v>
      </c>
      <c r="AG50" s="15">
        <v>0</v>
      </c>
      <c r="AH50" s="259">
        <f t="shared" si="9"/>
        <v>0</v>
      </c>
      <c r="AI50" s="15">
        <v>0</v>
      </c>
      <c r="AJ50" s="100">
        <v>1</v>
      </c>
      <c r="AK50" s="68">
        <f t="shared" si="8"/>
        <v>10</v>
      </c>
      <c r="AL50" s="125">
        <v>2</v>
      </c>
    </row>
    <row r="51" spans="29:60">
      <c r="AC51" s="180">
        <f t="shared" si="10"/>
        <v>9460800</v>
      </c>
      <c r="AD51" s="15">
        <v>18</v>
      </c>
      <c r="AE51" s="15">
        <v>1</v>
      </c>
      <c r="AF51" s="15">
        <v>0.33</v>
      </c>
      <c r="AG51" s="15">
        <v>0</v>
      </c>
      <c r="AH51" s="259">
        <f t="shared" si="9"/>
        <v>0</v>
      </c>
      <c r="AI51" s="15">
        <v>0</v>
      </c>
      <c r="AJ51" s="100">
        <v>1</v>
      </c>
      <c r="AK51" s="68">
        <f t="shared" si="8"/>
        <v>10</v>
      </c>
      <c r="AL51" s="125">
        <v>2</v>
      </c>
    </row>
    <row r="52" spans="29:60" ht="14.4" customHeight="1">
      <c r="AC52" s="180">
        <f t="shared" si="10"/>
        <v>9986400</v>
      </c>
      <c r="AD52" s="15">
        <v>19</v>
      </c>
      <c r="AE52" s="15">
        <v>1</v>
      </c>
      <c r="AF52" s="15">
        <v>0.33</v>
      </c>
      <c r="AG52" s="15">
        <v>0</v>
      </c>
      <c r="AH52" s="259">
        <f t="shared" si="9"/>
        <v>0</v>
      </c>
      <c r="AI52" s="15">
        <v>0</v>
      </c>
      <c r="AJ52" s="100">
        <v>1</v>
      </c>
      <c r="AK52" s="68">
        <f t="shared" si="8"/>
        <v>10</v>
      </c>
      <c r="AL52" s="125">
        <v>2</v>
      </c>
    </row>
    <row r="53" spans="29:60">
      <c r="AC53" s="180">
        <f t="shared" si="10"/>
        <v>10512000</v>
      </c>
      <c r="AD53" s="15">
        <v>20</v>
      </c>
      <c r="AE53" s="15">
        <v>1</v>
      </c>
      <c r="AF53" s="15">
        <v>0.33</v>
      </c>
      <c r="AG53" s="15">
        <v>0</v>
      </c>
      <c r="AH53" s="259">
        <f t="shared" si="9"/>
        <v>0</v>
      </c>
      <c r="AI53" s="15">
        <v>0</v>
      </c>
      <c r="AJ53" s="100">
        <v>1</v>
      </c>
      <c r="AK53" s="68">
        <f t="shared" si="8"/>
        <v>10</v>
      </c>
      <c r="AL53" s="125">
        <v>2</v>
      </c>
    </row>
    <row r="54" spans="29:60">
      <c r="AC54" s="180">
        <f t="shared" si="10"/>
        <v>11037600</v>
      </c>
      <c r="AD54" s="15">
        <v>21</v>
      </c>
      <c r="AE54" s="15">
        <v>1</v>
      </c>
      <c r="AF54" s="15">
        <v>0.33</v>
      </c>
      <c r="AG54" s="15">
        <v>0</v>
      </c>
      <c r="AH54" s="259">
        <f t="shared" si="9"/>
        <v>0</v>
      </c>
      <c r="AI54" s="15">
        <v>0</v>
      </c>
      <c r="AJ54" s="100">
        <v>1</v>
      </c>
      <c r="AK54" s="68">
        <f t="shared" si="8"/>
        <v>10</v>
      </c>
      <c r="AL54" s="125">
        <v>2</v>
      </c>
    </row>
    <row r="55" spans="29:60">
      <c r="AC55" s="180">
        <f t="shared" si="10"/>
        <v>11563200</v>
      </c>
      <c r="AD55" s="15">
        <v>22</v>
      </c>
      <c r="AE55" s="15">
        <v>1</v>
      </c>
      <c r="AF55" s="15">
        <v>0.33</v>
      </c>
      <c r="AG55" s="15">
        <v>0</v>
      </c>
      <c r="AH55" s="259">
        <f t="shared" si="9"/>
        <v>0</v>
      </c>
      <c r="AI55" s="15">
        <v>0</v>
      </c>
      <c r="AJ55" s="100">
        <v>1</v>
      </c>
      <c r="AK55" s="68">
        <f t="shared" si="8"/>
        <v>10</v>
      </c>
      <c r="AL55" s="125">
        <v>2</v>
      </c>
    </row>
    <row r="56" spans="29:60">
      <c r="AC56" s="180">
        <f t="shared" si="10"/>
        <v>12088800</v>
      </c>
      <c r="AD56" s="15">
        <v>23</v>
      </c>
      <c r="AE56" s="15">
        <v>1</v>
      </c>
      <c r="AF56" s="15">
        <v>0.33</v>
      </c>
      <c r="AG56" s="15">
        <v>0</v>
      </c>
      <c r="AH56" s="259">
        <f t="shared" si="9"/>
        <v>0</v>
      </c>
      <c r="AI56" s="15">
        <v>0</v>
      </c>
      <c r="AJ56" s="100">
        <v>1</v>
      </c>
      <c r="AK56" s="68">
        <f t="shared" si="8"/>
        <v>10</v>
      </c>
      <c r="AL56" s="125">
        <v>2</v>
      </c>
    </row>
    <row r="57" spans="29:60">
      <c r="AC57" s="180">
        <f t="shared" si="10"/>
        <v>12614400</v>
      </c>
      <c r="AD57" s="15">
        <v>24</v>
      </c>
      <c r="AE57" s="15">
        <v>1</v>
      </c>
      <c r="AF57" s="15">
        <v>0.33</v>
      </c>
      <c r="AG57" s="15">
        <v>0</v>
      </c>
      <c r="AH57" s="259">
        <f t="shared" si="9"/>
        <v>0</v>
      </c>
      <c r="AI57" s="15">
        <v>0</v>
      </c>
      <c r="AJ57" s="100">
        <v>1</v>
      </c>
      <c r="AK57" s="68">
        <f t="shared" si="8"/>
        <v>10</v>
      </c>
      <c r="AL57" s="125">
        <v>2</v>
      </c>
    </row>
    <row r="58" spans="29:60" ht="14.4" thickBot="1">
      <c r="AC58" s="188">
        <f t="shared" si="10"/>
        <v>13140000</v>
      </c>
      <c r="AD58" s="95">
        <v>25</v>
      </c>
      <c r="AE58" s="95">
        <v>1</v>
      </c>
      <c r="AF58" s="95">
        <v>0.33</v>
      </c>
      <c r="AG58" s="95">
        <v>0</v>
      </c>
      <c r="AH58" s="260">
        <f t="shared" si="9"/>
        <v>0</v>
      </c>
      <c r="AI58" s="95">
        <v>0</v>
      </c>
      <c r="AJ58" s="258">
        <v>1</v>
      </c>
      <c r="AK58" s="97">
        <f t="shared" si="8"/>
        <v>10</v>
      </c>
      <c r="AL58" s="125">
        <v>2</v>
      </c>
    </row>
    <row r="59" spans="29:60" ht="14.4">
      <c r="AC59"/>
    </row>
    <row r="60" spans="29:60" ht="14.4">
      <c r="AC60"/>
    </row>
    <row r="61" spans="29:60" ht="15" thickBot="1">
      <c r="AC61" s="483" t="s">
        <v>400</v>
      </c>
      <c r="AD61" s="483"/>
      <c r="AE61" s="483"/>
      <c r="AF61" s="483"/>
      <c r="AG61" s="483"/>
      <c r="AH61" s="483"/>
      <c r="AI61" s="483"/>
      <c r="AJ61" s="483"/>
      <c r="AK61" s="483"/>
      <c r="AL61" s="483"/>
      <c r="AM61"/>
      <c r="AN61" s="481" t="s">
        <v>401</v>
      </c>
      <c r="AO61" s="481"/>
      <c r="AP61" s="481"/>
      <c r="AQ61" s="481"/>
      <c r="AR61" s="481"/>
      <c r="AS61" s="481"/>
      <c r="AT61" s="481"/>
      <c r="AU61" s="481"/>
      <c r="AV61" s="481"/>
      <c r="AW61" s="481"/>
      <c r="AX61" s="481"/>
      <c r="AY61" s="481"/>
      <c r="AZ61" s="481"/>
      <c r="BA61" s="481"/>
      <c r="BB61" s="481"/>
      <c r="BC61" s="481"/>
      <c r="BD61" s="481"/>
      <c r="BE61" s="481"/>
      <c r="BF61" s="481"/>
      <c r="BG61" s="481"/>
    </row>
    <row r="62" spans="29:60" ht="14.4">
      <c r="AC62" s="218" t="s">
        <v>261</v>
      </c>
      <c r="AD62" s="219" t="s">
        <v>274</v>
      </c>
      <c r="AE62" s="219" t="s">
        <v>329</v>
      </c>
      <c r="AF62" s="219" t="s">
        <v>67</v>
      </c>
      <c r="AG62" s="219" t="s">
        <v>68</v>
      </c>
      <c r="AH62" s="255" t="s">
        <v>69</v>
      </c>
      <c r="AI62" s="255" t="s">
        <v>75</v>
      </c>
      <c r="AJ62" s="255" t="s">
        <v>287</v>
      </c>
      <c r="AK62" s="255" t="s">
        <v>280</v>
      </c>
      <c r="AL62" s="249" t="s">
        <v>70</v>
      </c>
      <c r="AM62"/>
      <c r="AN62" s="77">
        <v>2024</v>
      </c>
      <c r="AO62" s="77">
        <v>2025</v>
      </c>
      <c r="AP62" s="77">
        <v>2026</v>
      </c>
      <c r="AQ62" s="77">
        <v>2027</v>
      </c>
      <c r="AR62" s="77">
        <v>2028</v>
      </c>
      <c r="AS62" s="77">
        <v>2029</v>
      </c>
      <c r="AT62" s="77">
        <v>2030</v>
      </c>
      <c r="AU62" s="77">
        <v>2031</v>
      </c>
      <c r="AV62" s="77">
        <v>2032</v>
      </c>
      <c r="AW62" s="77">
        <v>2033</v>
      </c>
      <c r="AX62" s="77">
        <v>2034</v>
      </c>
      <c r="AY62" s="77">
        <v>2035</v>
      </c>
      <c r="AZ62" s="77">
        <v>2036</v>
      </c>
      <c r="BA62" s="77">
        <v>2037</v>
      </c>
      <c r="BB62" s="77">
        <v>2038</v>
      </c>
      <c r="BC62" s="77">
        <v>2039</v>
      </c>
      <c r="BD62" s="77">
        <v>2040</v>
      </c>
      <c r="BE62" s="77">
        <v>2041</v>
      </c>
      <c r="BF62" s="77">
        <v>2042</v>
      </c>
      <c r="BG62" s="77">
        <v>2043</v>
      </c>
      <c r="BH62" s="77" t="s">
        <v>312</v>
      </c>
    </row>
    <row r="63" spans="29:60">
      <c r="AC63" s="92">
        <f>AC33</f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0</v>
      </c>
      <c r="AL63" s="119">
        <v>0</v>
      </c>
      <c r="AN63" s="15">
        <v>0</v>
      </c>
      <c r="AO63" s="15">
        <v>0</v>
      </c>
      <c r="AP63" s="15">
        <v>0</v>
      </c>
      <c r="AQ63" s="15">
        <v>0</v>
      </c>
      <c r="AR63" s="15">
        <v>0</v>
      </c>
      <c r="AS63" s="15">
        <v>0</v>
      </c>
      <c r="AT63" s="15">
        <v>0</v>
      </c>
      <c r="AU63" s="15">
        <v>0</v>
      </c>
      <c r="AV63" s="15">
        <v>0</v>
      </c>
      <c r="AW63" s="15">
        <v>0</v>
      </c>
      <c r="AX63" s="15">
        <v>0</v>
      </c>
      <c r="AY63" s="15">
        <v>0</v>
      </c>
      <c r="AZ63" s="15">
        <v>0</v>
      </c>
      <c r="BA63" s="15">
        <v>0</v>
      </c>
      <c r="BB63" s="15">
        <v>0</v>
      </c>
      <c r="BC63" s="15">
        <v>0</v>
      </c>
      <c r="BD63" s="15">
        <v>0</v>
      </c>
      <c r="BE63" s="15">
        <v>0</v>
      </c>
      <c r="BF63" s="15">
        <v>0</v>
      </c>
      <c r="BG63" s="15">
        <v>0</v>
      </c>
      <c r="BH63" s="15">
        <v>0</v>
      </c>
    </row>
    <row r="64" spans="29:60">
      <c r="AC64" s="92">
        <f>AC34</f>
        <v>525600</v>
      </c>
      <c r="AD64" s="15">
        <v>1</v>
      </c>
      <c r="AE64" s="68">
        <f t="shared" ref="AE64:AE73" si="11">AE34*$B$3</f>
        <v>4</v>
      </c>
      <c r="AF64" s="79">
        <f t="shared" ref="AF64:AF73" si="12">AF34*$B$4</f>
        <v>3.5</v>
      </c>
      <c r="AG64" s="68">
        <f t="shared" ref="AG64:AG73" si="13">AG34*$B$5</f>
        <v>10</v>
      </c>
      <c r="AH64" s="79">
        <f t="shared" ref="AH64:AH73" si="14">AH34*$B$6</f>
        <v>1</v>
      </c>
      <c r="AI64" s="79">
        <f t="shared" ref="AI64:AI73" si="15">AI34*$B$7</f>
        <v>2.5</v>
      </c>
      <c r="AJ64" s="100">
        <f t="shared" ref="AJ64:AJ72" si="16">AJ34*$B$8</f>
        <v>0.1</v>
      </c>
      <c r="AK64" s="68">
        <f>(AE64+AF64+AG64+AH64)*(AK34/100)</f>
        <v>1.85</v>
      </c>
      <c r="AL64" s="125">
        <f t="shared" ref="AL64:AL72" si="17">$B$10*AL34</f>
        <v>3.8</v>
      </c>
      <c r="AN64" s="79">
        <f t="shared" ref="AN64:AN88" si="18">(AJ64+AK64+AL64)</f>
        <v>5.75</v>
      </c>
      <c r="AO64" s="79">
        <f t="shared" ref="AO64:BG64" si="19">$AN$64/POWER(1+($B$11/100),AO62-2024)</f>
        <v>5.5825242718446599</v>
      </c>
      <c r="AP64" s="79">
        <f t="shared" si="19"/>
        <v>5.4199264775190876</v>
      </c>
      <c r="AQ64" s="79">
        <f t="shared" si="19"/>
        <v>5.2620645412806679</v>
      </c>
      <c r="AR64" s="79">
        <f t="shared" si="19"/>
        <v>5.1088005255152114</v>
      </c>
      <c r="AS64" s="79">
        <f t="shared" si="19"/>
        <v>4.9600005102089435</v>
      </c>
      <c r="AT64" s="79">
        <f t="shared" si="19"/>
        <v>4.8155344759310132</v>
      </c>
      <c r="AU64" s="79">
        <f t="shared" si="19"/>
        <v>4.6752761902242836</v>
      </c>
      <c r="AV64" s="79">
        <f t="shared" si="19"/>
        <v>4.539103097305131</v>
      </c>
      <c r="AW64" s="79">
        <f t="shared" si="19"/>
        <v>4.4068962109758552</v>
      </c>
      <c r="AX64" s="79">
        <f t="shared" si="19"/>
        <v>4.2785400106561697</v>
      </c>
      <c r="AY64" s="79">
        <f t="shared" si="19"/>
        <v>4.1539223404428833</v>
      </c>
      <c r="AZ64" s="79">
        <f t="shared" si="19"/>
        <v>4.0329343111095959</v>
      </c>
      <c r="BA64" s="79">
        <f t="shared" si="19"/>
        <v>3.9154702049607728</v>
      </c>
      <c r="BB64" s="79">
        <f t="shared" si="19"/>
        <v>3.8014273834570607</v>
      </c>
      <c r="BC64" s="79">
        <f t="shared" si="19"/>
        <v>3.6907061975311266</v>
      </c>
      <c r="BD64" s="79">
        <f t="shared" si="19"/>
        <v>3.5832099005156577</v>
      </c>
      <c r="BE64" s="79">
        <f t="shared" si="19"/>
        <v>3.4788445636074345</v>
      </c>
      <c r="BF64" s="79">
        <f t="shared" si="19"/>
        <v>3.3775189937936259</v>
      </c>
      <c r="BG64" s="79">
        <f t="shared" si="19"/>
        <v>3.2791446541685687</v>
      </c>
      <c r="BH64" s="79">
        <f>SUM(AN64:BG64)</f>
        <v>88.111844861047757</v>
      </c>
    </row>
    <row r="65" spans="29:60">
      <c r="AC65" s="92">
        <f t="shared" ref="AC65:AC88" si="20">AC35</f>
        <v>1051200</v>
      </c>
      <c r="AD65" s="15">
        <v>2</v>
      </c>
      <c r="AE65" s="68">
        <f t="shared" si="11"/>
        <v>4</v>
      </c>
      <c r="AF65" s="79">
        <f t="shared" si="12"/>
        <v>1.155</v>
      </c>
      <c r="AG65" s="68">
        <f t="shared" si="13"/>
        <v>0</v>
      </c>
      <c r="AH65" s="79">
        <f t="shared" si="14"/>
        <v>0</v>
      </c>
      <c r="AI65" s="79">
        <f t="shared" si="15"/>
        <v>0</v>
      </c>
      <c r="AJ65" s="100">
        <f t="shared" si="16"/>
        <v>0.1</v>
      </c>
      <c r="AK65" s="68">
        <f t="shared" ref="AK65:AK88" si="21">(AE65+AF65+AG65+AH65)*(AK35/100)</f>
        <v>0.51550000000000007</v>
      </c>
      <c r="AL65" s="125">
        <f t="shared" si="17"/>
        <v>0.38</v>
      </c>
      <c r="AN65" s="79">
        <f t="shared" si="18"/>
        <v>0.99550000000000005</v>
      </c>
      <c r="AO65" s="79">
        <f t="shared" ref="AO65:BG65" si="22">$AN$65/POWER(1+($B$11/100),AO62-2024)</f>
        <v>0.96650485436893208</v>
      </c>
      <c r="AP65" s="79">
        <f t="shared" si="22"/>
        <v>0.93835422754265252</v>
      </c>
      <c r="AQ65" s="79">
        <f t="shared" si="22"/>
        <v>0.91102352188607039</v>
      </c>
      <c r="AR65" s="79">
        <f t="shared" si="22"/>
        <v>0.88448885620006845</v>
      </c>
      <c r="AS65" s="79">
        <f t="shared" si="22"/>
        <v>0.85872704485443541</v>
      </c>
      <c r="AT65" s="79">
        <f t="shared" si="22"/>
        <v>0.83371557752857806</v>
      </c>
      <c r="AU65" s="79">
        <f t="shared" si="22"/>
        <v>0.80943259954230873</v>
      </c>
      <c r="AV65" s="79">
        <f t="shared" si="22"/>
        <v>0.78585689275952308</v>
      </c>
      <c r="AW65" s="79">
        <f t="shared" si="22"/>
        <v>0.76296785704808068</v>
      </c>
      <c r="AX65" s="79">
        <f t="shared" si="22"/>
        <v>0.74074549227969</v>
      </c>
      <c r="AY65" s="79">
        <f t="shared" si="22"/>
        <v>0.71917038085406793</v>
      </c>
      <c r="AZ65" s="79">
        <f t="shared" si="22"/>
        <v>0.6982236707321049</v>
      </c>
      <c r="BA65" s="79">
        <f t="shared" si="22"/>
        <v>0.67788705896320867</v>
      </c>
      <c r="BB65" s="79">
        <f t="shared" si="22"/>
        <v>0.65814277569243551</v>
      </c>
      <c r="BC65" s="79">
        <f t="shared" si="22"/>
        <v>0.63897356863343246</v>
      </c>
      <c r="BD65" s="79">
        <f t="shared" si="22"/>
        <v>0.62036268799362393</v>
      </c>
      <c r="BE65" s="79">
        <f t="shared" si="22"/>
        <v>0.60229387183846983</v>
      </c>
      <c r="BF65" s="79">
        <f t="shared" si="22"/>
        <v>0.58475133188200945</v>
      </c>
      <c r="BG65" s="79">
        <f t="shared" si="22"/>
        <v>0.56771973969127132</v>
      </c>
      <c r="BH65" s="79">
        <f>SUM(AN65:BG65)</f>
        <v>15.254842010290965</v>
      </c>
    </row>
    <row r="66" spans="29:60">
      <c r="AC66" s="92">
        <f t="shared" si="20"/>
        <v>1576800</v>
      </c>
      <c r="AD66" s="15">
        <v>3</v>
      </c>
      <c r="AE66" s="68">
        <f t="shared" si="11"/>
        <v>4</v>
      </c>
      <c r="AF66" s="79">
        <f t="shared" si="12"/>
        <v>1.155</v>
      </c>
      <c r="AG66" s="68">
        <f t="shared" si="13"/>
        <v>0</v>
      </c>
      <c r="AH66" s="79">
        <f t="shared" si="14"/>
        <v>0</v>
      </c>
      <c r="AI66" s="79">
        <f t="shared" si="15"/>
        <v>0</v>
      </c>
      <c r="AJ66" s="100">
        <f t="shared" si="16"/>
        <v>0.1</v>
      </c>
      <c r="AK66" s="68">
        <f t="shared" si="21"/>
        <v>0.51550000000000007</v>
      </c>
      <c r="AL66" s="125">
        <f t="shared" si="17"/>
        <v>0.38</v>
      </c>
      <c r="AN66" s="79">
        <f t="shared" si="18"/>
        <v>0.99550000000000005</v>
      </c>
      <c r="AO66" s="79">
        <f t="shared" ref="AO66:BG66" si="23">$AN$66/POWER(1+($B$11/100),AO62-2024)</f>
        <v>0.96650485436893208</v>
      </c>
      <c r="AP66" s="79">
        <f t="shared" si="23"/>
        <v>0.93835422754265252</v>
      </c>
      <c r="AQ66" s="79">
        <f t="shared" si="23"/>
        <v>0.91102352188607039</v>
      </c>
      <c r="AR66" s="79">
        <f t="shared" si="23"/>
        <v>0.88448885620006845</v>
      </c>
      <c r="AS66" s="79">
        <f t="shared" si="23"/>
        <v>0.85872704485443541</v>
      </c>
      <c r="AT66" s="79">
        <f t="shared" si="23"/>
        <v>0.83371557752857806</v>
      </c>
      <c r="AU66" s="79">
        <f t="shared" si="23"/>
        <v>0.80943259954230873</v>
      </c>
      <c r="AV66" s="79">
        <f t="shared" si="23"/>
        <v>0.78585689275952308</v>
      </c>
      <c r="AW66" s="79">
        <f t="shared" si="23"/>
        <v>0.76296785704808068</v>
      </c>
      <c r="AX66" s="79">
        <f t="shared" si="23"/>
        <v>0.74074549227969</v>
      </c>
      <c r="AY66" s="79">
        <f t="shared" si="23"/>
        <v>0.71917038085406793</v>
      </c>
      <c r="AZ66" s="79">
        <f t="shared" si="23"/>
        <v>0.6982236707321049</v>
      </c>
      <c r="BA66" s="79">
        <f t="shared" si="23"/>
        <v>0.67788705896320867</v>
      </c>
      <c r="BB66" s="79">
        <f t="shared" si="23"/>
        <v>0.65814277569243551</v>
      </c>
      <c r="BC66" s="79">
        <f t="shared" si="23"/>
        <v>0.63897356863343246</v>
      </c>
      <c r="BD66" s="79">
        <f t="shared" si="23"/>
        <v>0.62036268799362393</v>
      </c>
      <c r="BE66" s="79">
        <f t="shared" si="23"/>
        <v>0.60229387183846983</v>
      </c>
      <c r="BF66" s="79">
        <f t="shared" si="23"/>
        <v>0.58475133188200945</v>
      </c>
      <c r="BG66" s="79">
        <f t="shared" si="23"/>
        <v>0.56771973969127132</v>
      </c>
      <c r="BH66" s="79">
        <f>SUM(AN66:BG66)</f>
        <v>15.254842010290965</v>
      </c>
    </row>
    <row r="67" spans="29:60">
      <c r="AC67" s="92">
        <f t="shared" si="20"/>
        <v>2102400</v>
      </c>
      <c r="AD67" s="15">
        <v>4</v>
      </c>
      <c r="AE67" s="68">
        <f t="shared" si="11"/>
        <v>4</v>
      </c>
      <c r="AF67" s="79">
        <f t="shared" si="12"/>
        <v>1.155</v>
      </c>
      <c r="AG67" s="68">
        <f t="shared" si="13"/>
        <v>0</v>
      </c>
      <c r="AH67" s="79">
        <f t="shared" si="14"/>
        <v>0</v>
      </c>
      <c r="AI67" s="79">
        <f t="shared" si="15"/>
        <v>0</v>
      </c>
      <c r="AJ67" s="100">
        <f t="shared" si="16"/>
        <v>0.1</v>
      </c>
      <c r="AK67" s="68">
        <f t="shared" si="21"/>
        <v>0.51550000000000007</v>
      </c>
      <c r="AL67" s="125">
        <f t="shared" si="17"/>
        <v>0.38</v>
      </c>
      <c r="AN67" s="79">
        <f t="shared" si="18"/>
        <v>0.99550000000000005</v>
      </c>
      <c r="AO67" s="79">
        <f t="shared" ref="AO67:BG67" si="24">$AN$67/POWER(1+($B$11/100),AO62-2024)</f>
        <v>0.96650485436893208</v>
      </c>
      <c r="AP67" s="79">
        <f t="shared" si="24"/>
        <v>0.93835422754265252</v>
      </c>
      <c r="AQ67" s="79">
        <f t="shared" si="24"/>
        <v>0.91102352188607039</v>
      </c>
      <c r="AR67" s="79">
        <f t="shared" si="24"/>
        <v>0.88448885620006845</v>
      </c>
      <c r="AS67" s="79">
        <f t="shared" si="24"/>
        <v>0.85872704485443541</v>
      </c>
      <c r="AT67" s="79">
        <f t="shared" si="24"/>
        <v>0.83371557752857806</v>
      </c>
      <c r="AU67" s="79">
        <f t="shared" si="24"/>
        <v>0.80943259954230873</v>
      </c>
      <c r="AV67" s="79">
        <f t="shared" si="24"/>
        <v>0.78585689275952308</v>
      </c>
      <c r="AW67" s="79">
        <f t="shared" si="24"/>
        <v>0.76296785704808068</v>
      </c>
      <c r="AX67" s="79">
        <f t="shared" si="24"/>
        <v>0.74074549227969</v>
      </c>
      <c r="AY67" s="79">
        <f t="shared" si="24"/>
        <v>0.71917038085406793</v>
      </c>
      <c r="AZ67" s="79">
        <f t="shared" si="24"/>
        <v>0.6982236707321049</v>
      </c>
      <c r="BA67" s="79">
        <f t="shared" si="24"/>
        <v>0.67788705896320867</v>
      </c>
      <c r="BB67" s="79">
        <f t="shared" si="24"/>
        <v>0.65814277569243551</v>
      </c>
      <c r="BC67" s="79">
        <f t="shared" si="24"/>
        <v>0.63897356863343246</v>
      </c>
      <c r="BD67" s="79">
        <f t="shared" si="24"/>
        <v>0.62036268799362393</v>
      </c>
      <c r="BE67" s="79">
        <f t="shared" si="24"/>
        <v>0.60229387183846983</v>
      </c>
      <c r="BF67" s="79">
        <f t="shared" si="24"/>
        <v>0.58475133188200945</v>
      </c>
      <c r="BG67" s="79">
        <f t="shared" si="24"/>
        <v>0.56771973969127132</v>
      </c>
      <c r="BH67" s="79">
        <f>SUM(AN67:BG67)</f>
        <v>15.254842010290965</v>
      </c>
    </row>
    <row r="68" spans="29:60">
      <c r="AC68" s="92">
        <f t="shared" si="20"/>
        <v>2628000</v>
      </c>
      <c r="AD68" s="15">
        <v>5</v>
      </c>
      <c r="AE68" s="68">
        <f t="shared" si="11"/>
        <v>4</v>
      </c>
      <c r="AF68" s="79">
        <f t="shared" si="12"/>
        <v>1.155</v>
      </c>
      <c r="AG68" s="68">
        <f t="shared" si="13"/>
        <v>0</v>
      </c>
      <c r="AH68" s="79">
        <f t="shared" si="14"/>
        <v>0</v>
      </c>
      <c r="AI68" s="79">
        <f t="shared" si="15"/>
        <v>0</v>
      </c>
      <c r="AJ68" s="100">
        <f t="shared" si="16"/>
        <v>0.1</v>
      </c>
      <c r="AK68" s="68">
        <f t="shared" si="21"/>
        <v>0.51550000000000007</v>
      </c>
      <c r="AL68" s="125">
        <f t="shared" si="17"/>
        <v>0.38</v>
      </c>
      <c r="AN68" s="79">
        <f t="shared" si="18"/>
        <v>0.99550000000000005</v>
      </c>
      <c r="AO68" s="79">
        <f t="shared" ref="AO68:BG68" si="25">$AN$68/POWER(1+($B$11/100),AO62-2024)</f>
        <v>0.96650485436893208</v>
      </c>
      <c r="AP68" s="79">
        <f t="shared" si="25"/>
        <v>0.93835422754265252</v>
      </c>
      <c r="AQ68" s="79">
        <f t="shared" si="25"/>
        <v>0.91102352188607039</v>
      </c>
      <c r="AR68" s="79">
        <f t="shared" si="25"/>
        <v>0.88448885620006845</v>
      </c>
      <c r="AS68" s="79">
        <f t="shared" si="25"/>
        <v>0.85872704485443541</v>
      </c>
      <c r="AT68" s="79">
        <f t="shared" si="25"/>
        <v>0.83371557752857806</v>
      </c>
      <c r="AU68" s="79">
        <f t="shared" si="25"/>
        <v>0.80943259954230873</v>
      </c>
      <c r="AV68" s="79">
        <f t="shared" si="25"/>
        <v>0.78585689275952308</v>
      </c>
      <c r="AW68" s="79">
        <f t="shared" si="25"/>
        <v>0.76296785704808068</v>
      </c>
      <c r="AX68" s="79">
        <f t="shared" si="25"/>
        <v>0.74074549227969</v>
      </c>
      <c r="AY68" s="79">
        <f t="shared" si="25"/>
        <v>0.71917038085406793</v>
      </c>
      <c r="AZ68" s="79">
        <f t="shared" si="25"/>
        <v>0.6982236707321049</v>
      </c>
      <c r="BA68" s="79">
        <f t="shared" si="25"/>
        <v>0.67788705896320867</v>
      </c>
      <c r="BB68" s="79">
        <f t="shared" si="25"/>
        <v>0.65814277569243551</v>
      </c>
      <c r="BC68" s="79">
        <f t="shared" si="25"/>
        <v>0.63897356863343246</v>
      </c>
      <c r="BD68" s="79">
        <f t="shared" si="25"/>
        <v>0.62036268799362393</v>
      </c>
      <c r="BE68" s="79">
        <f t="shared" si="25"/>
        <v>0.60229387183846983</v>
      </c>
      <c r="BF68" s="79">
        <f t="shared" si="25"/>
        <v>0.58475133188200945</v>
      </c>
      <c r="BG68" s="79">
        <f t="shared" si="25"/>
        <v>0.56771973969127132</v>
      </c>
      <c r="BH68" s="79">
        <f t="shared" ref="BH68:BH88" si="26">SUM(AN67:BG67)</f>
        <v>15.254842010290965</v>
      </c>
    </row>
    <row r="69" spans="29:60">
      <c r="AC69" s="92">
        <f t="shared" si="20"/>
        <v>3153600</v>
      </c>
      <c r="AD69" s="15">
        <v>6</v>
      </c>
      <c r="AE69" s="68">
        <f t="shared" si="11"/>
        <v>4</v>
      </c>
      <c r="AF69" s="79">
        <f t="shared" si="12"/>
        <v>1.155</v>
      </c>
      <c r="AG69" s="68">
        <f t="shared" si="13"/>
        <v>0</v>
      </c>
      <c r="AH69" s="79">
        <f t="shared" si="14"/>
        <v>0</v>
      </c>
      <c r="AI69" s="79">
        <f t="shared" si="15"/>
        <v>0</v>
      </c>
      <c r="AJ69" s="100">
        <f t="shared" si="16"/>
        <v>0.1</v>
      </c>
      <c r="AK69" s="68">
        <f t="shared" si="21"/>
        <v>0.51550000000000007</v>
      </c>
      <c r="AL69" s="125">
        <f t="shared" si="17"/>
        <v>0.38</v>
      </c>
      <c r="AN69" s="79">
        <f t="shared" si="18"/>
        <v>0.99550000000000005</v>
      </c>
      <c r="AO69" s="79">
        <f t="shared" ref="AO69:BG69" si="27">$AN$69/POWER(1+($B$11/100),AO62-2024)</f>
        <v>0.96650485436893208</v>
      </c>
      <c r="AP69" s="79">
        <f t="shared" si="27"/>
        <v>0.93835422754265252</v>
      </c>
      <c r="AQ69" s="79">
        <f t="shared" si="27"/>
        <v>0.91102352188607039</v>
      </c>
      <c r="AR69" s="79">
        <f t="shared" si="27"/>
        <v>0.88448885620006845</v>
      </c>
      <c r="AS69" s="79">
        <f t="shared" si="27"/>
        <v>0.85872704485443541</v>
      </c>
      <c r="AT69" s="79">
        <f t="shared" si="27"/>
        <v>0.83371557752857806</v>
      </c>
      <c r="AU69" s="79">
        <f t="shared" si="27"/>
        <v>0.80943259954230873</v>
      </c>
      <c r="AV69" s="79">
        <f t="shared" si="27"/>
        <v>0.78585689275952308</v>
      </c>
      <c r="AW69" s="79">
        <f t="shared" si="27"/>
        <v>0.76296785704808068</v>
      </c>
      <c r="AX69" s="79">
        <f t="shared" si="27"/>
        <v>0.74074549227969</v>
      </c>
      <c r="AY69" s="79">
        <f t="shared" si="27"/>
        <v>0.71917038085406793</v>
      </c>
      <c r="AZ69" s="79">
        <f t="shared" si="27"/>
        <v>0.6982236707321049</v>
      </c>
      <c r="BA69" s="79">
        <f t="shared" si="27"/>
        <v>0.67788705896320867</v>
      </c>
      <c r="BB69" s="79">
        <f t="shared" si="27"/>
        <v>0.65814277569243551</v>
      </c>
      <c r="BC69" s="79">
        <f t="shared" si="27"/>
        <v>0.63897356863343246</v>
      </c>
      <c r="BD69" s="79">
        <f t="shared" si="27"/>
        <v>0.62036268799362393</v>
      </c>
      <c r="BE69" s="79">
        <f t="shared" si="27"/>
        <v>0.60229387183846983</v>
      </c>
      <c r="BF69" s="79">
        <f t="shared" si="27"/>
        <v>0.58475133188200945</v>
      </c>
      <c r="BG69" s="79">
        <f t="shared" si="27"/>
        <v>0.56771973969127132</v>
      </c>
      <c r="BH69" s="79">
        <f t="shared" si="26"/>
        <v>15.254842010290965</v>
      </c>
    </row>
    <row r="70" spans="29:60">
      <c r="AC70" s="92">
        <f t="shared" si="20"/>
        <v>3679200</v>
      </c>
      <c r="AD70" s="15">
        <v>7</v>
      </c>
      <c r="AE70" s="68">
        <f t="shared" si="11"/>
        <v>4</v>
      </c>
      <c r="AF70" s="79">
        <f t="shared" si="12"/>
        <v>1.155</v>
      </c>
      <c r="AG70" s="68">
        <f t="shared" si="13"/>
        <v>0</v>
      </c>
      <c r="AH70" s="79">
        <f t="shared" si="14"/>
        <v>0</v>
      </c>
      <c r="AI70" s="79">
        <f t="shared" si="15"/>
        <v>0</v>
      </c>
      <c r="AJ70" s="100">
        <f t="shared" si="16"/>
        <v>0.1</v>
      </c>
      <c r="AK70" s="68">
        <f t="shared" si="21"/>
        <v>0.51550000000000007</v>
      </c>
      <c r="AL70" s="125">
        <f t="shared" si="17"/>
        <v>0.38</v>
      </c>
      <c r="AN70" s="79">
        <f t="shared" si="18"/>
        <v>0.99550000000000005</v>
      </c>
      <c r="AO70" s="79">
        <f t="shared" ref="AO70:BG70" si="28">$AN$70/POWER(1+($B$11/100),AO62-2024)</f>
        <v>0.96650485436893208</v>
      </c>
      <c r="AP70" s="79">
        <f t="shared" si="28"/>
        <v>0.93835422754265252</v>
      </c>
      <c r="AQ70" s="79">
        <f t="shared" si="28"/>
        <v>0.91102352188607039</v>
      </c>
      <c r="AR70" s="79">
        <f t="shared" si="28"/>
        <v>0.88448885620006845</v>
      </c>
      <c r="AS70" s="79">
        <f t="shared" si="28"/>
        <v>0.85872704485443541</v>
      </c>
      <c r="AT70" s="79">
        <f t="shared" si="28"/>
        <v>0.83371557752857806</v>
      </c>
      <c r="AU70" s="79">
        <f t="shared" si="28"/>
        <v>0.80943259954230873</v>
      </c>
      <c r="AV70" s="79">
        <f t="shared" si="28"/>
        <v>0.78585689275952308</v>
      </c>
      <c r="AW70" s="79">
        <f t="shared" si="28"/>
        <v>0.76296785704808068</v>
      </c>
      <c r="AX70" s="79">
        <f t="shared" si="28"/>
        <v>0.74074549227969</v>
      </c>
      <c r="AY70" s="79">
        <f t="shared" si="28"/>
        <v>0.71917038085406793</v>
      </c>
      <c r="AZ70" s="79">
        <f t="shared" si="28"/>
        <v>0.6982236707321049</v>
      </c>
      <c r="BA70" s="79">
        <f t="shared" si="28"/>
        <v>0.67788705896320867</v>
      </c>
      <c r="BB70" s="79">
        <f t="shared" si="28"/>
        <v>0.65814277569243551</v>
      </c>
      <c r="BC70" s="79">
        <f t="shared" si="28"/>
        <v>0.63897356863343246</v>
      </c>
      <c r="BD70" s="79">
        <f t="shared" si="28"/>
        <v>0.62036268799362393</v>
      </c>
      <c r="BE70" s="79">
        <f t="shared" si="28"/>
        <v>0.60229387183846983</v>
      </c>
      <c r="BF70" s="79">
        <f t="shared" si="28"/>
        <v>0.58475133188200945</v>
      </c>
      <c r="BG70" s="79">
        <f t="shared" si="28"/>
        <v>0.56771973969127132</v>
      </c>
      <c r="BH70" s="79">
        <f t="shared" si="26"/>
        <v>15.254842010290965</v>
      </c>
    </row>
    <row r="71" spans="29:60">
      <c r="AC71" s="92">
        <f t="shared" si="20"/>
        <v>4204800</v>
      </c>
      <c r="AD71" s="15">
        <v>8</v>
      </c>
      <c r="AE71" s="68">
        <f t="shared" si="11"/>
        <v>4</v>
      </c>
      <c r="AF71" s="79">
        <f t="shared" si="12"/>
        <v>1.155</v>
      </c>
      <c r="AG71" s="68">
        <f t="shared" si="13"/>
        <v>0</v>
      </c>
      <c r="AH71" s="79">
        <f t="shared" si="14"/>
        <v>0</v>
      </c>
      <c r="AI71" s="79">
        <f t="shared" si="15"/>
        <v>0</v>
      </c>
      <c r="AJ71" s="100">
        <f t="shared" si="16"/>
        <v>0.1</v>
      </c>
      <c r="AK71" s="68">
        <f t="shared" si="21"/>
        <v>0.51550000000000007</v>
      </c>
      <c r="AL71" s="125">
        <f t="shared" si="17"/>
        <v>0.38</v>
      </c>
      <c r="AN71" s="79">
        <f t="shared" si="18"/>
        <v>0.99550000000000005</v>
      </c>
      <c r="AO71" s="79">
        <f t="shared" ref="AO71:BG71" si="29">$AN$71/POWER(1+($B$11/100),AO62-2024)</f>
        <v>0.96650485436893208</v>
      </c>
      <c r="AP71" s="79">
        <f t="shared" si="29"/>
        <v>0.93835422754265252</v>
      </c>
      <c r="AQ71" s="79">
        <f t="shared" si="29"/>
        <v>0.91102352188607039</v>
      </c>
      <c r="AR71" s="79">
        <f t="shared" si="29"/>
        <v>0.88448885620006845</v>
      </c>
      <c r="AS71" s="79">
        <f t="shared" si="29"/>
        <v>0.85872704485443541</v>
      </c>
      <c r="AT71" s="79">
        <f t="shared" si="29"/>
        <v>0.83371557752857806</v>
      </c>
      <c r="AU71" s="79">
        <f t="shared" si="29"/>
        <v>0.80943259954230873</v>
      </c>
      <c r="AV71" s="79">
        <f t="shared" si="29"/>
        <v>0.78585689275952308</v>
      </c>
      <c r="AW71" s="79">
        <f t="shared" si="29"/>
        <v>0.76296785704808068</v>
      </c>
      <c r="AX71" s="79">
        <f t="shared" si="29"/>
        <v>0.74074549227969</v>
      </c>
      <c r="AY71" s="79">
        <f t="shared" si="29"/>
        <v>0.71917038085406793</v>
      </c>
      <c r="AZ71" s="79">
        <f t="shared" si="29"/>
        <v>0.6982236707321049</v>
      </c>
      <c r="BA71" s="79">
        <f t="shared" si="29"/>
        <v>0.67788705896320867</v>
      </c>
      <c r="BB71" s="79">
        <f t="shared" si="29"/>
        <v>0.65814277569243551</v>
      </c>
      <c r="BC71" s="79">
        <f t="shared" si="29"/>
        <v>0.63897356863343246</v>
      </c>
      <c r="BD71" s="79">
        <f t="shared" si="29"/>
        <v>0.62036268799362393</v>
      </c>
      <c r="BE71" s="79">
        <f t="shared" si="29"/>
        <v>0.60229387183846983</v>
      </c>
      <c r="BF71" s="79">
        <f t="shared" si="29"/>
        <v>0.58475133188200945</v>
      </c>
      <c r="BG71" s="79">
        <f t="shared" si="29"/>
        <v>0.56771973969127132</v>
      </c>
      <c r="BH71" s="79">
        <f t="shared" si="26"/>
        <v>15.254842010290965</v>
      </c>
    </row>
    <row r="72" spans="29:60">
      <c r="AC72" s="92">
        <f t="shared" si="20"/>
        <v>4730400</v>
      </c>
      <c r="AD72" s="15">
        <v>9</v>
      </c>
      <c r="AE72" s="68">
        <f t="shared" si="11"/>
        <v>4</v>
      </c>
      <c r="AF72" s="79">
        <f t="shared" si="12"/>
        <v>1.155</v>
      </c>
      <c r="AG72" s="68">
        <f t="shared" si="13"/>
        <v>0</v>
      </c>
      <c r="AH72" s="79">
        <f t="shared" si="14"/>
        <v>0</v>
      </c>
      <c r="AI72" s="79">
        <f t="shared" si="15"/>
        <v>0</v>
      </c>
      <c r="AJ72" s="100">
        <f t="shared" si="16"/>
        <v>0.1</v>
      </c>
      <c r="AK72" s="68">
        <f t="shared" si="21"/>
        <v>0.51550000000000007</v>
      </c>
      <c r="AL72" s="125">
        <f t="shared" si="17"/>
        <v>0.38</v>
      </c>
      <c r="AN72" s="79">
        <f>(AJ72+AK72+AL72)</f>
        <v>0.99550000000000005</v>
      </c>
      <c r="AO72" s="79">
        <f t="shared" ref="AO72:BG72" si="30">$AN$72/POWER(1+($B$11/100),AO62-2024)</f>
        <v>0.96650485436893208</v>
      </c>
      <c r="AP72" s="79">
        <f t="shared" si="30"/>
        <v>0.93835422754265252</v>
      </c>
      <c r="AQ72" s="79">
        <f t="shared" si="30"/>
        <v>0.91102352188607039</v>
      </c>
      <c r="AR72" s="79">
        <f t="shared" si="30"/>
        <v>0.88448885620006845</v>
      </c>
      <c r="AS72" s="79">
        <f t="shared" si="30"/>
        <v>0.85872704485443541</v>
      </c>
      <c r="AT72" s="79">
        <f t="shared" si="30"/>
        <v>0.83371557752857806</v>
      </c>
      <c r="AU72" s="79">
        <f t="shared" si="30"/>
        <v>0.80943259954230873</v>
      </c>
      <c r="AV72" s="79">
        <f t="shared" si="30"/>
        <v>0.78585689275952308</v>
      </c>
      <c r="AW72" s="79">
        <f t="shared" si="30"/>
        <v>0.76296785704808068</v>
      </c>
      <c r="AX72" s="79">
        <f t="shared" si="30"/>
        <v>0.74074549227969</v>
      </c>
      <c r="AY72" s="79">
        <f t="shared" si="30"/>
        <v>0.71917038085406793</v>
      </c>
      <c r="AZ72" s="79">
        <f t="shared" si="30"/>
        <v>0.6982236707321049</v>
      </c>
      <c r="BA72" s="79">
        <f t="shared" si="30"/>
        <v>0.67788705896320867</v>
      </c>
      <c r="BB72" s="79">
        <f t="shared" si="30"/>
        <v>0.65814277569243551</v>
      </c>
      <c r="BC72" s="79">
        <f t="shared" si="30"/>
        <v>0.63897356863343246</v>
      </c>
      <c r="BD72" s="79">
        <f t="shared" si="30"/>
        <v>0.62036268799362393</v>
      </c>
      <c r="BE72" s="79">
        <f t="shared" si="30"/>
        <v>0.60229387183846983</v>
      </c>
      <c r="BF72" s="79">
        <f t="shared" si="30"/>
        <v>0.58475133188200945</v>
      </c>
      <c r="BG72" s="79">
        <f t="shared" si="30"/>
        <v>0.56771973969127132</v>
      </c>
      <c r="BH72" s="79">
        <f t="shared" si="26"/>
        <v>15.254842010290965</v>
      </c>
    </row>
    <row r="73" spans="29:60">
      <c r="AC73" s="92">
        <f t="shared" si="20"/>
        <v>5256000</v>
      </c>
      <c r="AD73" s="15">
        <v>10</v>
      </c>
      <c r="AE73" s="68">
        <f t="shared" si="11"/>
        <v>4</v>
      </c>
      <c r="AF73" s="79">
        <f t="shared" si="12"/>
        <v>1.155</v>
      </c>
      <c r="AG73" s="68">
        <f t="shared" si="13"/>
        <v>0</v>
      </c>
      <c r="AH73" s="79">
        <f t="shared" si="14"/>
        <v>0</v>
      </c>
      <c r="AI73" s="79">
        <f t="shared" si="15"/>
        <v>0</v>
      </c>
      <c r="AJ73" s="100">
        <f t="shared" ref="AJ73:AJ88" si="31">AJ43*$B$8</f>
        <v>0.1</v>
      </c>
      <c r="AK73" s="68">
        <f t="shared" si="21"/>
        <v>0.51550000000000007</v>
      </c>
      <c r="AL73" s="125">
        <f t="shared" ref="AL73:AL88" si="32">$B$10*AL43</f>
        <v>0.38</v>
      </c>
      <c r="AN73" s="79">
        <f>(AJ73+AK73+AL73)</f>
        <v>0.99550000000000005</v>
      </c>
      <c r="AO73" s="79">
        <f t="shared" ref="AO73:BG73" si="33">$AN$73/POWER(1+($B$11/100),AO62-2024)</f>
        <v>0.96650485436893208</v>
      </c>
      <c r="AP73" s="79">
        <f t="shared" si="33"/>
        <v>0.93835422754265252</v>
      </c>
      <c r="AQ73" s="79">
        <f t="shared" si="33"/>
        <v>0.91102352188607039</v>
      </c>
      <c r="AR73" s="79">
        <f t="shared" si="33"/>
        <v>0.88448885620006845</v>
      </c>
      <c r="AS73" s="79">
        <f t="shared" si="33"/>
        <v>0.85872704485443541</v>
      </c>
      <c r="AT73" s="79">
        <f t="shared" si="33"/>
        <v>0.83371557752857806</v>
      </c>
      <c r="AU73" s="79">
        <f t="shared" si="33"/>
        <v>0.80943259954230873</v>
      </c>
      <c r="AV73" s="79">
        <f t="shared" si="33"/>
        <v>0.78585689275952308</v>
      </c>
      <c r="AW73" s="79">
        <f t="shared" si="33"/>
        <v>0.76296785704808068</v>
      </c>
      <c r="AX73" s="79">
        <f t="shared" si="33"/>
        <v>0.74074549227969</v>
      </c>
      <c r="AY73" s="79">
        <f t="shared" si="33"/>
        <v>0.71917038085406793</v>
      </c>
      <c r="AZ73" s="79">
        <f t="shared" si="33"/>
        <v>0.6982236707321049</v>
      </c>
      <c r="BA73" s="79">
        <f t="shared" si="33"/>
        <v>0.67788705896320867</v>
      </c>
      <c r="BB73" s="79">
        <f t="shared" si="33"/>
        <v>0.65814277569243551</v>
      </c>
      <c r="BC73" s="79">
        <f t="shared" si="33"/>
        <v>0.63897356863343246</v>
      </c>
      <c r="BD73" s="79">
        <f t="shared" si="33"/>
        <v>0.62036268799362393</v>
      </c>
      <c r="BE73" s="79">
        <f t="shared" si="33"/>
        <v>0.60229387183846983</v>
      </c>
      <c r="BF73" s="79">
        <f t="shared" si="33"/>
        <v>0.58475133188200945</v>
      </c>
      <c r="BG73" s="79">
        <f t="shared" si="33"/>
        <v>0.56771973969127132</v>
      </c>
      <c r="BH73" s="79">
        <f t="shared" si="26"/>
        <v>15.254842010290965</v>
      </c>
    </row>
    <row r="74" spans="29:60">
      <c r="AC74" s="92">
        <f t="shared" si="20"/>
        <v>5781600</v>
      </c>
      <c r="AD74" s="15">
        <v>11</v>
      </c>
      <c r="AE74" s="68">
        <f t="shared" ref="AE74:AE88" si="34">AE44*$B$3</f>
        <v>4</v>
      </c>
      <c r="AF74" s="79">
        <f t="shared" ref="AF74:AF88" si="35">AF44*$B$4</f>
        <v>1.155</v>
      </c>
      <c r="AG74" s="68">
        <f t="shared" ref="AG74:AG88" si="36">AG44*$B$5</f>
        <v>0</v>
      </c>
      <c r="AH74" s="79">
        <f t="shared" ref="AH74:AH88" si="37">AH44*$B$6</f>
        <v>0</v>
      </c>
      <c r="AI74" s="79">
        <f t="shared" ref="AI74:AI88" si="38">AI44*$B$7</f>
        <v>0</v>
      </c>
      <c r="AJ74" s="100">
        <f t="shared" si="31"/>
        <v>0.1</v>
      </c>
      <c r="AK74" s="68">
        <f t="shared" si="21"/>
        <v>0.51550000000000007</v>
      </c>
      <c r="AL74" s="125">
        <f t="shared" si="32"/>
        <v>0.38</v>
      </c>
      <c r="AN74" s="79">
        <f>(AJ74+AK74+AL74)</f>
        <v>0.99550000000000005</v>
      </c>
      <c r="AO74" s="79">
        <f t="shared" ref="AO74:BG74" si="39">$AN$74/POWER(1+($B$11/100),AO62-2024)</f>
        <v>0.96650485436893208</v>
      </c>
      <c r="AP74" s="79">
        <f t="shared" si="39"/>
        <v>0.93835422754265252</v>
      </c>
      <c r="AQ74" s="79">
        <f t="shared" si="39"/>
        <v>0.91102352188607039</v>
      </c>
      <c r="AR74" s="79">
        <f t="shared" si="39"/>
        <v>0.88448885620006845</v>
      </c>
      <c r="AS74" s="79">
        <f t="shared" si="39"/>
        <v>0.85872704485443541</v>
      </c>
      <c r="AT74" s="79">
        <f t="shared" si="39"/>
        <v>0.83371557752857806</v>
      </c>
      <c r="AU74" s="79">
        <f t="shared" si="39"/>
        <v>0.80943259954230873</v>
      </c>
      <c r="AV74" s="79">
        <f t="shared" si="39"/>
        <v>0.78585689275952308</v>
      </c>
      <c r="AW74" s="79">
        <f t="shared" si="39"/>
        <v>0.76296785704808068</v>
      </c>
      <c r="AX74" s="79">
        <f t="shared" si="39"/>
        <v>0.74074549227969</v>
      </c>
      <c r="AY74" s="79">
        <f t="shared" si="39"/>
        <v>0.71917038085406793</v>
      </c>
      <c r="AZ74" s="79">
        <f t="shared" si="39"/>
        <v>0.6982236707321049</v>
      </c>
      <c r="BA74" s="79">
        <f t="shared" si="39"/>
        <v>0.67788705896320867</v>
      </c>
      <c r="BB74" s="79">
        <f t="shared" si="39"/>
        <v>0.65814277569243551</v>
      </c>
      <c r="BC74" s="79">
        <f t="shared" si="39"/>
        <v>0.63897356863343246</v>
      </c>
      <c r="BD74" s="79">
        <f t="shared" si="39"/>
        <v>0.62036268799362393</v>
      </c>
      <c r="BE74" s="79">
        <f t="shared" si="39"/>
        <v>0.60229387183846983</v>
      </c>
      <c r="BF74" s="79">
        <f t="shared" si="39"/>
        <v>0.58475133188200945</v>
      </c>
      <c r="BG74" s="79">
        <f t="shared" si="39"/>
        <v>0.56771973969127132</v>
      </c>
      <c r="BH74" s="79">
        <f t="shared" si="26"/>
        <v>15.254842010290965</v>
      </c>
    </row>
    <row r="75" spans="29:60">
      <c r="AC75" s="92">
        <f t="shared" si="20"/>
        <v>6307200</v>
      </c>
      <c r="AD75" s="15">
        <v>12</v>
      </c>
      <c r="AE75" s="68">
        <f t="shared" si="34"/>
        <v>4</v>
      </c>
      <c r="AF75" s="79">
        <f t="shared" si="35"/>
        <v>1.155</v>
      </c>
      <c r="AG75" s="68">
        <f t="shared" si="36"/>
        <v>0</v>
      </c>
      <c r="AH75" s="79">
        <f t="shared" si="37"/>
        <v>0</v>
      </c>
      <c r="AI75" s="79">
        <f t="shared" si="38"/>
        <v>0</v>
      </c>
      <c r="AJ75" s="100">
        <f t="shared" si="31"/>
        <v>0.1</v>
      </c>
      <c r="AK75" s="68">
        <f t="shared" si="21"/>
        <v>0.51550000000000007</v>
      </c>
      <c r="AL75" s="125">
        <f t="shared" si="32"/>
        <v>0.38</v>
      </c>
      <c r="AN75" s="79">
        <f>(AJ75+AK75+AL75)</f>
        <v>0.99550000000000005</v>
      </c>
      <c r="AO75" s="79">
        <f t="shared" ref="AO75:BG75" si="40">$AN$75/POWER(1+($B$11/100),AO62-2024)</f>
        <v>0.96650485436893208</v>
      </c>
      <c r="AP75" s="79">
        <f t="shared" si="40"/>
        <v>0.93835422754265252</v>
      </c>
      <c r="AQ75" s="79">
        <f t="shared" si="40"/>
        <v>0.91102352188607039</v>
      </c>
      <c r="AR75" s="79">
        <f t="shared" si="40"/>
        <v>0.88448885620006845</v>
      </c>
      <c r="AS75" s="79">
        <f t="shared" si="40"/>
        <v>0.85872704485443541</v>
      </c>
      <c r="AT75" s="79">
        <f t="shared" si="40"/>
        <v>0.83371557752857806</v>
      </c>
      <c r="AU75" s="79">
        <f t="shared" si="40"/>
        <v>0.80943259954230873</v>
      </c>
      <c r="AV75" s="79">
        <f t="shared" si="40"/>
        <v>0.78585689275952308</v>
      </c>
      <c r="AW75" s="79">
        <f t="shared" si="40"/>
        <v>0.76296785704808068</v>
      </c>
      <c r="AX75" s="79">
        <f t="shared" si="40"/>
        <v>0.74074549227969</v>
      </c>
      <c r="AY75" s="79">
        <f t="shared" si="40"/>
        <v>0.71917038085406793</v>
      </c>
      <c r="AZ75" s="79">
        <f t="shared" si="40"/>
        <v>0.6982236707321049</v>
      </c>
      <c r="BA75" s="79">
        <f t="shared" si="40"/>
        <v>0.67788705896320867</v>
      </c>
      <c r="BB75" s="79">
        <f t="shared" si="40"/>
        <v>0.65814277569243551</v>
      </c>
      <c r="BC75" s="79">
        <f t="shared" si="40"/>
        <v>0.63897356863343246</v>
      </c>
      <c r="BD75" s="79">
        <f t="shared" si="40"/>
        <v>0.62036268799362393</v>
      </c>
      <c r="BE75" s="79">
        <f t="shared" si="40"/>
        <v>0.60229387183846983</v>
      </c>
      <c r="BF75" s="79">
        <f t="shared" si="40"/>
        <v>0.58475133188200945</v>
      </c>
      <c r="BG75" s="79">
        <f t="shared" si="40"/>
        <v>0.56771973969127132</v>
      </c>
      <c r="BH75" s="79">
        <f t="shared" si="26"/>
        <v>15.254842010290965</v>
      </c>
    </row>
    <row r="76" spans="29:60">
      <c r="AC76" s="92">
        <f t="shared" si="20"/>
        <v>6832800</v>
      </c>
      <c r="AD76" s="15">
        <v>13</v>
      </c>
      <c r="AE76" s="68">
        <f t="shared" si="34"/>
        <v>4</v>
      </c>
      <c r="AF76" s="79">
        <f t="shared" si="35"/>
        <v>1.155</v>
      </c>
      <c r="AG76" s="68">
        <f t="shared" si="36"/>
        <v>0</v>
      </c>
      <c r="AH76" s="79">
        <f t="shared" si="37"/>
        <v>0</v>
      </c>
      <c r="AI76" s="79">
        <f t="shared" si="38"/>
        <v>0</v>
      </c>
      <c r="AJ76" s="100">
        <f t="shared" si="31"/>
        <v>0.1</v>
      </c>
      <c r="AK76" s="68">
        <f t="shared" si="21"/>
        <v>0.51550000000000007</v>
      </c>
      <c r="AL76" s="125">
        <f t="shared" si="32"/>
        <v>0.38</v>
      </c>
      <c r="AN76" s="79">
        <f t="shared" si="18"/>
        <v>0.99550000000000005</v>
      </c>
      <c r="AO76" s="79">
        <f t="shared" ref="AO76:BG76" si="41">$AN$76/POWER(1+($B$11/100),AO62-2024)</f>
        <v>0.96650485436893208</v>
      </c>
      <c r="AP76" s="79">
        <f t="shared" si="41"/>
        <v>0.93835422754265252</v>
      </c>
      <c r="AQ76" s="79">
        <f t="shared" si="41"/>
        <v>0.91102352188607039</v>
      </c>
      <c r="AR76" s="79">
        <f t="shared" si="41"/>
        <v>0.88448885620006845</v>
      </c>
      <c r="AS76" s="79">
        <f t="shared" si="41"/>
        <v>0.85872704485443541</v>
      </c>
      <c r="AT76" s="79">
        <f t="shared" si="41"/>
        <v>0.83371557752857806</v>
      </c>
      <c r="AU76" s="79">
        <f t="shared" si="41"/>
        <v>0.80943259954230873</v>
      </c>
      <c r="AV76" s="79">
        <f t="shared" si="41"/>
        <v>0.78585689275952308</v>
      </c>
      <c r="AW76" s="79">
        <f t="shared" si="41"/>
        <v>0.76296785704808068</v>
      </c>
      <c r="AX76" s="79">
        <f t="shared" si="41"/>
        <v>0.74074549227969</v>
      </c>
      <c r="AY76" s="79">
        <f t="shared" si="41"/>
        <v>0.71917038085406793</v>
      </c>
      <c r="AZ76" s="79">
        <f t="shared" si="41"/>
        <v>0.6982236707321049</v>
      </c>
      <c r="BA76" s="79">
        <f t="shared" si="41"/>
        <v>0.67788705896320867</v>
      </c>
      <c r="BB76" s="79">
        <f t="shared" si="41"/>
        <v>0.65814277569243551</v>
      </c>
      <c r="BC76" s="79">
        <f t="shared" si="41"/>
        <v>0.63897356863343246</v>
      </c>
      <c r="BD76" s="79">
        <f t="shared" si="41"/>
        <v>0.62036268799362393</v>
      </c>
      <c r="BE76" s="79">
        <f t="shared" si="41"/>
        <v>0.60229387183846983</v>
      </c>
      <c r="BF76" s="79">
        <f t="shared" si="41"/>
        <v>0.58475133188200945</v>
      </c>
      <c r="BG76" s="79">
        <f t="shared" si="41"/>
        <v>0.56771973969127132</v>
      </c>
      <c r="BH76" s="79">
        <f t="shared" si="26"/>
        <v>15.254842010290965</v>
      </c>
    </row>
    <row r="77" spans="29:60">
      <c r="AC77" s="92">
        <f t="shared" si="20"/>
        <v>7358400</v>
      </c>
      <c r="AD77" s="15">
        <v>14</v>
      </c>
      <c r="AE77" s="68">
        <f t="shared" si="34"/>
        <v>4</v>
      </c>
      <c r="AF77" s="79">
        <f t="shared" si="35"/>
        <v>1.155</v>
      </c>
      <c r="AG77" s="68">
        <f t="shared" si="36"/>
        <v>0</v>
      </c>
      <c r="AH77" s="79">
        <f t="shared" si="37"/>
        <v>0</v>
      </c>
      <c r="AI77" s="79">
        <f t="shared" si="38"/>
        <v>0</v>
      </c>
      <c r="AJ77" s="100">
        <f t="shared" si="31"/>
        <v>0.1</v>
      </c>
      <c r="AK77" s="68">
        <f t="shared" si="21"/>
        <v>0.51550000000000007</v>
      </c>
      <c r="AL77" s="125">
        <f t="shared" si="32"/>
        <v>0.38</v>
      </c>
      <c r="AN77" s="79">
        <f t="shared" si="18"/>
        <v>0.99550000000000005</v>
      </c>
      <c r="AO77" s="79">
        <f t="shared" ref="AO77:BG77" si="42">$AN$77/POWER(1+($B$11/100),AO62-2024)</f>
        <v>0.96650485436893208</v>
      </c>
      <c r="AP77" s="79">
        <f t="shared" si="42"/>
        <v>0.93835422754265252</v>
      </c>
      <c r="AQ77" s="79">
        <f t="shared" si="42"/>
        <v>0.91102352188607039</v>
      </c>
      <c r="AR77" s="79">
        <f t="shared" si="42"/>
        <v>0.88448885620006845</v>
      </c>
      <c r="AS77" s="79">
        <f t="shared" si="42"/>
        <v>0.85872704485443541</v>
      </c>
      <c r="AT77" s="79">
        <f t="shared" si="42"/>
        <v>0.83371557752857806</v>
      </c>
      <c r="AU77" s="79">
        <f t="shared" si="42"/>
        <v>0.80943259954230873</v>
      </c>
      <c r="AV77" s="79">
        <f t="shared" si="42"/>
        <v>0.78585689275952308</v>
      </c>
      <c r="AW77" s="79">
        <f t="shared" si="42"/>
        <v>0.76296785704808068</v>
      </c>
      <c r="AX77" s="79">
        <f t="shared" si="42"/>
        <v>0.74074549227969</v>
      </c>
      <c r="AY77" s="79">
        <f t="shared" si="42"/>
        <v>0.71917038085406793</v>
      </c>
      <c r="AZ77" s="79">
        <f t="shared" si="42"/>
        <v>0.6982236707321049</v>
      </c>
      <c r="BA77" s="79">
        <f t="shared" si="42"/>
        <v>0.67788705896320867</v>
      </c>
      <c r="BB77" s="79">
        <f t="shared" si="42"/>
        <v>0.65814277569243551</v>
      </c>
      <c r="BC77" s="79">
        <f t="shared" si="42"/>
        <v>0.63897356863343246</v>
      </c>
      <c r="BD77" s="79">
        <f t="shared" si="42"/>
        <v>0.62036268799362393</v>
      </c>
      <c r="BE77" s="79">
        <f t="shared" si="42"/>
        <v>0.60229387183846983</v>
      </c>
      <c r="BF77" s="79">
        <f t="shared" si="42"/>
        <v>0.58475133188200945</v>
      </c>
      <c r="BG77" s="79">
        <f t="shared" si="42"/>
        <v>0.56771973969127132</v>
      </c>
      <c r="BH77" s="79">
        <f t="shared" si="26"/>
        <v>15.254842010290965</v>
      </c>
    </row>
    <row r="78" spans="29:60">
      <c r="AC78" s="92">
        <f t="shared" si="20"/>
        <v>7884000</v>
      </c>
      <c r="AD78" s="15">
        <v>15</v>
      </c>
      <c r="AE78" s="68">
        <f t="shared" si="34"/>
        <v>4</v>
      </c>
      <c r="AF78" s="79">
        <f t="shared" si="35"/>
        <v>1.155</v>
      </c>
      <c r="AG78" s="68">
        <f t="shared" si="36"/>
        <v>0</v>
      </c>
      <c r="AH78" s="79">
        <f t="shared" si="37"/>
        <v>0</v>
      </c>
      <c r="AI78" s="79">
        <f t="shared" si="38"/>
        <v>0</v>
      </c>
      <c r="AJ78" s="100">
        <f t="shared" si="31"/>
        <v>0.1</v>
      </c>
      <c r="AK78" s="68">
        <f t="shared" si="21"/>
        <v>0.51550000000000007</v>
      </c>
      <c r="AL78" s="125">
        <f t="shared" si="32"/>
        <v>0.38</v>
      </c>
      <c r="AN78" s="79">
        <f t="shared" si="18"/>
        <v>0.99550000000000005</v>
      </c>
      <c r="AO78" s="79">
        <f t="shared" ref="AO78:BG78" si="43">$AN$78/POWER(1+($B$11/100),AO62-2024)</f>
        <v>0.96650485436893208</v>
      </c>
      <c r="AP78" s="79">
        <f t="shared" si="43"/>
        <v>0.93835422754265252</v>
      </c>
      <c r="AQ78" s="79">
        <f t="shared" si="43"/>
        <v>0.91102352188607039</v>
      </c>
      <c r="AR78" s="79">
        <f t="shared" si="43"/>
        <v>0.88448885620006845</v>
      </c>
      <c r="AS78" s="79">
        <f t="shared" si="43"/>
        <v>0.85872704485443541</v>
      </c>
      <c r="AT78" s="79">
        <f t="shared" si="43"/>
        <v>0.83371557752857806</v>
      </c>
      <c r="AU78" s="79">
        <f t="shared" si="43"/>
        <v>0.80943259954230873</v>
      </c>
      <c r="AV78" s="79">
        <f t="shared" si="43"/>
        <v>0.78585689275952308</v>
      </c>
      <c r="AW78" s="79">
        <f t="shared" si="43"/>
        <v>0.76296785704808068</v>
      </c>
      <c r="AX78" s="79">
        <f t="shared" si="43"/>
        <v>0.74074549227969</v>
      </c>
      <c r="AY78" s="79">
        <f t="shared" si="43"/>
        <v>0.71917038085406793</v>
      </c>
      <c r="AZ78" s="79">
        <f t="shared" si="43"/>
        <v>0.6982236707321049</v>
      </c>
      <c r="BA78" s="79">
        <f t="shared" si="43"/>
        <v>0.67788705896320867</v>
      </c>
      <c r="BB78" s="79">
        <f t="shared" si="43"/>
        <v>0.65814277569243551</v>
      </c>
      <c r="BC78" s="79">
        <f t="shared" si="43"/>
        <v>0.63897356863343246</v>
      </c>
      <c r="BD78" s="79">
        <f t="shared" si="43"/>
        <v>0.62036268799362393</v>
      </c>
      <c r="BE78" s="79">
        <f t="shared" si="43"/>
        <v>0.60229387183846983</v>
      </c>
      <c r="BF78" s="79">
        <f t="shared" si="43"/>
        <v>0.58475133188200945</v>
      </c>
      <c r="BG78" s="79">
        <f t="shared" si="43"/>
        <v>0.56771973969127132</v>
      </c>
      <c r="BH78" s="79">
        <f t="shared" si="26"/>
        <v>15.254842010290965</v>
      </c>
    </row>
    <row r="79" spans="29:60">
      <c r="AC79" s="92">
        <f t="shared" si="20"/>
        <v>8409600</v>
      </c>
      <c r="AD79" s="15">
        <v>16</v>
      </c>
      <c r="AE79" s="68">
        <f t="shared" si="34"/>
        <v>4</v>
      </c>
      <c r="AF79" s="79">
        <f t="shared" si="35"/>
        <v>1.155</v>
      </c>
      <c r="AG79" s="68">
        <f t="shared" si="36"/>
        <v>0</v>
      </c>
      <c r="AH79" s="79">
        <f t="shared" si="37"/>
        <v>0</v>
      </c>
      <c r="AI79" s="79">
        <f t="shared" si="38"/>
        <v>0</v>
      </c>
      <c r="AJ79" s="100">
        <f t="shared" si="31"/>
        <v>0.1</v>
      </c>
      <c r="AK79" s="68">
        <f t="shared" si="21"/>
        <v>0.51550000000000007</v>
      </c>
      <c r="AL79" s="125">
        <f t="shared" si="32"/>
        <v>0.38</v>
      </c>
      <c r="AN79" s="79">
        <f t="shared" si="18"/>
        <v>0.99550000000000005</v>
      </c>
      <c r="AO79" s="79">
        <f t="shared" ref="AO79:BG79" si="44">$AN$79/POWER(1+($B$11/100),AO62-2024)</f>
        <v>0.96650485436893208</v>
      </c>
      <c r="AP79" s="79">
        <f t="shared" si="44"/>
        <v>0.93835422754265252</v>
      </c>
      <c r="AQ79" s="79">
        <f t="shared" si="44"/>
        <v>0.91102352188607039</v>
      </c>
      <c r="AR79" s="79">
        <f t="shared" si="44"/>
        <v>0.88448885620006845</v>
      </c>
      <c r="AS79" s="79">
        <f t="shared" si="44"/>
        <v>0.85872704485443541</v>
      </c>
      <c r="AT79" s="79">
        <f t="shared" si="44"/>
        <v>0.83371557752857806</v>
      </c>
      <c r="AU79" s="79">
        <f t="shared" si="44"/>
        <v>0.80943259954230873</v>
      </c>
      <c r="AV79" s="79">
        <f t="shared" si="44"/>
        <v>0.78585689275952308</v>
      </c>
      <c r="AW79" s="79">
        <f t="shared" si="44"/>
        <v>0.76296785704808068</v>
      </c>
      <c r="AX79" s="79">
        <f t="shared" si="44"/>
        <v>0.74074549227969</v>
      </c>
      <c r="AY79" s="79">
        <f t="shared" si="44"/>
        <v>0.71917038085406793</v>
      </c>
      <c r="AZ79" s="79">
        <f t="shared" si="44"/>
        <v>0.6982236707321049</v>
      </c>
      <c r="BA79" s="79">
        <f t="shared" si="44"/>
        <v>0.67788705896320867</v>
      </c>
      <c r="BB79" s="79">
        <f t="shared" si="44"/>
        <v>0.65814277569243551</v>
      </c>
      <c r="BC79" s="79">
        <f t="shared" si="44"/>
        <v>0.63897356863343246</v>
      </c>
      <c r="BD79" s="79">
        <f t="shared" si="44"/>
        <v>0.62036268799362393</v>
      </c>
      <c r="BE79" s="79">
        <f t="shared" si="44"/>
        <v>0.60229387183846983</v>
      </c>
      <c r="BF79" s="79">
        <f t="shared" si="44"/>
        <v>0.58475133188200945</v>
      </c>
      <c r="BG79" s="79">
        <f t="shared" si="44"/>
        <v>0.56771973969127132</v>
      </c>
      <c r="BH79" s="79">
        <f t="shared" si="26"/>
        <v>15.254842010290965</v>
      </c>
    </row>
    <row r="80" spans="29:60">
      <c r="AC80" s="92">
        <f t="shared" si="20"/>
        <v>8935200</v>
      </c>
      <c r="AD80" s="15">
        <v>17</v>
      </c>
      <c r="AE80" s="68">
        <f t="shared" si="34"/>
        <v>4</v>
      </c>
      <c r="AF80" s="79">
        <f t="shared" si="35"/>
        <v>1.155</v>
      </c>
      <c r="AG80" s="68">
        <f t="shared" si="36"/>
        <v>0</v>
      </c>
      <c r="AH80" s="79">
        <f t="shared" si="37"/>
        <v>0</v>
      </c>
      <c r="AI80" s="79">
        <f t="shared" si="38"/>
        <v>0</v>
      </c>
      <c r="AJ80" s="100">
        <f t="shared" si="31"/>
        <v>0.1</v>
      </c>
      <c r="AK80" s="68">
        <f t="shared" si="21"/>
        <v>0.51550000000000007</v>
      </c>
      <c r="AL80" s="125">
        <f t="shared" si="32"/>
        <v>0.38</v>
      </c>
      <c r="AN80" s="79">
        <f t="shared" si="18"/>
        <v>0.99550000000000005</v>
      </c>
      <c r="AO80" s="79">
        <f t="shared" ref="AO80:BG80" si="45">$AN$80/POWER(1+($B$11/100),AO62-2024)</f>
        <v>0.96650485436893208</v>
      </c>
      <c r="AP80" s="79">
        <f t="shared" si="45"/>
        <v>0.93835422754265252</v>
      </c>
      <c r="AQ80" s="79">
        <f t="shared" si="45"/>
        <v>0.91102352188607039</v>
      </c>
      <c r="AR80" s="79">
        <f t="shared" si="45"/>
        <v>0.88448885620006845</v>
      </c>
      <c r="AS80" s="79">
        <f t="shared" si="45"/>
        <v>0.85872704485443541</v>
      </c>
      <c r="AT80" s="79">
        <f t="shared" si="45"/>
        <v>0.83371557752857806</v>
      </c>
      <c r="AU80" s="79">
        <f t="shared" si="45"/>
        <v>0.80943259954230873</v>
      </c>
      <c r="AV80" s="79">
        <f t="shared" si="45"/>
        <v>0.78585689275952308</v>
      </c>
      <c r="AW80" s="79">
        <f t="shared" si="45"/>
        <v>0.76296785704808068</v>
      </c>
      <c r="AX80" s="79">
        <f t="shared" si="45"/>
        <v>0.74074549227969</v>
      </c>
      <c r="AY80" s="79">
        <f t="shared" si="45"/>
        <v>0.71917038085406793</v>
      </c>
      <c r="AZ80" s="79">
        <f t="shared" si="45"/>
        <v>0.6982236707321049</v>
      </c>
      <c r="BA80" s="79">
        <f t="shared" si="45"/>
        <v>0.67788705896320867</v>
      </c>
      <c r="BB80" s="79">
        <f t="shared" si="45"/>
        <v>0.65814277569243551</v>
      </c>
      <c r="BC80" s="79">
        <f t="shared" si="45"/>
        <v>0.63897356863343246</v>
      </c>
      <c r="BD80" s="79">
        <f t="shared" si="45"/>
        <v>0.62036268799362393</v>
      </c>
      <c r="BE80" s="79">
        <f t="shared" si="45"/>
        <v>0.60229387183846983</v>
      </c>
      <c r="BF80" s="79">
        <f t="shared" si="45"/>
        <v>0.58475133188200945</v>
      </c>
      <c r="BG80" s="79">
        <f t="shared" si="45"/>
        <v>0.56771973969127132</v>
      </c>
      <c r="BH80" s="79">
        <f t="shared" si="26"/>
        <v>15.254842010290965</v>
      </c>
    </row>
    <row r="81" spans="29:60">
      <c r="AC81" s="92">
        <f t="shared" si="20"/>
        <v>9460800</v>
      </c>
      <c r="AD81" s="15">
        <v>18</v>
      </c>
      <c r="AE81" s="68">
        <f t="shared" si="34"/>
        <v>4</v>
      </c>
      <c r="AF81" s="79">
        <f t="shared" si="35"/>
        <v>1.155</v>
      </c>
      <c r="AG81" s="68">
        <f t="shared" si="36"/>
        <v>0</v>
      </c>
      <c r="AH81" s="79">
        <f t="shared" si="37"/>
        <v>0</v>
      </c>
      <c r="AI81" s="79">
        <f t="shared" si="38"/>
        <v>0</v>
      </c>
      <c r="AJ81" s="100">
        <f t="shared" si="31"/>
        <v>0.1</v>
      </c>
      <c r="AK81" s="68">
        <f t="shared" si="21"/>
        <v>0.51550000000000007</v>
      </c>
      <c r="AL81" s="125">
        <f t="shared" si="32"/>
        <v>0.38</v>
      </c>
      <c r="AN81" s="79">
        <f t="shared" si="18"/>
        <v>0.99550000000000005</v>
      </c>
      <c r="AO81" s="79">
        <f t="shared" ref="AO81:BG81" si="46">$AN$81/POWER(1+($B$11/100),AO62-2024)</f>
        <v>0.96650485436893208</v>
      </c>
      <c r="AP81" s="79">
        <f t="shared" si="46"/>
        <v>0.93835422754265252</v>
      </c>
      <c r="AQ81" s="79">
        <f t="shared" si="46"/>
        <v>0.91102352188607039</v>
      </c>
      <c r="AR81" s="79">
        <f t="shared" si="46"/>
        <v>0.88448885620006845</v>
      </c>
      <c r="AS81" s="79">
        <f t="shared" si="46"/>
        <v>0.85872704485443541</v>
      </c>
      <c r="AT81" s="79">
        <f t="shared" si="46"/>
        <v>0.83371557752857806</v>
      </c>
      <c r="AU81" s="79">
        <f t="shared" si="46"/>
        <v>0.80943259954230873</v>
      </c>
      <c r="AV81" s="79">
        <f t="shared" si="46"/>
        <v>0.78585689275952308</v>
      </c>
      <c r="AW81" s="79">
        <f t="shared" si="46"/>
        <v>0.76296785704808068</v>
      </c>
      <c r="AX81" s="79">
        <f t="shared" si="46"/>
        <v>0.74074549227969</v>
      </c>
      <c r="AY81" s="79">
        <f t="shared" si="46"/>
        <v>0.71917038085406793</v>
      </c>
      <c r="AZ81" s="79">
        <f t="shared" si="46"/>
        <v>0.6982236707321049</v>
      </c>
      <c r="BA81" s="79">
        <f t="shared" si="46"/>
        <v>0.67788705896320867</v>
      </c>
      <c r="BB81" s="79">
        <f t="shared" si="46"/>
        <v>0.65814277569243551</v>
      </c>
      <c r="BC81" s="79">
        <f t="shared" si="46"/>
        <v>0.63897356863343246</v>
      </c>
      <c r="BD81" s="79">
        <f t="shared" si="46"/>
        <v>0.62036268799362393</v>
      </c>
      <c r="BE81" s="79">
        <f t="shared" si="46"/>
        <v>0.60229387183846983</v>
      </c>
      <c r="BF81" s="79">
        <f t="shared" si="46"/>
        <v>0.58475133188200945</v>
      </c>
      <c r="BG81" s="79">
        <f t="shared" si="46"/>
        <v>0.56771973969127132</v>
      </c>
      <c r="BH81" s="79">
        <f t="shared" si="26"/>
        <v>15.254842010290965</v>
      </c>
    </row>
    <row r="82" spans="29:60">
      <c r="AC82" s="92">
        <f t="shared" si="20"/>
        <v>9986400</v>
      </c>
      <c r="AD82" s="15">
        <v>19</v>
      </c>
      <c r="AE82" s="68">
        <f t="shared" si="34"/>
        <v>4</v>
      </c>
      <c r="AF82" s="79">
        <f t="shared" si="35"/>
        <v>1.155</v>
      </c>
      <c r="AG82" s="68">
        <f t="shared" si="36"/>
        <v>0</v>
      </c>
      <c r="AH82" s="79">
        <f t="shared" si="37"/>
        <v>0</v>
      </c>
      <c r="AI82" s="79">
        <f t="shared" si="38"/>
        <v>0</v>
      </c>
      <c r="AJ82" s="100">
        <f t="shared" si="31"/>
        <v>0.1</v>
      </c>
      <c r="AK82" s="68">
        <f t="shared" si="21"/>
        <v>0.51550000000000007</v>
      </c>
      <c r="AL82" s="125">
        <f t="shared" si="32"/>
        <v>0.38</v>
      </c>
      <c r="AN82" s="79">
        <f t="shared" si="18"/>
        <v>0.99550000000000005</v>
      </c>
      <c r="AO82" s="79">
        <f t="shared" ref="AO82:BG82" si="47">$AN$82/POWER(1+($B$11/100),AO62-2024)</f>
        <v>0.96650485436893208</v>
      </c>
      <c r="AP82" s="79">
        <f t="shared" si="47"/>
        <v>0.93835422754265252</v>
      </c>
      <c r="AQ82" s="79">
        <f t="shared" si="47"/>
        <v>0.91102352188607039</v>
      </c>
      <c r="AR82" s="79">
        <f t="shared" si="47"/>
        <v>0.88448885620006845</v>
      </c>
      <c r="AS82" s="79">
        <f t="shared" si="47"/>
        <v>0.85872704485443541</v>
      </c>
      <c r="AT82" s="79">
        <f t="shared" si="47"/>
        <v>0.83371557752857806</v>
      </c>
      <c r="AU82" s="79">
        <f t="shared" si="47"/>
        <v>0.80943259954230873</v>
      </c>
      <c r="AV82" s="79">
        <f t="shared" si="47"/>
        <v>0.78585689275952308</v>
      </c>
      <c r="AW82" s="79">
        <f t="shared" si="47"/>
        <v>0.76296785704808068</v>
      </c>
      <c r="AX82" s="79">
        <f t="shared" si="47"/>
        <v>0.74074549227969</v>
      </c>
      <c r="AY82" s="79">
        <f t="shared" si="47"/>
        <v>0.71917038085406793</v>
      </c>
      <c r="AZ82" s="79">
        <f t="shared" si="47"/>
        <v>0.6982236707321049</v>
      </c>
      <c r="BA82" s="79">
        <f t="shared" si="47"/>
        <v>0.67788705896320867</v>
      </c>
      <c r="BB82" s="79">
        <f t="shared" si="47"/>
        <v>0.65814277569243551</v>
      </c>
      <c r="BC82" s="79">
        <f t="shared" si="47"/>
        <v>0.63897356863343246</v>
      </c>
      <c r="BD82" s="79">
        <f t="shared" si="47"/>
        <v>0.62036268799362393</v>
      </c>
      <c r="BE82" s="79">
        <f t="shared" si="47"/>
        <v>0.60229387183846983</v>
      </c>
      <c r="BF82" s="79">
        <f t="shared" si="47"/>
        <v>0.58475133188200945</v>
      </c>
      <c r="BG82" s="79">
        <f t="shared" si="47"/>
        <v>0.56771973969127132</v>
      </c>
      <c r="BH82" s="79">
        <f t="shared" si="26"/>
        <v>15.254842010290965</v>
      </c>
    </row>
    <row r="83" spans="29:60">
      <c r="AC83" s="92">
        <f t="shared" si="20"/>
        <v>10512000</v>
      </c>
      <c r="AD83" s="15">
        <v>20</v>
      </c>
      <c r="AE83" s="68">
        <f t="shared" si="34"/>
        <v>4</v>
      </c>
      <c r="AF83" s="79">
        <f t="shared" si="35"/>
        <v>1.155</v>
      </c>
      <c r="AG83" s="68">
        <f t="shared" si="36"/>
        <v>0</v>
      </c>
      <c r="AH83" s="79">
        <f t="shared" si="37"/>
        <v>0</v>
      </c>
      <c r="AI83" s="79">
        <f t="shared" si="38"/>
        <v>0</v>
      </c>
      <c r="AJ83" s="100">
        <f t="shared" si="31"/>
        <v>0.1</v>
      </c>
      <c r="AK83" s="68">
        <f t="shared" si="21"/>
        <v>0.51550000000000007</v>
      </c>
      <c r="AL83" s="125">
        <f t="shared" si="32"/>
        <v>0.38</v>
      </c>
      <c r="AN83" s="79">
        <f>(AJ83+AK83+AL83)</f>
        <v>0.99550000000000005</v>
      </c>
      <c r="AO83" s="79">
        <f t="shared" ref="AO83:BG83" si="48">$AN$83/POWER(1+($B$11/100),AO62-2024)</f>
        <v>0.96650485436893208</v>
      </c>
      <c r="AP83" s="79">
        <f t="shared" si="48"/>
        <v>0.93835422754265252</v>
      </c>
      <c r="AQ83" s="79">
        <f t="shared" si="48"/>
        <v>0.91102352188607039</v>
      </c>
      <c r="AR83" s="79">
        <f t="shared" si="48"/>
        <v>0.88448885620006845</v>
      </c>
      <c r="AS83" s="79">
        <f t="shared" si="48"/>
        <v>0.85872704485443541</v>
      </c>
      <c r="AT83" s="79">
        <f t="shared" si="48"/>
        <v>0.83371557752857806</v>
      </c>
      <c r="AU83" s="79">
        <f t="shared" si="48"/>
        <v>0.80943259954230873</v>
      </c>
      <c r="AV83" s="79">
        <f t="shared" si="48"/>
        <v>0.78585689275952308</v>
      </c>
      <c r="AW83" s="79">
        <f t="shared" si="48"/>
        <v>0.76296785704808068</v>
      </c>
      <c r="AX83" s="79">
        <f t="shared" si="48"/>
        <v>0.74074549227969</v>
      </c>
      <c r="AY83" s="79">
        <f t="shared" si="48"/>
        <v>0.71917038085406793</v>
      </c>
      <c r="AZ83" s="79">
        <f t="shared" si="48"/>
        <v>0.6982236707321049</v>
      </c>
      <c r="BA83" s="79">
        <f t="shared" si="48"/>
        <v>0.67788705896320867</v>
      </c>
      <c r="BB83" s="79">
        <f t="shared" si="48"/>
        <v>0.65814277569243551</v>
      </c>
      <c r="BC83" s="79">
        <f t="shared" si="48"/>
        <v>0.63897356863343246</v>
      </c>
      <c r="BD83" s="79">
        <f t="shared" si="48"/>
        <v>0.62036268799362393</v>
      </c>
      <c r="BE83" s="79">
        <f t="shared" si="48"/>
        <v>0.60229387183846983</v>
      </c>
      <c r="BF83" s="79">
        <f t="shared" si="48"/>
        <v>0.58475133188200945</v>
      </c>
      <c r="BG83" s="79">
        <f t="shared" si="48"/>
        <v>0.56771973969127132</v>
      </c>
      <c r="BH83" s="79">
        <f t="shared" si="26"/>
        <v>15.254842010290965</v>
      </c>
    </row>
    <row r="84" spans="29:60">
      <c r="AC84" s="92">
        <f t="shared" si="20"/>
        <v>11037600</v>
      </c>
      <c r="AD84" s="15">
        <v>21</v>
      </c>
      <c r="AE84" s="68">
        <f t="shared" si="34"/>
        <v>4</v>
      </c>
      <c r="AF84" s="79">
        <f t="shared" si="35"/>
        <v>1.155</v>
      </c>
      <c r="AG84" s="68">
        <f t="shared" si="36"/>
        <v>0</v>
      </c>
      <c r="AH84" s="79">
        <f t="shared" si="37"/>
        <v>0</v>
      </c>
      <c r="AI84" s="79">
        <f t="shared" si="38"/>
        <v>0</v>
      </c>
      <c r="AJ84" s="100">
        <f t="shared" si="31"/>
        <v>0.1</v>
      </c>
      <c r="AK84" s="68">
        <f t="shared" si="21"/>
        <v>0.51550000000000007</v>
      </c>
      <c r="AL84" s="125">
        <f t="shared" si="32"/>
        <v>0.38</v>
      </c>
      <c r="AN84" s="79">
        <f t="shared" si="18"/>
        <v>0.99550000000000005</v>
      </c>
      <c r="AO84" s="79">
        <f t="shared" ref="AO84:BG84" si="49">$AN$84/POWER(1+($B$11/100),AO62-2024)</f>
        <v>0.96650485436893208</v>
      </c>
      <c r="AP84" s="79">
        <f t="shared" si="49"/>
        <v>0.93835422754265252</v>
      </c>
      <c r="AQ84" s="79">
        <f t="shared" si="49"/>
        <v>0.91102352188607039</v>
      </c>
      <c r="AR84" s="79">
        <f t="shared" si="49"/>
        <v>0.88448885620006845</v>
      </c>
      <c r="AS84" s="79">
        <f t="shared" si="49"/>
        <v>0.85872704485443541</v>
      </c>
      <c r="AT84" s="79">
        <f t="shared" si="49"/>
        <v>0.83371557752857806</v>
      </c>
      <c r="AU84" s="79">
        <f t="shared" si="49"/>
        <v>0.80943259954230873</v>
      </c>
      <c r="AV84" s="79">
        <f t="shared" si="49"/>
        <v>0.78585689275952308</v>
      </c>
      <c r="AW84" s="79">
        <f t="shared" si="49"/>
        <v>0.76296785704808068</v>
      </c>
      <c r="AX84" s="79">
        <f t="shared" si="49"/>
        <v>0.74074549227969</v>
      </c>
      <c r="AY84" s="79">
        <f t="shared" si="49"/>
        <v>0.71917038085406793</v>
      </c>
      <c r="AZ84" s="79">
        <f t="shared" si="49"/>
        <v>0.6982236707321049</v>
      </c>
      <c r="BA84" s="79">
        <f t="shared" si="49"/>
        <v>0.67788705896320867</v>
      </c>
      <c r="BB84" s="79">
        <f t="shared" si="49"/>
        <v>0.65814277569243551</v>
      </c>
      <c r="BC84" s="79">
        <f t="shared" si="49"/>
        <v>0.63897356863343246</v>
      </c>
      <c r="BD84" s="79">
        <f t="shared" si="49"/>
        <v>0.62036268799362393</v>
      </c>
      <c r="BE84" s="79">
        <f t="shared" si="49"/>
        <v>0.60229387183846983</v>
      </c>
      <c r="BF84" s="79">
        <f t="shared" si="49"/>
        <v>0.58475133188200945</v>
      </c>
      <c r="BG84" s="79">
        <f t="shared" si="49"/>
        <v>0.56771973969127132</v>
      </c>
      <c r="BH84" s="79">
        <f t="shared" si="26"/>
        <v>15.254842010290965</v>
      </c>
    </row>
    <row r="85" spans="29:60">
      <c r="AC85" s="92">
        <f t="shared" si="20"/>
        <v>11563200</v>
      </c>
      <c r="AD85" s="15">
        <v>22</v>
      </c>
      <c r="AE85" s="68">
        <f t="shared" si="34"/>
        <v>4</v>
      </c>
      <c r="AF85" s="79">
        <f t="shared" si="35"/>
        <v>1.155</v>
      </c>
      <c r="AG85" s="68">
        <f t="shared" si="36"/>
        <v>0</v>
      </c>
      <c r="AH85" s="79">
        <f t="shared" si="37"/>
        <v>0</v>
      </c>
      <c r="AI85" s="79">
        <f t="shared" si="38"/>
        <v>0</v>
      </c>
      <c r="AJ85" s="100">
        <f t="shared" si="31"/>
        <v>0.1</v>
      </c>
      <c r="AK85" s="68">
        <f t="shared" si="21"/>
        <v>0.51550000000000007</v>
      </c>
      <c r="AL85" s="125">
        <f t="shared" si="32"/>
        <v>0.38</v>
      </c>
      <c r="AN85" s="79">
        <f t="shared" si="18"/>
        <v>0.99550000000000005</v>
      </c>
      <c r="AO85" s="79">
        <f t="shared" ref="AO85:BG85" si="50">$AN$85/POWER(1+($B$11/100),AO62-2024)</f>
        <v>0.96650485436893208</v>
      </c>
      <c r="AP85" s="79">
        <f t="shared" si="50"/>
        <v>0.93835422754265252</v>
      </c>
      <c r="AQ85" s="79">
        <f t="shared" si="50"/>
        <v>0.91102352188607039</v>
      </c>
      <c r="AR85" s="79">
        <f t="shared" si="50"/>
        <v>0.88448885620006845</v>
      </c>
      <c r="AS85" s="79">
        <f t="shared" si="50"/>
        <v>0.85872704485443541</v>
      </c>
      <c r="AT85" s="79">
        <f t="shared" si="50"/>
        <v>0.83371557752857806</v>
      </c>
      <c r="AU85" s="79">
        <f t="shared" si="50"/>
        <v>0.80943259954230873</v>
      </c>
      <c r="AV85" s="79">
        <f t="shared" si="50"/>
        <v>0.78585689275952308</v>
      </c>
      <c r="AW85" s="79">
        <f t="shared" si="50"/>
        <v>0.76296785704808068</v>
      </c>
      <c r="AX85" s="79">
        <f t="shared" si="50"/>
        <v>0.74074549227969</v>
      </c>
      <c r="AY85" s="79">
        <f t="shared" si="50"/>
        <v>0.71917038085406793</v>
      </c>
      <c r="AZ85" s="79">
        <f t="shared" si="50"/>
        <v>0.6982236707321049</v>
      </c>
      <c r="BA85" s="79">
        <f t="shared" si="50"/>
        <v>0.67788705896320867</v>
      </c>
      <c r="BB85" s="79">
        <f t="shared" si="50"/>
        <v>0.65814277569243551</v>
      </c>
      <c r="BC85" s="79">
        <f t="shared" si="50"/>
        <v>0.63897356863343246</v>
      </c>
      <c r="BD85" s="79">
        <f t="shared" si="50"/>
        <v>0.62036268799362393</v>
      </c>
      <c r="BE85" s="79">
        <f t="shared" si="50"/>
        <v>0.60229387183846983</v>
      </c>
      <c r="BF85" s="79">
        <f t="shared" si="50"/>
        <v>0.58475133188200945</v>
      </c>
      <c r="BG85" s="79">
        <f t="shared" si="50"/>
        <v>0.56771973969127132</v>
      </c>
      <c r="BH85" s="79">
        <f t="shared" si="26"/>
        <v>15.254842010290965</v>
      </c>
    </row>
    <row r="86" spans="29:60">
      <c r="AC86" s="92">
        <f t="shared" si="20"/>
        <v>12088800</v>
      </c>
      <c r="AD86" s="15">
        <v>23</v>
      </c>
      <c r="AE86" s="68">
        <f t="shared" si="34"/>
        <v>4</v>
      </c>
      <c r="AF86" s="79">
        <f t="shared" si="35"/>
        <v>1.155</v>
      </c>
      <c r="AG86" s="68">
        <f t="shared" si="36"/>
        <v>0</v>
      </c>
      <c r="AH86" s="79">
        <f t="shared" si="37"/>
        <v>0</v>
      </c>
      <c r="AI86" s="79">
        <f t="shared" si="38"/>
        <v>0</v>
      </c>
      <c r="AJ86" s="100">
        <f t="shared" si="31"/>
        <v>0.1</v>
      </c>
      <c r="AK86" s="68">
        <f t="shared" si="21"/>
        <v>0.51550000000000007</v>
      </c>
      <c r="AL86" s="125">
        <f t="shared" si="32"/>
        <v>0.38</v>
      </c>
      <c r="AN86" s="79">
        <f t="shared" si="18"/>
        <v>0.99550000000000005</v>
      </c>
      <c r="AO86" s="79">
        <f t="shared" ref="AO86:BG86" si="51">$AN$86/POWER(1+($B$11/100),AO62-2024)</f>
        <v>0.96650485436893208</v>
      </c>
      <c r="AP86" s="79">
        <f t="shared" si="51"/>
        <v>0.93835422754265252</v>
      </c>
      <c r="AQ86" s="79">
        <f t="shared" si="51"/>
        <v>0.91102352188607039</v>
      </c>
      <c r="AR86" s="79">
        <f t="shared" si="51"/>
        <v>0.88448885620006845</v>
      </c>
      <c r="AS86" s="79">
        <f t="shared" si="51"/>
        <v>0.85872704485443541</v>
      </c>
      <c r="AT86" s="79">
        <f t="shared" si="51"/>
        <v>0.83371557752857806</v>
      </c>
      <c r="AU86" s="79">
        <f t="shared" si="51"/>
        <v>0.80943259954230873</v>
      </c>
      <c r="AV86" s="79">
        <f t="shared" si="51"/>
        <v>0.78585689275952308</v>
      </c>
      <c r="AW86" s="79">
        <f t="shared" si="51"/>
        <v>0.76296785704808068</v>
      </c>
      <c r="AX86" s="79">
        <f t="shared" si="51"/>
        <v>0.74074549227969</v>
      </c>
      <c r="AY86" s="79">
        <f t="shared" si="51"/>
        <v>0.71917038085406793</v>
      </c>
      <c r="AZ86" s="79">
        <f t="shared" si="51"/>
        <v>0.6982236707321049</v>
      </c>
      <c r="BA86" s="79">
        <f t="shared" si="51"/>
        <v>0.67788705896320867</v>
      </c>
      <c r="BB86" s="79">
        <f t="shared" si="51"/>
        <v>0.65814277569243551</v>
      </c>
      <c r="BC86" s="79">
        <f t="shared" si="51"/>
        <v>0.63897356863343246</v>
      </c>
      <c r="BD86" s="79">
        <f t="shared" si="51"/>
        <v>0.62036268799362393</v>
      </c>
      <c r="BE86" s="79">
        <f t="shared" si="51"/>
        <v>0.60229387183846983</v>
      </c>
      <c r="BF86" s="79">
        <f t="shared" si="51"/>
        <v>0.58475133188200945</v>
      </c>
      <c r="BG86" s="79">
        <f t="shared" si="51"/>
        <v>0.56771973969127132</v>
      </c>
      <c r="BH86" s="79">
        <f t="shared" si="26"/>
        <v>15.254842010290965</v>
      </c>
    </row>
    <row r="87" spans="29:60">
      <c r="AC87" s="92">
        <f t="shared" si="20"/>
        <v>12614400</v>
      </c>
      <c r="AD87" s="15">
        <v>24</v>
      </c>
      <c r="AE87" s="68">
        <f t="shared" si="34"/>
        <v>4</v>
      </c>
      <c r="AF87" s="79">
        <f t="shared" si="35"/>
        <v>1.155</v>
      </c>
      <c r="AG87" s="68">
        <f t="shared" si="36"/>
        <v>0</v>
      </c>
      <c r="AH87" s="79">
        <f t="shared" si="37"/>
        <v>0</v>
      </c>
      <c r="AI87" s="79">
        <f t="shared" si="38"/>
        <v>0</v>
      </c>
      <c r="AJ87" s="100">
        <f t="shared" si="31"/>
        <v>0.1</v>
      </c>
      <c r="AK87" s="68">
        <f t="shared" si="21"/>
        <v>0.51550000000000007</v>
      </c>
      <c r="AL87" s="125">
        <f t="shared" si="32"/>
        <v>0.38</v>
      </c>
      <c r="AN87" s="79">
        <f t="shared" si="18"/>
        <v>0.99550000000000005</v>
      </c>
      <c r="AO87" s="79">
        <f t="shared" ref="AO87:BG87" si="52">$AN$87/POWER(1+($B$11/100),AO62-2024)</f>
        <v>0.96650485436893208</v>
      </c>
      <c r="AP87" s="79">
        <f t="shared" si="52"/>
        <v>0.93835422754265252</v>
      </c>
      <c r="AQ87" s="79">
        <f t="shared" si="52"/>
        <v>0.91102352188607039</v>
      </c>
      <c r="AR87" s="79">
        <f t="shared" si="52"/>
        <v>0.88448885620006845</v>
      </c>
      <c r="AS87" s="79">
        <f t="shared" si="52"/>
        <v>0.85872704485443541</v>
      </c>
      <c r="AT87" s="79">
        <f t="shared" si="52"/>
        <v>0.83371557752857806</v>
      </c>
      <c r="AU87" s="79">
        <f t="shared" si="52"/>
        <v>0.80943259954230873</v>
      </c>
      <c r="AV87" s="79">
        <f t="shared" si="52"/>
        <v>0.78585689275952308</v>
      </c>
      <c r="AW87" s="79">
        <f t="shared" si="52"/>
        <v>0.76296785704808068</v>
      </c>
      <c r="AX87" s="79">
        <f t="shared" si="52"/>
        <v>0.74074549227969</v>
      </c>
      <c r="AY87" s="79">
        <f t="shared" si="52"/>
        <v>0.71917038085406793</v>
      </c>
      <c r="AZ87" s="79">
        <f t="shared" si="52"/>
        <v>0.6982236707321049</v>
      </c>
      <c r="BA87" s="79">
        <f t="shared" si="52"/>
        <v>0.67788705896320867</v>
      </c>
      <c r="BB87" s="79">
        <f t="shared" si="52"/>
        <v>0.65814277569243551</v>
      </c>
      <c r="BC87" s="79">
        <f t="shared" si="52"/>
        <v>0.63897356863343246</v>
      </c>
      <c r="BD87" s="79">
        <f t="shared" si="52"/>
        <v>0.62036268799362393</v>
      </c>
      <c r="BE87" s="79">
        <f t="shared" si="52"/>
        <v>0.60229387183846983</v>
      </c>
      <c r="BF87" s="79">
        <f t="shared" si="52"/>
        <v>0.58475133188200945</v>
      </c>
      <c r="BG87" s="79">
        <f t="shared" si="52"/>
        <v>0.56771973969127132</v>
      </c>
      <c r="BH87" s="79">
        <f t="shared" si="26"/>
        <v>15.254842010290965</v>
      </c>
    </row>
    <row r="88" spans="29:60" ht="14.4" thickBot="1">
      <c r="AC88" s="102">
        <f t="shared" si="20"/>
        <v>13140000</v>
      </c>
      <c r="AD88" s="95">
        <v>25</v>
      </c>
      <c r="AE88" s="97">
        <f t="shared" si="34"/>
        <v>4</v>
      </c>
      <c r="AF88" s="262">
        <f t="shared" si="35"/>
        <v>1.155</v>
      </c>
      <c r="AG88" s="97">
        <f t="shared" si="36"/>
        <v>0</v>
      </c>
      <c r="AH88" s="262">
        <f t="shared" si="37"/>
        <v>0</v>
      </c>
      <c r="AI88" s="262">
        <f t="shared" si="38"/>
        <v>0</v>
      </c>
      <c r="AJ88" s="258">
        <f t="shared" si="31"/>
        <v>0.1</v>
      </c>
      <c r="AK88" s="97">
        <f t="shared" si="21"/>
        <v>0.51550000000000007</v>
      </c>
      <c r="AL88" s="126">
        <f t="shared" si="32"/>
        <v>0.38</v>
      </c>
      <c r="AN88" s="79">
        <f t="shared" si="18"/>
        <v>0.99550000000000005</v>
      </c>
      <c r="AO88" s="79">
        <f t="shared" ref="AO88:BG88" si="53">$AN$88/POWER(1+($B$11/100),AO62-2024)</f>
        <v>0.96650485436893208</v>
      </c>
      <c r="AP88" s="79">
        <f t="shared" si="53"/>
        <v>0.93835422754265252</v>
      </c>
      <c r="AQ88" s="79">
        <f t="shared" si="53"/>
        <v>0.91102352188607039</v>
      </c>
      <c r="AR88" s="79">
        <f t="shared" si="53"/>
        <v>0.88448885620006845</v>
      </c>
      <c r="AS88" s="79">
        <f t="shared" si="53"/>
        <v>0.85872704485443541</v>
      </c>
      <c r="AT88" s="79">
        <f t="shared" si="53"/>
        <v>0.83371557752857806</v>
      </c>
      <c r="AU88" s="79">
        <f t="shared" si="53"/>
        <v>0.80943259954230873</v>
      </c>
      <c r="AV88" s="79">
        <f t="shared" si="53"/>
        <v>0.78585689275952308</v>
      </c>
      <c r="AW88" s="79">
        <f t="shared" si="53"/>
        <v>0.76296785704808068</v>
      </c>
      <c r="AX88" s="79">
        <f t="shared" si="53"/>
        <v>0.74074549227969</v>
      </c>
      <c r="AY88" s="79">
        <f t="shared" si="53"/>
        <v>0.71917038085406793</v>
      </c>
      <c r="AZ88" s="79">
        <f t="shared" si="53"/>
        <v>0.6982236707321049</v>
      </c>
      <c r="BA88" s="79">
        <f t="shared" si="53"/>
        <v>0.67788705896320867</v>
      </c>
      <c r="BB88" s="79">
        <f t="shared" si="53"/>
        <v>0.65814277569243551</v>
      </c>
      <c r="BC88" s="79">
        <f t="shared" si="53"/>
        <v>0.63897356863343246</v>
      </c>
      <c r="BD88" s="79">
        <f t="shared" si="53"/>
        <v>0.62036268799362393</v>
      </c>
      <c r="BE88" s="79">
        <f t="shared" si="53"/>
        <v>0.60229387183846983</v>
      </c>
      <c r="BF88" s="79">
        <f t="shared" si="53"/>
        <v>0.58475133188200945</v>
      </c>
      <c r="BG88" s="79">
        <f t="shared" si="53"/>
        <v>0.56771973969127132</v>
      </c>
      <c r="BH88" s="79">
        <f t="shared" si="26"/>
        <v>15.254842010290965</v>
      </c>
    </row>
    <row r="89" spans="29:60" ht="14.4">
      <c r="AC89"/>
    </row>
    <row r="90" spans="29:60" ht="14.4">
      <c r="AC90"/>
    </row>
    <row r="91" spans="29:60" ht="14.4">
      <c r="AC91"/>
    </row>
    <row r="92" spans="29:60" ht="14.4">
      <c r="AC92"/>
    </row>
    <row r="93" spans="29:60" ht="14.4">
      <c r="AC93"/>
    </row>
    <row r="94" spans="29:60" ht="14.4">
      <c r="AC94"/>
    </row>
    <row r="95" spans="29:60" ht="14.4">
      <c r="AC95"/>
    </row>
    <row r="96" spans="29:60" ht="14.4">
      <c r="AC96"/>
    </row>
  </sheetData>
  <mergeCells count="5">
    <mergeCell ref="AN61:BG61"/>
    <mergeCell ref="AC1:AK1"/>
    <mergeCell ref="AC31:AL31"/>
    <mergeCell ref="AC61:AL61"/>
    <mergeCell ref="A1:D1"/>
  </mergeCells>
  <conditionalFormatting sqref="AE3:AE28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{1CDA621D-9BB6-4015-BAFE-341410D133E6}</x14:id>
        </ext>
      </extLst>
    </cfRule>
  </conditionalFormatting>
  <conditionalFormatting sqref="AF4:AF28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{20CDD3B1-B2ED-4B6B-BB3B-FF6D4F2054FD}</x14:id>
        </ext>
      </extLst>
    </cfRule>
  </conditionalFormatting>
  <conditionalFormatting sqref="AG4:AG28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{5284CD11-5C7E-4A82-9C1B-DBDAE4A8B95E}</x14:id>
        </ext>
      </extLst>
    </cfRule>
  </conditionalFormatting>
  <conditionalFormatting sqref="AH4:AH28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{539B7A47-4377-4E7D-BC1F-4D4BC1E22DE9}</x14:id>
        </ext>
      </extLst>
    </cfRule>
  </conditionalFormatting>
  <conditionalFormatting sqref="AI4:AI28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{2EDF5727-57EF-49D1-AFC7-F336117AEF52}</x14:id>
        </ext>
      </extLst>
    </cfRule>
  </conditionalFormatting>
  <conditionalFormatting sqref="AH3:AI3 AJ3:AJ28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{D6A7AA4C-A9E1-4310-B78C-13689C78BDD5}</x14:id>
        </ext>
      </extLst>
    </cfRule>
  </conditionalFormatting>
  <conditionalFormatting sqref="AK3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{053865A9-EAC8-462B-987F-49719B5CA14E}</x14:id>
        </ext>
      </extLst>
    </cfRule>
  </conditionalFormatting>
  <conditionalFormatting sqref="AM74:AM79"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{05B1F124-ABA7-4655-BA5D-B9BFA48F788D}</x14:id>
        </ext>
      </extLst>
    </cfRule>
  </conditionalFormatting>
  <conditionalFormatting sqref="AJ29:AJ30">
    <cfRule type="dataBar" priority="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{E502A40A-31EF-457B-93E0-0F5D547078DD}</x14:id>
        </ext>
      </extLst>
    </cfRule>
  </conditionalFormatting>
  <conditionalFormatting sqref="AI29:AI30">
    <cfRule type="dataBar" priority="2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{55F8F0C9-9780-41C8-AD72-A3BFB5A00A73}</x14:id>
        </ext>
      </extLst>
    </cfRule>
  </conditionalFormatting>
  <conditionalFormatting sqref="AH29:AH30"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{1B4121BF-2E7C-4436-9290-E897A3892EEB}</x14:id>
        </ext>
      </extLst>
    </cfRule>
  </conditionalFormatting>
  <conditionalFormatting sqref="AK29:AK30">
    <cfRule type="dataBar" priority="2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{5C34773F-AEB7-4FDF-87FE-0CD64F2B2EF9}</x14:id>
        </ext>
      </extLst>
    </cfRule>
  </conditionalFormatting>
  <conditionalFormatting sqref="AL29:AL30">
    <cfRule type="dataBar" priority="3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{0E8C104D-2950-4589-A151-145B3D5DF0E0}</x14:id>
        </ext>
      </extLst>
    </cfRule>
  </conditionalFormatting>
  <conditionalFormatting sqref="AM29:AM30">
    <cfRule type="dataBar" priority="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{639C6E6B-2352-4EF5-8D4B-87AA7DDCA1C7}</x14:id>
        </ext>
      </extLst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CDA621D-9BB6-4015-BAFE-341410D133E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AE3:AE28</xm:sqref>
        </x14:conditionalFormatting>
        <x14:conditionalFormatting xmlns:xm="http://schemas.microsoft.com/office/excel/2006/main">
          <x14:cfRule type="dataBar" id="{20CDD3B1-B2ED-4B6B-BB3B-FF6D4F2054F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AF4:AF28</xm:sqref>
        </x14:conditionalFormatting>
        <x14:conditionalFormatting xmlns:xm="http://schemas.microsoft.com/office/excel/2006/main">
          <x14:cfRule type="dataBar" id="{5284CD11-5C7E-4A82-9C1B-DBDAE4A8B95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AG4:AG28</xm:sqref>
        </x14:conditionalFormatting>
        <x14:conditionalFormatting xmlns:xm="http://schemas.microsoft.com/office/excel/2006/main">
          <x14:cfRule type="dataBar" id="{539B7A47-4377-4E7D-BC1F-4D4BC1E22DE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AH4:AH28</xm:sqref>
        </x14:conditionalFormatting>
        <x14:conditionalFormatting xmlns:xm="http://schemas.microsoft.com/office/excel/2006/main">
          <x14:cfRule type="dataBar" id="{2EDF5727-57EF-49D1-AFC7-F336117AEF5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AI4:AI28</xm:sqref>
        </x14:conditionalFormatting>
        <x14:conditionalFormatting xmlns:xm="http://schemas.microsoft.com/office/excel/2006/main">
          <x14:cfRule type="dataBar" id="{D6A7AA4C-A9E1-4310-B78C-13689C78BDD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AH3:AI3 AJ3:AJ28</xm:sqref>
        </x14:conditionalFormatting>
        <x14:conditionalFormatting xmlns:xm="http://schemas.microsoft.com/office/excel/2006/main">
          <x14:cfRule type="dataBar" id="{053865A9-EAC8-462B-987F-49719B5CA14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AK3</xm:sqref>
        </x14:conditionalFormatting>
        <x14:conditionalFormatting xmlns:xm="http://schemas.microsoft.com/office/excel/2006/main">
          <x14:cfRule type="dataBar" id="{05B1F124-ABA7-4655-BA5D-B9BFA48F788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AM74:AM79</xm:sqref>
        </x14:conditionalFormatting>
        <x14:conditionalFormatting xmlns:xm="http://schemas.microsoft.com/office/excel/2006/main">
          <x14:cfRule type="dataBar" id="{E502A40A-31EF-457B-93E0-0F5D547078D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AJ29:AJ30</xm:sqref>
        </x14:conditionalFormatting>
        <x14:conditionalFormatting xmlns:xm="http://schemas.microsoft.com/office/excel/2006/main">
          <x14:cfRule type="dataBar" id="{55F8F0C9-9780-41C8-AD72-A3BFB5A00A7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AI29:AI30</xm:sqref>
        </x14:conditionalFormatting>
        <x14:conditionalFormatting xmlns:xm="http://schemas.microsoft.com/office/excel/2006/main">
          <x14:cfRule type="dataBar" id="{1B4121BF-2E7C-4436-9290-E897A3892EE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AH29:AH30</xm:sqref>
        </x14:conditionalFormatting>
        <x14:conditionalFormatting xmlns:xm="http://schemas.microsoft.com/office/excel/2006/main">
          <x14:cfRule type="dataBar" id="{5C34773F-AEB7-4FDF-87FE-0CD64F2B2EF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AK29:AK30</xm:sqref>
        </x14:conditionalFormatting>
        <x14:conditionalFormatting xmlns:xm="http://schemas.microsoft.com/office/excel/2006/main">
          <x14:cfRule type="dataBar" id="{0E8C104D-2950-4589-A151-145B3D5DF0E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AL29:AL30</xm:sqref>
        </x14:conditionalFormatting>
        <x14:conditionalFormatting xmlns:xm="http://schemas.microsoft.com/office/excel/2006/main">
          <x14:cfRule type="dataBar" id="{639C6E6B-2352-4EF5-8D4B-87AA7DDCA1C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AM29:AM30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C47E6-129B-469A-A25B-459EFADAE50F}">
  <sheetPr>
    <tabColor rgb="FFFFC000"/>
  </sheetPr>
  <dimension ref="A1:BW561"/>
  <sheetViews>
    <sheetView zoomScaleNormal="100" workbookViewId="0">
      <selection activeCell="E20" sqref="E20"/>
    </sheetView>
  </sheetViews>
  <sheetFormatPr defaultRowHeight="14.4"/>
  <cols>
    <col min="1" max="1" width="38.88671875" style="28" customWidth="1"/>
    <col min="2" max="2" width="16.88671875" style="2" bestFit="1" customWidth="1"/>
    <col min="3" max="3" width="15.33203125" style="2" bestFit="1" customWidth="1"/>
    <col min="4" max="4" width="16.44140625" style="2" bestFit="1" customWidth="1"/>
    <col min="5" max="6" width="8" style="2" bestFit="1" customWidth="1"/>
    <col min="7" max="7" width="10.88671875" style="2" bestFit="1" customWidth="1"/>
    <col min="8" max="26" width="8.88671875" style="2"/>
    <col min="27" max="27" width="18.88671875" style="13" bestFit="1" customWidth="1"/>
    <col min="28" max="28" width="29" style="2" bestFit="1" customWidth="1"/>
    <col min="29" max="29" width="13.44140625" style="2" bestFit="1" customWidth="1"/>
    <col min="30" max="30" width="7.21875" style="2" bestFit="1" customWidth="1"/>
    <col min="31" max="31" width="25.5546875" style="2" bestFit="1" customWidth="1"/>
    <col min="32" max="32" width="18.88671875" style="2" bestFit="1" customWidth="1"/>
    <col min="33" max="33" width="25.33203125" style="2" bestFit="1" customWidth="1"/>
    <col min="34" max="34" width="31" style="239" bestFit="1" customWidth="1"/>
    <col min="35" max="35" width="34.88671875" style="2" bestFit="1" customWidth="1"/>
    <col min="36" max="36" width="38.44140625" style="2" bestFit="1" customWidth="1"/>
    <col min="37" max="37" width="25.33203125" style="13" bestFit="1" customWidth="1"/>
    <col min="38" max="38" width="9.77734375" style="2" customWidth="1"/>
    <col min="39" max="42" width="8" style="2" bestFit="1" customWidth="1"/>
    <col min="43" max="44" width="7.5546875" style="2" bestFit="1" customWidth="1"/>
    <col min="45" max="45" width="8" style="2" bestFit="1" customWidth="1"/>
    <col min="46" max="46" width="7.5546875" style="27" bestFit="1" customWidth="1"/>
    <col min="47" max="50" width="8" style="27" bestFit="1" customWidth="1"/>
    <col min="51" max="51" width="7.5546875" style="2" bestFit="1" customWidth="1"/>
    <col min="52" max="54" width="8" style="2" bestFit="1" customWidth="1"/>
    <col min="55" max="55" width="7.5546875" style="2" bestFit="1" customWidth="1"/>
    <col min="56" max="58" width="8" style="2" bestFit="1" customWidth="1"/>
    <col min="59" max="59" width="12.88671875" style="2" bestFit="1" customWidth="1"/>
    <col min="60" max="61" width="8" bestFit="1" customWidth="1"/>
    <col min="62" max="62" width="8" style="2" bestFit="1" customWidth="1"/>
    <col min="63" max="63" width="7.5546875" style="2" bestFit="1" customWidth="1"/>
    <col min="64" max="66" width="8" style="2" bestFit="1" customWidth="1"/>
    <col min="67" max="67" width="7.5546875" style="2" bestFit="1" customWidth="1"/>
    <col min="68" max="70" width="8" style="2" bestFit="1" customWidth="1"/>
    <col min="71" max="71" width="10.88671875" style="2" bestFit="1" customWidth="1"/>
    <col min="72" max="16384" width="8.88671875" style="2"/>
  </cols>
  <sheetData>
    <row r="1" spans="1:61" ht="15" customHeight="1" thickBot="1">
      <c r="A1" s="484" t="s">
        <v>407</v>
      </c>
      <c r="B1" s="484"/>
      <c r="C1" s="484"/>
      <c r="D1" s="484"/>
      <c r="AA1" s="482" t="s">
        <v>398</v>
      </c>
      <c r="AB1" s="482"/>
      <c r="AC1" s="482"/>
      <c r="AD1" s="482"/>
      <c r="AE1" s="482"/>
      <c r="AF1" s="482"/>
      <c r="AG1" s="482"/>
      <c r="AH1" s="482"/>
      <c r="AI1" s="482"/>
      <c r="AJ1" s="482"/>
      <c r="AK1" s="482"/>
      <c r="BH1" s="2"/>
      <c r="BI1" s="2"/>
    </row>
    <row r="2" spans="1:61" ht="13.8">
      <c r="A2" s="66" t="s">
        <v>272</v>
      </c>
      <c r="B2" s="167" t="s">
        <v>9</v>
      </c>
      <c r="C2" s="167" t="s">
        <v>8</v>
      </c>
      <c r="D2" s="64" t="s">
        <v>273</v>
      </c>
      <c r="AA2" s="240" t="s">
        <v>261</v>
      </c>
      <c r="AB2" s="210" t="s">
        <v>390</v>
      </c>
      <c r="AC2" s="210" t="s">
        <v>274</v>
      </c>
      <c r="AD2" s="210" t="s">
        <v>242</v>
      </c>
      <c r="AE2" s="210" t="s">
        <v>402</v>
      </c>
      <c r="AF2" s="210" t="s">
        <v>403</v>
      </c>
      <c r="AG2" s="210" t="s">
        <v>404</v>
      </c>
      <c r="AH2" s="243" t="s">
        <v>323</v>
      </c>
      <c r="AI2" s="210" t="s">
        <v>361</v>
      </c>
      <c r="AJ2" s="210" t="s">
        <v>362</v>
      </c>
      <c r="AK2" s="211" t="s">
        <v>405</v>
      </c>
      <c r="BH2" s="2"/>
      <c r="BI2" s="2"/>
    </row>
    <row r="3" spans="1:61" ht="13.8">
      <c r="A3" s="168" t="s">
        <v>281</v>
      </c>
      <c r="B3" s="25">
        <v>0.3</v>
      </c>
      <c r="C3" s="25" t="s">
        <v>282</v>
      </c>
      <c r="D3" s="54" t="s">
        <v>72</v>
      </c>
      <c r="AA3" s="180">
        <v>0</v>
      </c>
      <c r="AB3" s="21">
        <v>0</v>
      </c>
      <c r="AC3" s="21">
        <v>0</v>
      </c>
      <c r="AD3" s="21" t="s">
        <v>283</v>
      </c>
      <c r="AE3" s="195">
        <v>0</v>
      </c>
      <c r="AF3" s="195">
        <v>0</v>
      </c>
      <c r="AG3" s="195">
        <v>0</v>
      </c>
      <c r="AH3" s="244">
        <v>0</v>
      </c>
      <c r="AI3" s="195">
        <v>0</v>
      </c>
      <c r="AJ3" s="195">
        <v>0</v>
      </c>
      <c r="AK3" s="196">
        <v>0</v>
      </c>
      <c r="BH3" s="2"/>
      <c r="BI3" s="2"/>
    </row>
    <row r="4" spans="1:61" ht="13.8">
      <c r="A4" s="168" t="s">
        <v>284</v>
      </c>
      <c r="B4" s="25">
        <v>0.27</v>
      </c>
      <c r="C4" s="25" t="s">
        <v>282</v>
      </c>
      <c r="D4" s="54" t="s">
        <v>72</v>
      </c>
      <c r="AA4" s="180">
        <f>($AA$6/$AC$6)*AC4</f>
        <v>21000000</v>
      </c>
      <c r="AB4" s="41">
        <f t="shared" ref="AB4:AB35" si="0">AB186</f>
        <v>25</v>
      </c>
      <c r="AC4" s="21">
        <v>1</v>
      </c>
      <c r="AD4" s="21" t="s">
        <v>283</v>
      </c>
      <c r="AE4" s="41">
        <f>SUM(AF4, AG4)</f>
        <v>657.44476798848643</v>
      </c>
      <c r="AF4" s="41">
        <f t="shared" ref="AF4:AF35" si="1">SUM($AE$368:$AH$368,$BG$368)</f>
        <v>657.44476798848643</v>
      </c>
      <c r="AG4" s="175">
        <v>0</v>
      </c>
      <c r="AH4" s="244">
        <f>SUM(AI4:AJ4)</f>
        <v>31.306893713737452</v>
      </c>
      <c r="AI4" s="195">
        <f>IFERROR(AF4/AA4,0)*1000000</f>
        <v>31.306893713737452</v>
      </c>
      <c r="AJ4" s="195">
        <f t="shared" ref="AJ4:AJ23" si="2">IFERROR(AG4/AA4,0)*1000000</f>
        <v>0</v>
      </c>
      <c r="AK4" s="197">
        <f t="shared" ref="AK4:AK23" si="3">IFERROR((AE4-AE3)/(AA4-AA3),0)*1000000</f>
        <v>31.306893713737452</v>
      </c>
      <c r="BH4" s="2"/>
      <c r="BI4" s="2"/>
    </row>
    <row r="5" spans="1:61" ht="13.8">
      <c r="A5" s="168" t="s">
        <v>269</v>
      </c>
      <c r="B5" s="25">
        <v>0.5</v>
      </c>
      <c r="C5" s="25" t="s">
        <v>282</v>
      </c>
      <c r="D5" s="54" t="s">
        <v>72</v>
      </c>
      <c r="AA5" s="180">
        <f>($AA$6/$AC$6)*AC5</f>
        <v>42000000</v>
      </c>
      <c r="AB5" s="41">
        <f t="shared" si="0"/>
        <v>50</v>
      </c>
      <c r="AC5" s="21">
        <v>2</v>
      </c>
      <c r="AD5" s="21" t="s">
        <v>283</v>
      </c>
      <c r="AE5" s="41">
        <f>SUM(AF5, AG5)</f>
        <v>750.68456811833596</v>
      </c>
      <c r="AF5" s="41">
        <f t="shared" si="1"/>
        <v>657.44476798848643</v>
      </c>
      <c r="AG5" s="175">
        <f t="shared" ref="AG5:AG36" si="4">AG4+SUM(AE369:AF369,BG369)</f>
        <v>93.239800129849542</v>
      </c>
      <c r="AH5" s="244">
        <f t="shared" ref="AH5:AH23" si="5">SUM(AI5:AJ5)</f>
        <v>17.873442098055619</v>
      </c>
      <c r="AI5" s="195">
        <f t="shared" ref="AI5:AI23" si="6">IFERROR(AF5/AA5,0)*1000000</f>
        <v>15.653446856868726</v>
      </c>
      <c r="AJ5" s="195">
        <f t="shared" si="2"/>
        <v>2.219995241186894</v>
      </c>
      <c r="AK5" s="197">
        <f t="shared" si="3"/>
        <v>4.439990482373787</v>
      </c>
      <c r="BH5" s="2"/>
      <c r="BI5" s="2"/>
    </row>
    <row r="6" spans="1:61" ht="13.8">
      <c r="A6" s="168" t="s">
        <v>285</v>
      </c>
      <c r="B6" s="25">
        <v>0.02</v>
      </c>
      <c r="C6" s="25" t="s">
        <v>286</v>
      </c>
      <c r="D6" s="54" t="s">
        <v>72</v>
      </c>
      <c r="AA6" s="180">
        <v>63000000</v>
      </c>
      <c r="AB6" s="41">
        <f t="shared" si="0"/>
        <v>75</v>
      </c>
      <c r="AC6" s="21">
        <v>3</v>
      </c>
      <c r="AD6" s="21" t="s">
        <v>283</v>
      </c>
      <c r="AE6" s="41">
        <f t="shared" ref="AE6:AE23" si="7">SUM(AF6, AG6)</f>
        <v>843.92436824818549</v>
      </c>
      <c r="AF6" s="41">
        <f t="shared" si="1"/>
        <v>657.44476798848643</v>
      </c>
      <c r="AG6" s="175">
        <f t="shared" si="4"/>
        <v>186.47960025969908</v>
      </c>
      <c r="AH6" s="244">
        <f t="shared" si="5"/>
        <v>13.395624892828341</v>
      </c>
      <c r="AI6" s="195">
        <f t="shared" si="6"/>
        <v>10.435631237912483</v>
      </c>
      <c r="AJ6" s="195">
        <f t="shared" si="2"/>
        <v>2.9599936549158583</v>
      </c>
      <c r="AK6" s="197">
        <f t="shared" si="3"/>
        <v>4.439990482373787</v>
      </c>
      <c r="BH6" s="2"/>
      <c r="BI6" s="2"/>
    </row>
    <row r="7" spans="1:61" ht="13.8">
      <c r="A7" s="168" t="s">
        <v>287</v>
      </c>
      <c r="B7" s="25">
        <v>1.2E-2</v>
      </c>
      <c r="C7" s="25" t="s">
        <v>288</v>
      </c>
      <c r="D7" s="54" t="s">
        <v>73</v>
      </c>
      <c r="AA7" s="180">
        <f>AA6+$AA$4</f>
        <v>84000000</v>
      </c>
      <c r="AB7" s="41">
        <f t="shared" si="0"/>
        <v>100</v>
      </c>
      <c r="AC7" s="21">
        <v>4</v>
      </c>
      <c r="AD7" s="21" t="s">
        <v>283</v>
      </c>
      <c r="AE7" s="41">
        <f t="shared" si="7"/>
        <v>937.16416837803513</v>
      </c>
      <c r="AF7" s="41">
        <f t="shared" si="1"/>
        <v>657.44476798848643</v>
      </c>
      <c r="AG7" s="175">
        <f t="shared" si="4"/>
        <v>279.71940038954864</v>
      </c>
      <c r="AH7" s="244">
        <f t="shared" si="5"/>
        <v>11.156716290214703</v>
      </c>
      <c r="AI7" s="195">
        <f t="shared" si="6"/>
        <v>7.826723428434363</v>
      </c>
      <c r="AJ7" s="195">
        <f t="shared" si="2"/>
        <v>3.3299928617803412</v>
      </c>
      <c r="AK7" s="197">
        <f t="shared" si="3"/>
        <v>4.4399904823737923</v>
      </c>
      <c r="BH7" s="2"/>
      <c r="BI7" s="2"/>
    </row>
    <row r="8" spans="1:61" ht="13.8">
      <c r="A8" s="168" t="s">
        <v>289</v>
      </c>
      <c r="B8" s="25">
        <v>10</v>
      </c>
      <c r="C8" s="25" t="s">
        <v>290</v>
      </c>
      <c r="D8" s="54" t="s">
        <v>73</v>
      </c>
      <c r="AA8" s="180">
        <f>AA7+$AA$4</f>
        <v>105000000</v>
      </c>
      <c r="AB8" s="41">
        <f t="shared" si="0"/>
        <v>125</v>
      </c>
      <c r="AC8" s="21">
        <v>5</v>
      </c>
      <c r="AD8" s="21" t="s">
        <v>283</v>
      </c>
      <c r="AE8" s="41">
        <f t="shared" si="7"/>
        <v>1030.4039685078847</v>
      </c>
      <c r="AF8" s="41">
        <f t="shared" si="1"/>
        <v>657.44476798848643</v>
      </c>
      <c r="AG8" s="175">
        <f t="shared" si="4"/>
        <v>372.95920051939817</v>
      </c>
      <c r="AH8" s="244">
        <f t="shared" si="5"/>
        <v>9.8133711286465193</v>
      </c>
      <c r="AI8" s="195">
        <f t="shared" si="6"/>
        <v>6.2613787427474898</v>
      </c>
      <c r="AJ8" s="195">
        <f t="shared" si="2"/>
        <v>3.5519923858990299</v>
      </c>
      <c r="AK8" s="197">
        <f t="shared" si="3"/>
        <v>4.439990482373787</v>
      </c>
      <c r="BH8" s="2"/>
      <c r="BI8" s="2"/>
    </row>
    <row r="9" spans="1:61" ht="13.8">
      <c r="A9" s="168" t="s">
        <v>270</v>
      </c>
      <c r="B9" s="25">
        <v>0.19</v>
      </c>
      <c r="C9" s="25" t="s">
        <v>291</v>
      </c>
      <c r="D9" s="54" t="s">
        <v>73</v>
      </c>
      <c r="AA9" s="180">
        <f>AA8+$AA$4</f>
        <v>126000000</v>
      </c>
      <c r="AB9" s="41">
        <f t="shared" si="0"/>
        <v>150</v>
      </c>
      <c r="AC9" s="21">
        <v>6</v>
      </c>
      <c r="AD9" s="21" t="s">
        <v>283</v>
      </c>
      <c r="AE9" s="41">
        <f t="shared" si="7"/>
        <v>1123.6437686377342</v>
      </c>
      <c r="AF9" s="41">
        <f t="shared" si="1"/>
        <v>657.44476798848643</v>
      </c>
      <c r="AG9" s="175">
        <f t="shared" si="4"/>
        <v>466.19900064924769</v>
      </c>
      <c r="AH9" s="244">
        <f t="shared" si="5"/>
        <v>8.9178076876010657</v>
      </c>
      <c r="AI9" s="195">
        <f t="shared" si="6"/>
        <v>5.2178156189562417</v>
      </c>
      <c r="AJ9" s="195">
        <f t="shared" si="2"/>
        <v>3.6999920686448231</v>
      </c>
      <c r="AK9" s="197">
        <f t="shared" si="3"/>
        <v>4.439990482373787</v>
      </c>
      <c r="BH9" s="2"/>
      <c r="BI9" s="2"/>
    </row>
    <row r="10" spans="1:61" thickBot="1">
      <c r="A10" s="70" t="s">
        <v>71</v>
      </c>
      <c r="B10" s="71">
        <v>3</v>
      </c>
      <c r="C10" s="72" t="s">
        <v>292</v>
      </c>
      <c r="D10" s="73" t="s">
        <v>10</v>
      </c>
      <c r="AA10" s="180">
        <f t="shared" ref="AA10:AA71" si="8">AA9+$AA$4</f>
        <v>147000000</v>
      </c>
      <c r="AB10" s="41">
        <f t="shared" si="0"/>
        <v>175</v>
      </c>
      <c r="AC10" s="21">
        <v>7</v>
      </c>
      <c r="AD10" s="21" t="s">
        <v>283</v>
      </c>
      <c r="AE10" s="41">
        <f t="shared" si="7"/>
        <v>1216.8835687675837</v>
      </c>
      <c r="AF10" s="41">
        <f t="shared" si="1"/>
        <v>657.44476798848643</v>
      </c>
      <c r="AG10" s="175">
        <f t="shared" si="4"/>
        <v>559.43880077909728</v>
      </c>
      <c r="AH10" s="244">
        <f t="shared" si="5"/>
        <v>8.2781195154257396</v>
      </c>
      <c r="AI10" s="195">
        <f t="shared" si="6"/>
        <v>4.4724133876767782</v>
      </c>
      <c r="AJ10" s="195">
        <f t="shared" si="2"/>
        <v>3.805706127748961</v>
      </c>
      <c r="AK10" s="197">
        <f t="shared" si="3"/>
        <v>4.439990482373787</v>
      </c>
      <c r="BH10" s="2"/>
      <c r="BI10" s="2"/>
    </row>
    <row r="11" spans="1:61" ht="13.8">
      <c r="AA11" s="180">
        <f t="shared" si="8"/>
        <v>168000000</v>
      </c>
      <c r="AB11" s="41">
        <f t="shared" si="0"/>
        <v>200</v>
      </c>
      <c r="AC11" s="21">
        <v>8</v>
      </c>
      <c r="AD11" s="21" t="s">
        <v>283</v>
      </c>
      <c r="AE11" s="41">
        <f t="shared" si="7"/>
        <v>1310.1233688974332</v>
      </c>
      <c r="AF11" s="41">
        <f t="shared" si="1"/>
        <v>657.44476798848643</v>
      </c>
      <c r="AG11" s="175">
        <f t="shared" si="4"/>
        <v>652.67860090894681</v>
      </c>
      <c r="AH11" s="244">
        <f t="shared" si="5"/>
        <v>7.7983533862942451</v>
      </c>
      <c r="AI11" s="195">
        <f t="shared" si="6"/>
        <v>3.9133617142171815</v>
      </c>
      <c r="AJ11" s="195">
        <f t="shared" si="2"/>
        <v>3.8849916720770641</v>
      </c>
      <c r="AK11" s="197">
        <f t="shared" si="3"/>
        <v>4.439990482373787</v>
      </c>
      <c r="BH11" s="2"/>
      <c r="BI11" s="2"/>
    </row>
    <row r="12" spans="1:61" ht="13.8">
      <c r="AA12" s="180">
        <f t="shared" si="8"/>
        <v>189000000</v>
      </c>
      <c r="AB12" s="41">
        <f t="shared" si="0"/>
        <v>225</v>
      </c>
      <c r="AC12" s="21">
        <v>9</v>
      </c>
      <c r="AD12" s="21" t="s">
        <v>283</v>
      </c>
      <c r="AE12" s="41">
        <f t="shared" si="7"/>
        <v>1403.3631690272828</v>
      </c>
      <c r="AF12" s="41">
        <f t="shared" si="1"/>
        <v>657.44476798848643</v>
      </c>
      <c r="AG12" s="175">
        <f t="shared" si="4"/>
        <v>745.91840103879633</v>
      </c>
      <c r="AH12" s="244">
        <f t="shared" si="5"/>
        <v>7.4252019525253061</v>
      </c>
      <c r="AI12" s="195">
        <f t="shared" si="6"/>
        <v>3.4785437459708275</v>
      </c>
      <c r="AJ12" s="195">
        <f t="shared" si="2"/>
        <v>3.9466582065544782</v>
      </c>
      <c r="AK12" s="197">
        <f t="shared" si="3"/>
        <v>4.439990482373787</v>
      </c>
      <c r="BH12" s="2"/>
      <c r="BI12" s="2"/>
    </row>
    <row r="13" spans="1:61" ht="13.8">
      <c r="A13" s="28" t="s">
        <v>4</v>
      </c>
      <c r="AA13" s="180">
        <f t="shared" si="8"/>
        <v>210000000</v>
      </c>
      <c r="AB13" s="41">
        <f t="shared" si="0"/>
        <v>250</v>
      </c>
      <c r="AC13" s="21">
        <v>10</v>
      </c>
      <c r="AD13" s="21" t="s">
        <v>283</v>
      </c>
      <c r="AE13" s="41">
        <f t="shared" si="7"/>
        <v>1496.6029691571323</v>
      </c>
      <c r="AF13" s="41">
        <f t="shared" si="1"/>
        <v>657.44476798848643</v>
      </c>
      <c r="AG13" s="175">
        <f t="shared" si="4"/>
        <v>839.15820116864586</v>
      </c>
      <c r="AH13" s="244">
        <f t="shared" si="5"/>
        <v>7.126680805510154</v>
      </c>
      <c r="AI13" s="195">
        <f t="shared" si="6"/>
        <v>3.1306893713737449</v>
      </c>
      <c r="AJ13" s="195">
        <f t="shared" si="2"/>
        <v>3.9959914341364091</v>
      </c>
      <c r="AK13" s="197">
        <f t="shared" si="3"/>
        <v>4.439990482373787</v>
      </c>
      <c r="BH13" s="2"/>
      <c r="BI13" s="2"/>
    </row>
    <row r="14" spans="1:61" ht="13.8">
      <c r="A14" s="2" t="s">
        <v>293</v>
      </c>
      <c r="AA14" s="180">
        <f t="shared" si="8"/>
        <v>231000000</v>
      </c>
      <c r="AB14" s="41">
        <f t="shared" si="0"/>
        <v>275</v>
      </c>
      <c r="AC14" s="21">
        <v>11</v>
      </c>
      <c r="AD14" s="21" t="s">
        <v>283</v>
      </c>
      <c r="AE14" s="41">
        <f t="shared" si="7"/>
        <v>1589.8427692869818</v>
      </c>
      <c r="AF14" s="41">
        <f t="shared" si="1"/>
        <v>657.44476798848643</v>
      </c>
      <c r="AG14" s="175">
        <f t="shared" si="4"/>
        <v>932.39800129849539</v>
      </c>
      <c r="AH14" s="244">
        <f t="shared" si="5"/>
        <v>6.8824362306795752</v>
      </c>
      <c r="AI14" s="195">
        <f t="shared" si="6"/>
        <v>2.8460812467034047</v>
      </c>
      <c r="AJ14" s="195">
        <f t="shared" si="2"/>
        <v>4.036354983976171</v>
      </c>
      <c r="AK14" s="197">
        <f t="shared" si="3"/>
        <v>4.439990482373787</v>
      </c>
      <c r="BH14" s="2"/>
      <c r="BI14" s="2"/>
    </row>
    <row r="15" spans="1:61" ht="13.8">
      <c r="A15" s="2" t="s">
        <v>294</v>
      </c>
      <c r="AA15" s="180">
        <f t="shared" si="8"/>
        <v>252000000</v>
      </c>
      <c r="AB15" s="41">
        <f t="shared" si="0"/>
        <v>300</v>
      </c>
      <c r="AC15" s="21">
        <v>12</v>
      </c>
      <c r="AD15" s="21" t="s">
        <v>283</v>
      </c>
      <c r="AE15" s="41">
        <f>SUM(AF15, AG15)</f>
        <v>1683.0825694168316</v>
      </c>
      <c r="AF15" s="41">
        <f t="shared" si="1"/>
        <v>657.44476798848643</v>
      </c>
      <c r="AG15" s="175">
        <f t="shared" si="4"/>
        <v>1025.637801428345</v>
      </c>
      <c r="AH15" s="244">
        <f t="shared" si="5"/>
        <v>6.6788990849874263</v>
      </c>
      <c r="AI15" s="195">
        <f t="shared" si="6"/>
        <v>2.6089078094781208</v>
      </c>
      <c r="AJ15" s="195">
        <f t="shared" si="2"/>
        <v>4.0699912755093051</v>
      </c>
      <c r="AK15" s="197">
        <f t="shared" si="3"/>
        <v>4.4399904823737977</v>
      </c>
      <c r="BH15" s="2"/>
      <c r="BI15" s="2"/>
    </row>
    <row r="16" spans="1:61" ht="13.8">
      <c r="A16" s="2" t="s">
        <v>295</v>
      </c>
      <c r="AA16" s="180">
        <f t="shared" si="8"/>
        <v>273000000</v>
      </c>
      <c r="AB16" s="41">
        <f t="shared" si="0"/>
        <v>325</v>
      </c>
      <c r="AC16" s="21">
        <v>13</v>
      </c>
      <c r="AD16" s="21" t="s">
        <v>283</v>
      </c>
      <c r="AE16" s="41">
        <f t="shared" si="7"/>
        <v>1776.3223695466809</v>
      </c>
      <c r="AF16" s="41">
        <f t="shared" si="1"/>
        <v>657.44476798848643</v>
      </c>
      <c r="AG16" s="175">
        <f t="shared" si="4"/>
        <v>1118.8776015581946</v>
      </c>
      <c r="AH16" s="244">
        <f t="shared" si="5"/>
        <v>6.5066753463248386</v>
      </c>
      <c r="AI16" s="195">
        <f t="shared" si="6"/>
        <v>2.4082225933644192</v>
      </c>
      <c r="AJ16" s="195">
        <f t="shared" si="2"/>
        <v>4.0984527529604193</v>
      </c>
      <c r="AK16" s="197">
        <f t="shared" si="3"/>
        <v>4.4399904823737764</v>
      </c>
      <c r="BH16" s="2"/>
      <c r="BI16" s="2"/>
    </row>
    <row r="17" spans="1:61" ht="13.8">
      <c r="A17" s="2" t="s">
        <v>296</v>
      </c>
      <c r="AA17" s="180">
        <f t="shared" si="8"/>
        <v>294000000</v>
      </c>
      <c r="AB17" s="41">
        <f t="shared" si="0"/>
        <v>350</v>
      </c>
      <c r="AC17" s="21">
        <v>14</v>
      </c>
      <c r="AD17" s="21" t="s">
        <v>283</v>
      </c>
      <c r="AE17" s="41">
        <f t="shared" si="7"/>
        <v>1869.5621696765306</v>
      </c>
      <c r="AF17" s="41">
        <f t="shared" si="1"/>
        <v>657.44476798848643</v>
      </c>
      <c r="AG17" s="175">
        <f t="shared" si="4"/>
        <v>1212.1174016880441</v>
      </c>
      <c r="AH17" s="244">
        <f t="shared" si="5"/>
        <v>6.3590549988997633</v>
      </c>
      <c r="AI17" s="195">
        <f t="shared" si="6"/>
        <v>2.2362066938383891</v>
      </c>
      <c r="AJ17" s="195">
        <f t="shared" si="2"/>
        <v>4.1228483050613747</v>
      </c>
      <c r="AK17" s="197">
        <f t="shared" si="3"/>
        <v>4.4399904823737977</v>
      </c>
      <c r="BH17" s="2"/>
      <c r="BI17" s="2"/>
    </row>
    <row r="18" spans="1:61" ht="13.8">
      <c r="A18" s="2" t="s">
        <v>360</v>
      </c>
      <c r="AA18" s="180">
        <f t="shared" si="8"/>
        <v>315000000</v>
      </c>
      <c r="AB18" s="41">
        <f t="shared" si="0"/>
        <v>375</v>
      </c>
      <c r="AC18" s="21">
        <v>15</v>
      </c>
      <c r="AD18" s="21" t="s">
        <v>283</v>
      </c>
      <c r="AE18" s="41">
        <f t="shared" si="7"/>
        <v>1962.8019698063799</v>
      </c>
      <c r="AF18" s="41">
        <f t="shared" si="1"/>
        <v>657.44476798848643</v>
      </c>
      <c r="AG18" s="175">
        <f t="shared" si="4"/>
        <v>1305.3572018178936</v>
      </c>
      <c r="AH18" s="244">
        <f t="shared" si="5"/>
        <v>6.2311173644646978</v>
      </c>
      <c r="AI18" s="195">
        <f t="shared" si="6"/>
        <v>2.0871262475824963</v>
      </c>
      <c r="AJ18" s="195">
        <f t="shared" si="2"/>
        <v>4.1439911168822015</v>
      </c>
      <c r="AK18" s="197">
        <f t="shared" si="3"/>
        <v>4.4399904823737764</v>
      </c>
      <c r="BH18" s="2"/>
      <c r="BI18" s="2"/>
    </row>
    <row r="19" spans="1:61" ht="13.8">
      <c r="A19" s="2" t="s">
        <v>297</v>
      </c>
      <c r="AA19" s="180">
        <f t="shared" si="8"/>
        <v>336000000</v>
      </c>
      <c r="AB19" s="41">
        <f t="shared" si="0"/>
        <v>400</v>
      </c>
      <c r="AC19" s="21">
        <v>16</v>
      </c>
      <c r="AD19" s="21" t="s">
        <v>283</v>
      </c>
      <c r="AE19" s="41">
        <f t="shared" si="7"/>
        <v>2056.0417699362297</v>
      </c>
      <c r="AF19" s="41">
        <f t="shared" si="1"/>
        <v>657.44476798848643</v>
      </c>
      <c r="AG19" s="175">
        <f t="shared" si="4"/>
        <v>1398.5970019477431</v>
      </c>
      <c r="AH19" s="244">
        <f t="shared" si="5"/>
        <v>6.119171934334017</v>
      </c>
      <c r="AI19" s="195">
        <f t="shared" si="6"/>
        <v>1.9566808571085907</v>
      </c>
      <c r="AJ19" s="195">
        <f t="shared" si="2"/>
        <v>4.1624910772254262</v>
      </c>
      <c r="AK19" s="197">
        <f t="shared" si="3"/>
        <v>4.4399904823737977</v>
      </c>
      <c r="BH19" s="2"/>
      <c r="BI19" s="2"/>
    </row>
    <row r="20" spans="1:61" ht="13.8">
      <c r="A20" s="2" t="s">
        <v>298</v>
      </c>
      <c r="AA20" s="180">
        <f t="shared" si="8"/>
        <v>357000000</v>
      </c>
      <c r="AB20" s="41">
        <f t="shared" si="0"/>
        <v>425</v>
      </c>
      <c r="AC20" s="21">
        <v>17</v>
      </c>
      <c r="AD20" s="21" t="s">
        <v>283</v>
      </c>
      <c r="AE20" s="41">
        <f t="shared" si="7"/>
        <v>2149.281570066079</v>
      </c>
      <c r="AF20" s="41">
        <f t="shared" si="1"/>
        <v>657.44476798848643</v>
      </c>
      <c r="AG20" s="175">
        <f t="shared" si="4"/>
        <v>1491.8368020775927</v>
      </c>
      <c r="AH20" s="244">
        <f t="shared" si="5"/>
        <v>6.0203965548069451</v>
      </c>
      <c r="AI20" s="195">
        <f t="shared" si="6"/>
        <v>1.8415819831610265</v>
      </c>
      <c r="AJ20" s="195">
        <f t="shared" si="2"/>
        <v>4.1788145716459182</v>
      </c>
      <c r="AK20" s="197">
        <f t="shared" si="3"/>
        <v>4.4399904823737764</v>
      </c>
      <c r="BH20" s="2"/>
      <c r="BI20" s="2"/>
    </row>
    <row r="21" spans="1:61" ht="13.8">
      <c r="A21" s="2" t="s">
        <v>365</v>
      </c>
      <c r="AA21" s="180">
        <f t="shared" si="8"/>
        <v>378000000</v>
      </c>
      <c r="AB21" s="41">
        <f t="shared" si="0"/>
        <v>450</v>
      </c>
      <c r="AC21" s="21">
        <v>18</v>
      </c>
      <c r="AD21" s="21" t="s">
        <v>283</v>
      </c>
      <c r="AE21" s="41">
        <f t="shared" si="7"/>
        <v>2242.5213701959287</v>
      </c>
      <c r="AF21" s="41">
        <f t="shared" si="1"/>
        <v>657.44476798848643</v>
      </c>
      <c r="AG21" s="175">
        <f t="shared" si="4"/>
        <v>1585.0766022074422</v>
      </c>
      <c r="AH21" s="244">
        <f t="shared" si="5"/>
        <v>5.9325962174495466</v>
      </c>
      <c r="AI21" s="195">
        <f t="shared" si="6"/>
        <v>1.7392718729854137</v>
      </c>
      <c r="AJ21" s="195">
        <f t="shared" si="2"/>
        <v>4.1933243444641333</v>
      </c>
      <c r="AK21" s="197">
        <f t="shared" si="3"/>
        <v>4.4399904823737977</v>
      </c>
      <c r="BH21" s="2"/>
      <c r="BI21" s="2"/>
    </row>
    <row r="22" spans="1:61" ht="13.8">
      <c r="AA22" s="180">
        <f t="shared" si="8"/>
        <v>399000000</v>
      </c>
      <c r="AB22" s="41">
        <f t="shared" si="0"/>
        <v>475</v>
      </c>
      <c r="AC22" s="21">
        <v>19</v>
      </c>
      <c r="AD22" s="21" t="s">
        <v>283</v>
      </c>
      <c r="AE22" s="41">
        <f t="shared" si="7"/>
        <v>2335.761170325778</v>
      </c>
      <c r="AF22" s="41">
        <f t="shared" si="1"/>
        <v>657.44476798848643</v>
      </c>
      <c r="AG22" s="175">
        <f t="shared" si="4"/>
        <v>1678.3164023372917</v>
      </c>
      <c r="AH22" s="244">
        <f t="shared" si="5"/>
        <v>5.8540380208666125</v>
      </c>
      <c r="AI22" s="195">
        <f t="shared" si="6"/>
        <v>1.6477312480914446</v>
      </c>
      <c r="AJ22" s="195">
        <f t="shared" si="2"/>
        <v>4.206306772775168</v>
      </c>
      <c r="AK22" s="197">
        <f t="shared" si="3"/>
        <v>4.4399904823737764</v>
      </c>
      <c r="BH22" s="2"/>
      <c r="BI22" s="2"/>
    </row>
    <row r="23" spans="1:61" thickBot="1">
      <c r="A23" s="484" t="s">
        <v>408</v>
      </c>
      <c r="B23" s="484"/>
      <c r="C23" s="484"/>
      <c r="D23" s="484"/>
      <c r="AA23" s="180">
        <f t="shared" si="8"/>
        <v>420000000</v>
      </c>
      <c r="AB23" s="41">
        <f t="shared" si="0"/>
        <v>500</v>
      </c>
      <c r="AC23" s="21">
        <v>20</v>
      </c>
      <c r="AD23" s="21" t="s">
        <v>283</v>
      </c>
      <c r="AE23" s="41">
        <f t="shared" si="7"/>
        <v>2429.0009704556278</v>
      </c>
      <c r="AF23" s="41">
        <f t="shared" si="1"/>
        <v>657.44476798848643</v>
      </c>
      <c r="AG23" s="175">
        <f t="shared" si="4"/>
        <v>1771.5562024671412</v>
      </c>
      <c r="AH23" s="244">
        <f t="shared" si="5"/>
        <v>5.7833356439419701</v>
      </c>
      <c r="AI23" s="195">
        <f t="shared" si="6"/>
        <v>1.5653446856868725</v>
      </c>
      <c r="AJ23" s="195">
        <f t="shared" si="2"/>
        <v>4.2179909582550978</v>
      </c>
      <c r="AK23" s="197">
        <f t="shared" si="3"/>
        <v>4.4399904823737977</v>
      </c>
      <c r="BH23" s="2"/>
      <c r="BI23" s="2"/>
    </row>
    <row r="24" spans="1:61" ht="14.4" customHeight="1">
      <c r="A24" s="164" t="s">
        <v>300</v>
      </c>
      <c r="B24" s="165" t="s">
        <v>301</v>
      </c>
      <c r="C24" s="165" t="s">
        <v>271</v>
      </c>
      <c r="D24" s="166" t="s">
        <v>302</v>
      </c>
      <c r="AA24" s="180">
        <f t="shared" si="8"/>
        <v>441000000</v>
      </c>
      <c r="AB24" s="41">
        <f t="shared" si="0"/>
        <v>525</v>
      </c>
      <c r="AC24" s="21">
        <v>21</v>
      </c>
      <c r="AD24" s="21" t="s">
        <v>283</v>
      </c>
      <c r="AE24" s="41">
        <f t="shared" ref="AE24:AE57" si="9">SUM(AF24, AG24)</f>
        <v>2522.2407705854771</v>
      </c>
      <c r="AF24" s="41">
        <f t="shared" si="1"/>
        <v>657.44476798848643</v>
      </c>
      <c r="AG24" s="175">
        <f t="shared" si="4"/>
        <v>1864.7960025969908</v>
      </c>
      <c r="AH24" s="244">
        <f t="shared" ref="AH24:AH57" si="10">SUM(AI24:AJ24)</f>
        <v>5.7193668267244382</v>
      </c>
      <c r="AI24" s="195">
        <f t="shared" ref="AI24:AI57" si="11">IFERROR(AF24/AA24,0)*1000000</f>
        <v>1.4908044625589263</v>
      </c>
      <c r="AJ24" s="195">
        <f t="shared" ref="AJ24:AJ57" si="12">IFERROR(AG24/AA24,0)*1000000</f>
        <v>4.2285623641655121</v>
      </c>
      <c r="AK24" s="197">
        <f t="shared" ref="AK24:AK57" si="13">IFERROR((AE24-AE23)/(AA24-AA23),0)*1000000</f>
        <v>4.4399904823737764</v>
      </c>
      <c r="AL24" s="74"/>
      <c r="BH24" s="2"/>
      <c r="BI24" s="2"/>
    </row>
    <row r="25" spans="1:61" ht="13.8">
      <c r="A25" s="75" t="s">
        <v>303</v>
      </c>
      <c r="B25" s="21">
        <v>12</v>
      </c>
      <c r="C25" s="21">
        <v>3236</v>
      </c>
      <c r="D25" s="193">
        <f>B25/C25</f>
        <v>3.708281829419036E-3</v>
      </c>
      <c r="AA25" s="180">
        <f t="shared" si="8"/>
        <v>462000000</v>
      </c>
      <c r="AB25" s="41">
        <f t="shared" si="0"/>
        <v>550</v>
      </c>
      <c r="AC25" s="21">
        <v>22</v>
      </c>
      <c r="AD25" s="21" t="s">
        <v>283</v>
      </c>
      <c r="AE25" s="41">
        <f t="shared" si="9"/>
        <v>2615.4805707153268</v>
      </c>
      <c r="AF25" s="41">
        <f t="shared" si="1"/>
        <v>657.44476798848643</v>
      </c>
      <c r="AG25" s="175">
        <f t="shared" si="4"/>
        <v>1958.0358027268403</v>
      </c>
      <c r="AH25" s="244">
        <f t="shared" si="10"/>
        <v>5.6612133565266811</v>
      </c>
      <c r="AI25" s="195">
        <f t="shared" si="11"/>
        <v>1.4230406233517023</v>
      </c>
      <c r="AJ25" s="195">
        <f t="shared" si="12"/>
        <v>4.238172733174979</v>
      </c>
      <c r="AK25" s="197">
        <f t="shared" si="13"/>
        <v>4.4399904823737977</v>
      </c>
      <c r="BH25" s="2"/>
      <c r="BI25" s="2"/>
    </row>
    <row r="26" spans="1:61" ht="13.8">
      <c r="A26" s="75" t="s">
        <v>304</v>
      </c>
      <c r="B26" s="21">
        <v>44</v>
      </c>
      <c r="C26" s="21">
        <v>630</v>
      </c>
      <c r="D26" s="193">
        <f>B26/C26</f>
        <v>6.9841269841269843E-2</v>
      </c>
      <c r="AA26" s="180">
        <f t="shared" si="8"/>
        <v>483000000</v>
      </c>
      <c r="AB26" s="41">
        <f t="shared" si="0"/>
        <v>575</v>
      </c>
      <c r="AC26" s="21">
        <v>23</v>
      </c>
      <c r="AD26" s="21" t="s">
        <v>283</v>
      </c>
      <c r="AE26" s="41">
        <f t="shared" si="9"/>
        <v>2708.7203708451766</v>
      </c>
      <c r="AF26" s="41">
        <f t="shared" si="1"/>
        <v>657.44476798848643</v>
      </c>
      <c r="AG26" s="175">
        <f t="shared" si="4"/>
        <v>2051.2756028566901</v>
      </c>
      <c r="AH26" s="244">
        <f t="shared" si="10"/>
        <v>5.6081167098243823</v>
      </c>
      <c r="AI26" s="195">
        <f t="shared" si="11"/>
        <v>1.3611692919016283</v>
      </c>
      <c r="AJ26" s="195">
        <f t="shared" si="12"/>
        <v>4.2469474179227538</v>
      </c>
      <c r="AK26" s="197">
        <f t="shared" si="13"/>
        <v>4.4399904823737977</v>
      </c>
      <c r="BH26" s="2"/>
      <c r="BI26" s="2"/>
    </row>
    <row r="27" spans="1:61" ht="13.8">
      <c r="A27" s="75" t="s">
        <v>313</v>
      </c>
      <c r="B27" s="21">
        <v>150</v>
      </c>
      <c r="C27" s="21">
        <v>4425</v>
      </c>
      <c r="D27" s="193">
        <f>B27/C27</f>
        <v>3.3898305084745763E-2</v>
      </c>
      <c r="AA27" s="180">
        <f t="shared" si="8"/>
        <v>504000000</v>
      </c>
      <c r="AB27" s="41">
        <f t="shared" si="0"/>
        <v>600</v>
      </c>
      <c r="AC27" s="21">
        <v>24</v>
      </c>
      <c r="AD27" s="21" t="s">
        <v>283</v>
      </c>
      <c r="AE27" s="41">
        <f t="shared" si="9"/>
        <v>2801.9601709750264</v>
      </c>
      <c r="AF27" s="41">
        <f t="shared" si="1"/>
        <v>657.44476798848643</v>
      </c>
      <c r="AG27" s="175">
        <f t="shared" si="4"/>
        <v>2144.5154029865398</v>
      </c>
      <c r="AH27" s="244">
        <f t="shared" si="10"/>
        <v>5.5594447836806076</v>
      </c>
      <c r="AI27" s="195">
        <f t="shared" si="11"/>
        <v>1.3044539047390604</v>
      </c>
      <c r="AJ27" s="195">
        <f t="shared" si="12"/>
        <v>4.2549908789415474</v>
      </c>
      <c r="AK27" s="197">
        <f t="shared" si="13"/>
        <v>4.4399904823737977</v>
      </c>
      <c r="AM27" s="74"/>
      <c r="BH27" s="2"/>
      <c r="BI27" s="2"/>
    </row>
    <row r="28" spans="1:61" thickBot="1">
      <c r="A28" s="80" t="s">
        <v>314</v>
      </c>
      <c r="B28" s="81">
        <v>20</v>
      </c>
      <c r="C28" s="81">
        <v>44</v>
      </c>
      <c r="D28" s="194">
        <f>B28/C28</f>
        <v>0.45454545454545453</v>
      </c>
      <c r="AA28" s="180">
        <f t="shared" si="8"/>
        <v>525000000</v>
      </c>
      <c r="AB28" s="41">
        <f t="shared" si="0"/>
        <v>625</v>
      </c>
      <c r="AC28" s="21">
        <v>25</v>
      </c>
      <c r="AD28" s="21" t="s">
        <v>283</v>
      </c>
      <c r="AE28" s="41">
        <f t="shared" si="9"/>
        <v>2895.1999711048761</v>
      </c>
      <c r="AF28" s="41">
        <f t="shared" si="1"/>
        <v>657.44476798848643</v>
      </c>
      <c r="AG28" s="175">
        <f t="shared" si="4"/>
        <v>2237.7552031163896</v>
      </c>
      <c r="AH28" s="244">
        <f t="shared" si="10"/>
        <v>5.5146666116283356</v>
      </c>
      <c r="AI28" s="195">
        <f t="shared" si="11"/>
        <v>1.252275748549498</v>
      </c>
      <c r="AJ28" s="195">
        <f t="shared" si="12"/>
        <v>4.2623908630788376</v>
      </c>
      <c r="AK28" s="197">
        <f t="shared" si="13"/>
        <v>4.4399904823737977</v>
      </c>
      <c r="BH28" s="2"/>
      <c r="BI28" s="2"/>
    </row>
    <row r="29" spans="1:61" ht="13.8">
      <c r="A29" s="27"/>
      <c r="B29" s="27"/>
      <c r="C29" s="27"/>
      <c r="D29" s="27"/>
      <c r="AA29" s="180">
        <f t="shared" si="8"/>
        <v>546000000</v>
      </c>
      <c r="AB29" s="41">
        <f t="shared" si="0"/>
        <v>650</v>
      </c>
      <c r="AC29" s="21">
        <v>26</v>
      </c>
      <c r="AD29" s="21" t="s">
        <v>283</v>
      </c>
      <c r="AE29" s="41">
        <f t="shared" si="9"/>
        <v>2988.4397712347259</v>
      </c>
      <c r="AF29" s="41">
        <f t="shared" si="1"/>
        <v>657.44476798848643</v>
      </c>
      <c r="AG29" s="175">
        <f t="shared" si="4"/>
        <v>2330.9950032462393</v>
      </c>
      <c r="AH29" s="244">
        <f t="shared" si="10"/>
        <v>5.4733329143493146</v>
      </c>
      <c r="AI29" s="195">
        <f t="shared" si="11"/>
        <v>1.2041112966822096</v>
      </c>
      <c r="AJ29" s="195">
        <f t="shared" si="12"/>
        <v>4.269221617667105</v>
      </c>
      <c r="AK29" s="197">
        <f t="shared" si="13"/>
        <v>4.4399904823737977</v>
      </c>
      <c r="BH29" s="2"/>
      <c r="BI29" s="2"/>
    </row>
    <row r="30" spans="1:61" ht="13.8">
      <c r="A30" s="27"/>
      <c r="B30" s="27"/>
      <c r="C30" s="169" t="s">
        <v>315</v>
      </c>
      <c r="D30" s="83">
        <f>SUM(D25:D27)/3</f>
        <v>3.5815952251811549E-2</v>
      </c>
      <c r="AA30" s="180">
        <f t="shared" si="8"/>
        <v>567000000</v>
      </c>
      <c r="AB30" s="41">
        <f t="shared" si="0"/>
        <v>675</v>
      </c>
      <c r="AC30" s="21">
        <v>27</v>
      </c>
      <c r="AD30" s="21" t="s">
        <v>283</v>
      </c>
      <c r="AE30" s="41">
        <f t="shared" si="9"/>
        <v>3081.6795713645756</v>
      </c>
      <c r="AF30" s="41">
        <f t="shared" si="1"/>
        <v>657.44476798848643</v>
      </c>
      <c r="AG30" s="175">
        <f t="shared" si="4"/>
        <v>2424.2348033760891</v>
      </c>
      <c r="AH30" s="244">
        <f t="shared" si="10"/>
        <v>5.4350609724242958</v>
      </c>
      <c r="AI30" s="195">
        <f t="shared" si="11"/>
        <v>1.1595145819902759</v>
      </c>
      <c r="AJ30" s="195">
        <f t="shared" si="12"/>
        <v>4.2755463904340196</v>
      </c>
      <c r="AK30" s="197">
        <f t="shared" si="13"/>
        <v>4.4399904823737977</v>
      </c>
      <c r="BH30" s="2"/>
      <c r="BI30" s="2"/>
    </row>
    <row r="31" spans="1:61" ht="13.8">
      <c r="A31" s="27"/>
      <c r="B31" s="27"/>
      <c r="C31" s="169" t="s">
        <v>316</v>
      </c>
      <c r="D31" s="83">
        <f>D28</f>
        <v>0.45454545454545453</v>
      </c>
      <c r="AA31" s="180">
        <f t="shared" si="8"/>
        <v>588000000</v>
      </c>
      <c r="AB31" s="41">
        <f t="shared" si="0"/>
        <v>700</v>
      </c>
      <c r="AC31" s="21">
        <v>28</v>
      </c>
      <c r="AD31" s="21" t="s">
        <v>283</v>
      </c>
      <c r="AE31" s="41">
        <f t="shared" si="9"/>
        <v>3174.9193714944254</v>
      </c>
      <c r="AF31" s="41">
        <f t="shared" si="1"/>
        <v>657.44476798848643</v>
      </c>
      <c r="AG31" s="175">
        <f t="shared" si="4"/>
        <v>2517.4746035059388</v>
      </c>
      <c r="AH31" s="244">
        <f t="shared" si="10"/>
        <v>5.3995227406367778</v>
      </c>
      <c r="AI31" s="195">
        <f t="shared" si="11"/>
        <v>1.1181033469191946</v>
      </c>
      <c r="AJ31" s="195">
        <f t="shared" si="12"/>
        <v>4.2814193937175835</v>
      </c>
      <c r="AK31" s="197">
        <f t="shared" si="13"/>
        <v>4.4399904823737977</v>
      </c>
      <c r="BH31" s="2"/>
      <c r="BI31" s="2"/>
    </row>
    <row r="32" spans="1:61" ht="13.8">
      <c r="A32" s="27"/>
      <c r="B32" s="27"/>
      <c r="C32" s="27"/>
      <c r="D32" s="27"/>
      <c r="AA32" s="180">
        <f t="shared" si="8"/>
        <v>609000000</v>
      </c>
      <c r="AB32" s="41">
        <f t="shared" si="0"/>
        <v>725</v>
      </c>
      <c r="AC32" s="21">
        <v>29</v>
      </c>
      <c r="AD32" s="21" t="s">
        <v>283</v>
      </c>
      <c r="AE32" s="41">
        <f t="shared" si="9"/>
        <v>3268.1591716242751</v>
      </c>
      <c r="AF32" s="41">
        <f t="shared" si="1"/>
        <v>657.44476798848643</v>
      </c>
      <c r="AG32" s="175">
        <f t="shared" si="4"/>
        <v>2610.7144036357886</v>
      </c>
      <c r="AH32" s="244">
        <f t="shared" si="10"/>
        <v>5.3664354213863303</v>
      </c>
      <c r="AI32" s="195">
        <f t="shared" si="11"/>
        <v>1.0795480590943949</v>
      </c>
      <c r="AJ32" s="195">
        <f t="shared" si="12"/>
        <v>4.2868873622919352</v>
      </c>
      <c r="AK32" s="197">
        <f t="shared" si="13"/>
        <v>4.4399904823737977</v>
      </c>
      <c r="BH32" s="2"/>
      <c r="BI32" s="2"/>
    </row>
    <row r="33" spans="1:61" thickBot="1">
      <c r="A33" s="484" t="s">
        <v>409</v>
      </c>
      <c r="B33" s="484"/>
      <c r="C33" s="484"/>
      <c r="D33" s="484"/>
      <c r="AA33" s="180">
        <f t="shared" si="8"/>
        <v>630000000</v>
      </c>
      <c r="AB33" s="41">
        <f t="shared" si="0"/>
        <v>750</v>
      </c>
      <c r="AC33" s="21">
        <v>30</v>
      </c>
      <c r="AD33" s="21" t="s">
        <v>283</v>
      </c>
      <c r="AE33" s="41">
        <f t="shared" si="9"/>
        <v>3361.3989717541249</v>
      </c>
      <c r="AF33" s="41">
        <f t="shared" si="1"/>
        <v>657.44476798848643</v>
      </c>
      <c r="AG33" s="175">
        <f t="shared" si="4"/>
        <v>2703.9542037656383</v>
      </c>
      <c r="AH33" s="244">
        <f t="shared" si="10"/>
        <v>5.3355539234192459</v>
      </c>
      <c r="AI33" s="195">
        <f t="shared" si="11"/>
        <v>1.0435631237912482</v>
      </c>
      <c r="AJ33" s="195">
        <f t="shared" si="12"/>
        <v>4.2919907996279978</v>
      </c>
      <c r="AK33" s="197">
        <f t="shared" si="13"/>
        <v>4.4399904823737977</v>
      </c>
      <c r="BH33" s="2"/>
      <c r="BI33" s="2"/>
    </row>
    <row r="34" spans="1:61" ht="13.8">
      <c r="A34" s="164" t="s">
        <v>300</v>
      </c>
      <c r="B34" s="165" t="s">
        <v>317</v>
      </c>
      <c r="C34" s="165" t="s">
        <v>271</v>
      </c>
      <c r="D34" s="166" t="s">
        <v>318</v>
      </c>
      <c r="AA34" s="180">
        <f t="shared" si="8"/>
        <v>651000000</v>
      </c>
      <c r="AB34" s="41">
        <f t="shared" si="0"/>
        <v>775</v>
      </c>
      <c r="AC34" s="21">
        <v>31</v>
      </c>
      <c r="AD34" s="21" t="s">
        <v>283</v>
      </c>
      <c r="AE34" s="41">
        <f t="shared" si="9"/>
        <v>3454.6387718839746</v>
      </c>
      <c r="AF34" s="41">
        <f t="shared" si="1"/>
        <v>657.44476798848643</v>
      </c>
      <c r="AG34" s="175">
        <f t="shared" si="4"/>
        <v>2797.1940038954881</v>
      </c>
      <c r="AH34" s="244">
        <f t="shared" si="10"/>
        <v>5.3066647801597151</v>
      </c>
      <c r="AI34" s="195">
        <f t="shared" si="11"/>
        <v>1.0098997972173371</v>
      </c>
      <c r="AJ34" s="195">
        <f t="shared" si="12"/>
        <v>4.2967649829423777</v>
      </c>
      <c r="AK34" s="197">
        <f t="shared" si="13"/>
        <v>4.4399904823737977</v>
      </c>
      <c r="BH34" s="2"/>
      <c r="BI34" s="2"/>
    </row>
    <row r="35" spans="1:61" ht="13.8">
      <c r="A35" s="75" t="s">
        <v>303</v>
      </c>
      <c r="B35" s="21">
        <f>4.65*1000</f>
        <v>4650</v>
      </c>
      <c r="C35" s="21">
        <v>3236</v>
      </c>
      <c r="D35" s="182">
        <f>B35/C35</f>
        <v>1.4369592088998764</v>
      </c>
      <c r="AA35" s="180">
        <f t="shared" si="8"/>
        <v>672000000</v>
      </c>
      <c r="AB35" s="41">
        <f t="shared" si="0"/>
        <v>800</v>
      </c>
      <c r="AC35" s="21">
        <v>32</v>
      </c>
      <c r="AD35" s="21" t="s">
        <v>283</v>
      </c>
      <c r="AE35" s="41">
        <f t="shared" si="9"/>
        <v>3547.8785720138244</v>
      </c>
      <c r="AF35" s="41">
        <f t="shared" si="1"/>
        <v>657.44476798848643</v>
      </c>
      <c r="AG35" s="175">
        <f t="shared" si="4"/>
        <v>2890.4338040253378</v>
      </c>
      <c r="AH35" s="244">
        <f t="shared" si="10"/>
        <v>5.2795812083539051</v>
      </c>
      <c r="AI35" s="195">
        <f t="shared" si="11"/>
        <v>0.97834042855429537</v>
      </c>
      <c r="AJ35" s="195">
        <f t="shared" si="12"/>
        <v>4.3012407797996097</v>
      </c>
      <c r="AK35" s="197">
        <f t="shared" si="13"/>
        <v>4.4399904823737977</v>
      </c>
      <c r="BH35" s="2"/>
      <c r="BI35" s="2"/>
    </row>
    <row r="36" spans="1:61" ht="13.8">
      <c r="A36" s="75" t="s">
        <v>304</v>
      </c>
      <c r="B36" s="21">
        <f>5.9*1000</f>
        <v>5900</v>
      </c>
      <c r="C36" s="21">
        <v>630</v>
      </c>
      <c r="D36" s="182">
        <f>B36/C36</f>
        <v>9.3650793650793656</v>
      </c>
      <c r="AA36" s="180">
        <f t="shared" si="8"/>
        <v>693000000</v>
      </c>
      <c r="AB36" s="41">
        <f t="shared" ref="AB36:AB57" si="14">AB218</f>
        <v>825</v>
      </c>
      <c r="AC36" s="21">
        <v>33</v>
      </c>
      <c r="AD36" s="21" t="s">
        <v>283</v>
      </c>
      <c r="AE36" s="41">
        <f t="shared" si="9"/>
        <v>3641.1183721436742</v>
      </c>
      <c r="AF36" s="41">
        <f t="shared" ref="AF36:AF57" si="15">SUM($AE$368:$AH$368,$BG$368)</f>
        <v>657.44476798848643</v>
      </c>
      <c r="AG36" s="175">
        <f t="shared" si="4"/>
        <v>2983.6736041551876</v>
      </c>
      <c r="AH36" s="244">
        <f t="shared" si="10"/>
        <v>5.254139065142386</v>
      </c>
      <c r="AI36" s="195">
        <f t="shared" si="11"/>
        <v>0.94869374890113489</v>
      </c>
      <c r="AJ36" s="195">
        <f t="shared" si="12"/>
        <v>4.3054453162412516</v>
      </c>
      <c r="AK36" s="197">
        <f t="shared" si="13"/>
        <v>4.4399904823737977</v>
      </c>
      <c r="BH36" s="2"/>
      <c r="BI36" s="2"/>
    </row>
    <row r="37" spans="1:61" ht="13.8">
      <c r="A37" s="75" t="s">
        <v>313</v>
      </c>
      <c r="B37" s="21">
        <f>6.95*1000</f>
        <v>6950</v>
      </c>
      <c r="C37" s="21">
        <v>4425</v>
      </c>
      <c r="D37" s="182">
        <f>B37/C37</f>
        <v>1.5706214689265536</v>
      </c>
      <c r="AA37" s="180">
        <f t="shared" si="8"/>
        <v>714000000</v>
      </c>
      <c r="AB37" s="41">
        <f t="shared" si="14"/>
        <v>850</v>
      </c>
      <c r="AC37" s="21">
        <v>34</v>
      </c>
      <c r="AD37" s="21" t="s">
        <v>283</v>
      </c>
      <c r="AE37" s="41">
        <f t="shared" si="9"/>
        <v>3734.3581722735239</v>
      </c>
      <c r="AF37" s="41">
        <f t="shared" si="15"/>
        <v>657.44476798848643</v>
      </c>
      <c r="AG37" s="175">
        <f t="shared" ref="AG37:AG68" si="16">AG36+SUM(AE401:AF401,BG401)</f>
        <v>3076.9134042850374</v>
      </c>
      <c r="AH37" s="244">
        <f t="shared" si="10"/>
        <v>5.2301935185903696</v>
      </c>
      <c r="AI37" s="195">
        <f t="shared" si="11"/>
        <v>0.92079099158051325</v>
      </c>
      <c r="AJ37" s="195">
        <f t="shared" si="12"/>
        <v>4.3094025270098566</v>
      </c>
      <c r="AK37" s="197">
        <f t="shared" si="13"/>
        <v>4.4399904823737977</v>
      </c>
      <c r="BH37" s="2"/>
      <c r="BI37" s="2"/>
    </row>
    <row r="38" spans="1:61" thickBot="1">
      <c r="A38" s="80" t="s">
        <v>314</v>
      </c>
      <c r="B38" s="81">
        <f>4.8*1000</f>
        <v>4800</v>
      </c>
      <c r="C38" s="81">
        <v>44</v>
      </c>
      <c r="D38" s="187">
        <f>B38/C38</f>
        <v>109.09090909090909</v>
      </c>
      <c r="AA38" s="180">
        <f t="shared" si="8"/>
        <v>735000000</v>
      </c>
      <c r="AB38" s="41">
        <f t="shared" si="14"/>
        <v>875</v>
      </c>
      <c r="AC38" s="21">
        <v>35</v>
      </c>
      <c r="AD38" s="21" t="s">
        <v>283</v>
      </c>
      <c r="AE38" s="41">
        <f t="shared" si="9"/>
        <v>3827.5979724033737</v>
      </c>
      <c r="AF38" s="41">
        <f t="shared" si="15"/>
        <v>657.44476798848643</v>
      </c>
      <c r="AG38" s="175">
        <f t="shared" si="16"/>
        <v>3170.1532044148871</v>
      </c>
      <c r="AH38" s="244">
        <f t="shared" si="10"/>
        <v>5.2076162889841822</v>
      </c>
      <c r="AI38" s="195">
        <f t="shared" si="11"/>
        <v>0.89448267753535571</v>
      </c>
      <c r="AJ38" s="195">
        <f t="shared" si="12"/>
        <v>4.3131336114488263</v>
      </c>
      <c r="AK38" s="197">
        <f t="shared" si="13"/>
        <v>4.4399904823737977</v>
      </c>
      <c r="BH38" s="2"/>
      <c r="BI38" s="2"/>
    </row>
    <row r="39" spans="1:61" ht="13.8">
      <c r="A39" s="27"/>
      <c r="B39" s="27"/>
      <c r="C39" s="27"/>
      <c r="D39" s="27"/>
      <c r="AA39" s="180">
        <f t="shared" si="8"/>
        <v>756000000</v>
      </c>
      <c r="AB39" s="41">
        <f t="shared" si="14"/>
        <v>900</v>
      </c>
      <c r="AC39" s="21">
        <v>36</v>
      </c>
      <c r="AD39" s="21" t="s">
        <v>283</v>
      </c>
      <c r="AE39" s="41">
        <f t="shared" si="9"/>
        <v>3920.8377725332234</v>
      </c>
      <c r="AF39" s="41">
        <f t="shared" si="15"/>
        <v>657.44476798848643</v>
      </c>
      <c r="AG39" s="175">
        <f t="shared" si="16"/>
        <v>3263.3930045447369</v>
      </c>
      <c r="AH39" s="244">
        <f t="shared" si="10"/>
        <v>5.1862933499116712</v>
      </c>
      <c r="AI39" s="195">
        <f t="shared" si="11"/>
        <v>0.86963593649270687</v>
      </c>
      <c r="AJ39" s="195">
        <f t="shared" si="12"/>
        <v>4.3166574134189641</v>
      </c>
      <c r="AK39" s="197">
        <f t="shared" si="13"/>
        <v>4.4399904823737977</v>
      </c>
      <c r="BH39" s="2"/>
      <c r="BI39" s="2"/>
    </row>
    <row r="40" spans="1:61" ht="13.8">
      <c r="A40" s="27"/>
      <c r="B40" s="27"/>
      <c r="C40" s="169" t="s">
        <v>315</v>
      </c>
      <c r="D40" s="83">
        <f>SUM(D35:D37)/3</f>
        <v>4.1242200143019323</v>
      </c>
      <c r="AA40" s="180">
        <f t="shared" si="8"/>
        <v>777000000</v>
      </c>
      <c r="AB40" s="41">
        <f t="shared" si="14"/>
        <v>925</v>
      </c>
      <c r="AC40" s="21">
        <v>37</v>
      </c>
      <c r="AD40" s="21" t="s">
        <v>283</v>
      </c>
      <c r="AE40" s="41">
        <f t="shared" si="9"/>
        <v>4014.0775726630732</v>
      </c>
      <c r="AF40" s="41">
        <f t="shared" si="15"/>
        <v>657.44476798848643</v>
      </c>
      <c r="AG40" s="175">
        <f t="shared" si="16"/>
        <v>3356.6328046745866</v>
      </c>
      <c r="AH40" s="244">
        <f t="shared" si="10"/>
        <v>5.1661230021403775</v>
      </c>
      <c r="AI40" s="195">
        <f t="shared" si="11"/>
        <v>0.84613226253344453</v>
      </c>
      <c r="AJ40" s="195">
        <f t="shared" si="12"/>
        <v>4.3199907396069328</v>
      </c>
      <c r="AK40" s="197">
        <f t="shared" si="13"/>
        <v>4.4399904823737977</v>
      </c>
      <c r="BH40" s="2"/>
      <c r="BI40" s="2"/>
    </row>
    <row r="41" spans="1:61" ht="13.8">
      <c r="A41" s="27"/>
      <c r="B41" s="27"/>
      <c r="C41" s="169" t="s">
        <v>316</v>
      </c>
      <c r="D41" s="83">
        <f>D38</f>
        <v>109.09090909090909</v>
      </c>
      <c r="AA41" s="180">
        <f t="shared" si="8"/>
        <v>798000000</v>
      </c>
      <c r="AB41" s="41">
        <f t="shared" si="14"/>
        <v>950</v>
      </c>
      <c r="AC41" s="21">
        <v>38</v>
      </c>
      <c r="AD41" s="21" t="s">
        <v>283</v>
      </c>
      <c r="AE41" s="41">
        <f t="shared" si="9"/>
        <v>4107.3173727929225</v>
      </c>
      <c r="AF41" s="41">
        <f t="shared" si="15"/>
        <v>657.44476798848643</v>
      </c>
      <c r="AG41" s="175">
        <f t="shared" si="16"/>
        <v>3449.8726048044364</v>
      </c>
      <c r="AH41" s="244">
        <f t="shared" si="10"/>
        <v>5.1470142516202042</v>
      </c>
      <c r="AI41" s="195">
        <f t="shared" si="11"/>
        <v>0.82386562404572228</v>
      </c>
      <c r="AJ41" s="195">
        <f t="shared" si="12"/>
        <v>4.3231486275744819</v>
      </c>
      <c r="AK41" s="197">
        <f t="shared" si="13"/>
        <v>4.4399904823737764</v>
      </c>
      <c r="BH41" s="2"/>
      <c r="BI41" s="2"/>
    </row>
    <row r="42" spans="1:61" ht="13.8">
      <c r="A42" s="27"/>
      <c r="B42" s="27"/>
      <c r="C42" s="27"/>
      <c r="D42" s="27"/>
      <c r="AA42" s="180">
        <f t="shared" si="8"/>
        <v>819000000</v>
      </c>
      <c r="AB42" s="41">
        <f t="shared" si="14"/>
        <v>975</v>
      </c>
      <c r="AC42" s="21">
        <v>39</v>
      </c>
      <c r="AD42" s="21" t="s">
        <v>283</v>
      </c>
      <c r="AE42" s="41">
        <f t="shared" si="9"/>
        <v>4200.5571729227722</v>
      </c>
      <c r="AF42" s="41">
        <f t="shared" si="15"/>
        <v>657.44476798848643</v>
      </c>
      <c r="AG42" s="175">
        <f t="shared" si="16"/>
        <v>3543.1124049342861</v>
      </c>
      <c r="AH42" s="244">
        <f t="shared" si="10"/>
        <v>5.1288854370241426</v>
      </c>
      <c r="AI42" s="195">
        <f t="shared" si="11"/>
        <v>0.80274086445480641</v>
      </c>
      <c r="AJ42" s="195">
        <f t="shared" si="12"/>
        <v>4.3261445725693362</v>
      </c>
      <c r="AK42" s="197">
        <f t="shared" si="13"/>
        <v>4.4399904823737977</v>
      </c>
      <c r="BH42" s="2"/>
      <c r="BI42" s="2"/>
    </row>
    <row r="43" spans="1:61" thickBot="1">
      <c r="A43" s="484" t="s">
        <v>410</v>
      </c>
      <c r="B43" s="484"/>
      <c r="C43" s="484"/>
      <c r="D43" s="484"/>
      <c r="AA43" s="180">
        <f t="shared" si="8"/>
        <v>840000000</v>
      </c>
      <c r="AB43" s="41">
        <f t="shared" si="14"/>
        <v>1000</v>
      </c>
      <c r="AC43" s="21">
        <v>40</v>
      </c>
      <c r="AD43" s="21" t="s">
        <v>283</v>
      </c>
      <c r="AE43" s="41">
        <f t="shared" si="9"/>
        <v>4293.796973052622</v>
      </c>
      <c r="AF43" s="41">
        <f t="shared" si="15"/>
        <v>657.44476798848643</v>
      </c>
      <c r="AG43" s="175">
        <f t="shared" si="16"/>
        <v>3636.3522050641359</v>
      </c>
      <c r="AH43" s="244">
        <f t="shared" si="10"/>
        <v>5.1116630631578834</v>
      </c>
      <c r="AI43" s="195">
        <f t="shared" si="11"/>
        <v>0.78267234284343623</v>
      </c>
      <c r="AJ43" s="195">
        <f t="shared" si="12"/>
        <v>4.3289907203144473</v>
      </c>
      <c r="AK43" s="197">
        <f t="shared" si="13"/>
        <v>4.4399904823737977</v>
      </c>
      <c r="BH43" s="2"/>
      <c r="BI43" s="2"/>
    </row>
    <row r="44" spans="1:61" ht="13.8">
      <c r="A44" s="164" t="s">
        <v>300</v>
      </c>
      <c r="B44" s="165" t="s">
        <v>270</v>
      </c>
      <c r="C44" s="165" t="s">
        <v>271</v>
      </c>
      <c r="D44" s="166" t="s">
        <v>319</v>
      </c>
      <c r="AA44" s="180">
        <f t="shared" si="8"/>
        <v>861000000</v>
      </c>
      <c r="AB44" s="41">
        <f t="shared" si="14"/>
        <v>1025</v>
      </c>
      <c r="AC44" s="21">
        <v>41</v>
      </c>
      <c r="AD44" s="21" t="s">
        <v>283</v>
      </c>
      <c r="AE44" s="41">
        <f t="shared" si="9"/>
        <v>4387.0367731824717</v>
      </c>
      <c r="AF44" s="41">
        <f t="shared" si="15"/>
        <v>657.44476798848643</v>
      </c>
      <c r="AG44" s="175">
        <f t="shared" si="16"/>
        <v>3729.5920051939856</v>
      </c>
      <c r="AH44" s="244">
        <f t="shared" si="10"/>
        <v>5.0952808050899785</v>
      </c>
      <c r="AI44" s="195">
        <f t="shared" si="11"/>
        <v>0.7635827735057914</v>
      </c>
      <c r="AJ44" s="195">
        <f t="shared" si="12"/>
        <v>4.3316980315841871</v>
      </c>
      <c r="AK44" s="197">
        <f t="shared" si="13"/>
        <v>4.4399904823737977</v>
      </c>
      <c r="BH44" s="2"/>
      <c r="BI44" s="2"/>
    </row>
    <row r="45" spans="1:61" ht="13.8">
      <c r="A45" s="75" t="s">
        <v>303</v>
      </c>
      <c r="B45" s="21">
        <v>1200</v>
      </c>
      <c r="C45" s="21">
        <v>3236</v>
      </c>
      <c r="D45" s="182">
        <f>B45/C45</f>
        <v>0.37082818294190356</v>
      </c>
      <c r="AA45" s="180">
        <f t="shared" si="8"/>
        <v>882000000</v>
      </c>
      <c r="AB45" s="41">
        <f t="shared" si="14"/>
        <v>1050</v>
      </c>
      <c r="AC45" s="21">
        <v>42</v>
      </c>
      <c r="AD45" s="21" t="s">
        <v>283</v>
      </c>
      <c r="AE45" s="41">
        <f t="shared" si="9"/>
        <v>4480.2765733123215</v>
      </c>
      <c r="AF45" s="41">
        <f t="shared" si="15"/>
        <v>657.44476798848643</v>
      </c>
      <c r="AG45" s="175">
        <f t="shared" si="16"/>
        <v>3822.8318053238354</v>
      </c>
      <c r="AH45" s="244">
        <f t="shared" si="10"/>
        <v>5.0796786545491184</v>
      </c>
      <c r="AI45" s="195">
        <f t="shared" si="11"/>
        <v>0.74540223127946315</v>
      </c>
      <c r="AJ45" s="195">
        <f t="shared" si="12"/>
        <v>4.3342764232696549</v>
      </c>
      <c r="AK45" s="197">
        <f t="shared" si="13"/>
        <v>4.4399904823737977</v>
      </c>
      <c r="BH45" s="2"/>
      <c r="BI45" s="2"/>
    </row>
    <row r="46" spans="1:61" ht="13.8">
      <c r="A46" s="75" t="s">
        <v>304</v>
      </c>
      <c r="B46" s="21">
        <v>528</v>
      </c>
      <c r="C46" s="21">
        <v>630</v>
      </c>
      <c r="D46" s="182">
        <f>B46/C46</f>
        <v>0.83809523809523812</v>
      </c>
      <c r="AA46" s="180">
        <f t="shared" si="8"/>
        <v>903000000</v>
      </c>
      <c r="AB46" s="41">
        <f t="shared" si="14"/>
        <v>1075</v>
      </c>
      <c r="AC46" s="21">
        <v>43</v>
      </c>
      <c r="AD46" s="21" t="s">
        <v>283</v>
      </c>
      <c r="AE46" s="41">
        <f t="shared" si="9"/>
        <v>4573.5163734421712</v>
      </c>
      <c r="AF46" s="41">
        <f t="shared" si="15"/>
        <v>657.44476798848643</v>
      </c>
      <c r="AG46" s="175">
        <f t="shared" si="16"/>
        <v>3916.0716054536852</v>
      </c>
      <c r="AH46" s="244">
        <f t="shared" si="10"/>
        <v>5.0648021854287615</v>
      </c>
      <c r="AI46" s="195">
        <f t="shared" si="11"/>
        <v>0.72806729566831285</v>
      </c>
      <c r="AJ46" s="195">
        <f t="shared" si="12"/>
        <v>4.3367348897604483</v>
      </c>
      <c r="AK46" s="197">
        <f t="shared" si="13"/>
        <v>4.4399904823737977</v>
      </c>
      <c r="BH46" s="2"/>
      <c r="BI46" s="2"/>
    </row>
    <row r="47" spans="1:61" ht="13.8">
      <c r="A47" s="75" t="s">
        <v>363</v>
      </c>
      <c r="B47" s="21">
        <v>11000</v>
      </c>
      <c r="C47" s="21">
        <v>4425</v>
      </c>
      <c r="D47" s="182">
        <f>((B47)*0.1)/C47</f>
        <v>0.24858757062146894</v>
      </c>
      <c r="AA47" s="180">
        <f t="shared" si="8"/>
        <v>924000000</v>
      </c>
      <c r="AB47" s="41">
        <f t="shared" si="14"/>
        <v>1100</v>
      </c>
      <c r="AC47" s="21">
        <v>44</v>
      </c>
      <c r="AD47" s="21" t="s">
        <v>283</v>
      </c>
      <c r="AE47" s="41">
        <f t="shared" si="9"/>
        <v>4666.756173572021</v>
      </c>
      <c r="AF47" s="41">
        <f t="shared" si="15"/>
        <v>657.44476798848643</v>
      </c>
      <c r="AG47" s="175">
        <f t="shared" si="16"/>
        <v>4009.3114055835349</v>
      </c>
      <c r="AH47" s="244">
        <f t="shared" si="10"/>
        <v>5.0506019194502398</v>
      </c>
      <c r="AI47" s="195">
        <f t="shared" si="11"/>
        <v>0.71152031167585117</v>
      </c>
      <c r="AJ47" s="195">
        <f t="shared" si="12"/>
        <v>4.3390816077743883</v>
      </c>
      <c r="AK47" s="197">
        <f t="shared" si="13"/>
        <v>4.4399904823737977</v>
      </c>
      <c r="BH47" s="2"/>
      <c r="BI47" s="2"/>
    </row>
    <row r="48" spans="1:61" thickBot="1">
      <c r="A48" s="80" t="s">
        <v>314</v>
      </c>
      <c r="B48" s="81">
        <v>2000</v>
      </c>
      <c r="C48" s="81">
        <v>44</v>
      </c>
      <c r="D48" s="187">
        <f>B48/C48</f>
        <v>45.454545454545453</v>
      </c>
      <c r="AA48" s="180">
        <f t="shared" si="8"/>
        <v>945000000</v>
      </c>
      <c r="AB48" s="41">
        <f t="shared" si="14"/>
        <v>1125</v>
      </c>
      <c r="AC48" s="21">
        <v>45</v>
      </c>
      <c r="AD48" s="21" t="s">
        <v>283</v>
      </c>
      <c r="AE48" s="41">
        <f t="shared" si="9"/>
        <v>4759.9959737018708</v>
      </c>
      <c r="AF48" s="41">
        <f t="shared" si="15"/>
        <v>657.44476798848643</v>
      </c>
      <c r="AG48" s="175">
        <f t="shared" si="16"/>
        <v>4102.5512057133847</v>
      </c>
      <c r="AH48" s="244">
        <f t="shared" si="10"/>
        <v>5.0370327764040956</v>
      </c>
      <c r="AI48" s="195">
        <f t="shared" si="11"/>
        <v>0.69570874919416548</v>
      </c>
      <c r="AJ48" s="195">
        <f t="shared" si="12"/>
        <v>4.3413240272099305</v>
      </c>
      <c r="AK48" s="197">
        <f t="shared" si="13"/>
        <v>4.4399904823737977</v>
      </c>
      <c r="BH48" s="2"/>
      <c r="BI48" s="2"/>
    </row>
    <row r="49" spans="1:61" ht="15" customHeight="1">
      <c r="A49" s="27" t="s">
        <v>364</v>
      </c>
      <c r="B49" s="27"/>
      <c r="C49" s="27"/>
      <c r="D49" s="27"/>
      <c r="AA49" s="180">
        <f t="shared" si="8"/>
        <v>966000000</v>
      </c>
      <c r="AB49" s="41">
        <f t="shared" si="14"/>
        <v>1150</v>
      </c>
      <c r="AC49" s="21">
        <v>46</v>
      </c>
      <c r="AD49" s="21" t="s">
        <v>283</v>
      </c>
      <c r="AE49" s="41">
        <f t="shared" si="9"/>
        <v>4853.2357738317205</v>
      </c>
      <c r="AF49" s="41">
        <f t="shared" si="15"/>
        <v>657.44476798848643</v>
      </c>
      <c r="AG49" s="175">
        <f t="shared" si="16"/>
        <v>4195.7910058432344</v>
      </c>
      <c r="AH49" s="244">
        <f t="shared" si="10"/>
        <v>5.0240535960990904</v>
      </c>
      <c r="AI49" s="195">
        <f t="shared" si="11"/>
        <v>0.68058464595081414</v>
      </c>
      <c r="AJ49" s="195">
        <f t="shared" si="12"/>
        <v>4.3434689501482762</v>
      </c>
      <c r="AK49" s="197">
        <f t="shared" si="13"/>
        <v>4.4399904823737977</v>
      </c>
      <c r="BH49" s="2"/>
      <c r="BI49" s="2"/>
    </row>
    <row r="50" spans="1:61" ht="13.8">
      <c r="A50" s="27"/>
      <c r="B50" s="27"/>
      <c r="C50" s="169" t="s">
        <v>315</v>
      </c>
      <c r="D50" s="83">
        <f>SUM(D45:D47)/3</f>
        <v>0.48583699721953683</v>
      </c>
      <c r="AA50" s="180">
        <f t="shared" si="8"/>
        <v>987000000</v>
      </c>
      <c r="AB50" s="41">
        <f t="shared" si="14"/>
        <v>1175</v>
      </c>
      <c r="AC50" s="21">
        <v>47</v>
      </c>
      <c r="AD50" s="21" t="s">
        <v>283</v>
      </c>
      <c r="AE50" s="41">
        <f t="shared" si="9"/>
        <v>4946.4755739615703</v>
      </c>
      <c r="AF50" s="41">
        <f t="shared" si="15"/>
        <v>657.44476798848643</v>
      </c>
      <c r="AG50" s="175">
        <f t="shared" si="16"/>
        <v>4289.0308059730842</v>
      </c>
      <c r="AH50" s="244">
        <f t="shared" si="10"/>
        <v>5.0116267213389776</v>
      </c>
      <c r="AI50" s="195">
        <f t="shared" si="11"/>
        <v>0.66610412156888188</v>
      </c>
      <c r="AJ50" s="195">
        <f t="shared" si="12"/>
        <v>4.3455225997700957</v>
      </c>
      <c r="AK50" s="197">
        <f t="shared" si="13"/>
        <v>4.4399904823737977</v>
      </c>
      <c r="BH50" s="2"/>
      <c r="BI50" s="2"/>
    </row>
    <row r="51" spans="1:61" ht="13.8">
      <c r="A51" s="27"/>
      <c r="B51" s="27"/>
      <c r="C51" s="169" t="s">
        <v>316</v>
      </c>
      <c r="D51" s="83">
        <f>D48</f>
        <v>45.454545454545453</v>
      </c>
      <c r="AA51" s="180">
        <f t="shared" si="8"/>
        <v>1008000000</v>
      </c>
      <c r="AB51" s="41">
        <f t="shared" si="14"/>
        <v>1200</v>
      </c>
      <c r="AC51" s="21">
        <v>48</v>
      </c>
      <c r="AD51" s="21" t="s">
        <v>283</v>
      </c>
      <c r="AE51" s="41">
        <f t="shared" si="9"/>
        <v>5039.71537409142</v>
      </c>
      <c r="AF51" s="41">
        <f t="shared" si="15"/>
        <v>657.44476798848643</v>
      </c>
      <c r="AG51" s="175">
        <f t="shared" si="16"/>
        <v>4382.2706061029339</v>
      </c>
      <c r="AH51" s="244">
        <f t="shared" si="10"/>
        <v>4.9997176330272026</v>
      </c>
      <c r="AI51" s="195">
        <f t="shared" si="11"/>
        <v>0.65222695236953021</v>
      </c>
      <c r="AJ51" s="195">
        <f t="shared" si="12"/>
        <v>4.3474906806576721</v>
      </c>
      <c r="AK51" s="197">
        <f t="shared" si="13"/>
        <v>4.4399904823737977</v>
      </c>
      <c r="BH51" s="2"/>
      <c r="BI51" s="2"/>
    </row>
    <row r="52" spans="1:61" ht="13.8">
      <c r="AA52" s="180">
        <f t="shared" si="8"/>
        <v>1029000000</v>
      </c>
      <c r="AB52" s="41">
        <f t="shared" si="14"/>
        <v>1225</v>
      </c>
      <c r="AC52" s="21">
        <v>49</v>
      </c>
      <c r="AD52" s="21" t="s">
        <v>283</v>
      </c>
      <c r="AE52" s="41">
        <f t="shared" si="9"/>
        <v>5132.9551742212698</v>
      </c>
      <c r="AF52" s="41">
        <f t="shared" si="15"/>
        <v>657.44476798848643</v>
      </c>
      <c r="AG52" s="175">
        <f t="shared" si="16"/>
        <v>4475.5104062327837</v>
      </c>
      <c r="AH52" s="244">
        <f t="shared" si="10"/>
        <v>4.9882946299526436</v>
      </c>
      <c r="AI52" s="195">
        <f t="shared" si="11"/>
        <v>0.63891619823953982</v>
      </c>
      <c r="AJ52" s="195">
        <f t="shared" si="12"/>
        <v>4.3493784317131041</v>
      </c>
      <c r="AK52" s="197">
        <f t="shared" si="13"/>
        <v>4.4399904823737977</v>
      </c>
      <c r="AM52" s="16"/>
      <c r="BH52" s="2"/>
      <c r="BI52" s="2"/>
    </row>
    <row r="53" spans="1:61" ht="13.8">
      <c r="A53" s="28" t="s">
        <v>325</v>
      </c>
      <c r="AA53" s="180">
        <f t="shared" si="8"/>
        <v>1050000000</v>
      </c>
      <c r="AB53" s="41">
        <f t="shared" si="14"/>
        <v>1250</v>
      </c>
      <c r="AC53" s="21">
        <v>50</v>
      </c>
      <c r="AD53" s="21" t="s">
        <v>283</v>
      </c>
      <c r="AE53" s="41">
        <f t="shared" si="9"/>
        <v>5226.1949743511195</v>
      </c>
      <c r="AF53" s="41">
        <f t="shared" si="15"/>
        <v>657.44476798848643</v>
      </c>
      <c r="AG53" s="175">
        <f t="shared" si="16"/>
        <v>4568.7502063626334</v>
      </c>
      <c r="AH53" s="244">
        <f t="shared" si="10"/>
        <v>4.9773285470010666</v>
      </c>
      <c r="AI53" s="195">
        <f t="shared" si="11"/>
        <v>0.62613787427474898</v>
      </c>
      <c r="AJ53" s="195">
        <f t="shared" si="12"/>
        <v>4.3511906727263172</v>
      </c>
      <c r="AK53" s="197">
        <f t="shared" si="13"/>
        <v>4.4399904823737977</v>
      </c>
      <c r="AM53" s="16"/>
      <c r="BH53" s="2"/>
      <c r="BI53" s="2"/>
    </row>
    <row r="54" spans="1:61" ht="13.8">
      <c r="A54" s="28" t="s">
        <v>326</v>
      </c>
      <c r="AA54" s="180">
        <f t="shared" si="8"/>
        <v>1071000000</v>
      </c>
      <c r="AB54" s="41">
        <f t="shared" si="14"/>
        <v>1275</v>
      </c>
      <c r="AC54" s="21">
        <v>51</v>
      </c>
      <c r="AD54" s="21" t="s">
        <v>283</v>
      </c>
      <c r="AE54" s="41">
        <f t="shared" si="9"/>
        <v>5319.4347744809693</v>
      </c>
      <c r="AF54" s="41">
        <f t="shared" si="15"/>
        <v>657.44476798848643</v>
      </c>
      <c r="AG54" s="175">
        <f t="shared" si="16"/>
        <v>4661.9900064924832</v>
      </c>
      <c r="AH54" s="244">
        <f t="shared" si="10"/>
        <v>4.9667925065181793</v>
      </c>
      <c r="AI54" s="195">
        <f t="shared" si="11"/>
        <v>0.61386066105367554</v>
      </c>
      <c r="AJ54" s="195">
        <f t="shared" si="12"/>
        <v>4.3529318454645036</v>
      </c>
      <c r="AK54" s="197">
        <f t="shared" si="13"/>
        <v>4.4399904823737977</v>
      </c>
      <c r="AM54" s="16"/>
      <c r="BH54" s="2"/>
      <c r="BI54" s="2"/>
    </row>
    <row r="55" spans="1:61" ht="13.8">
      <c r="A55" s="28" t="s">
        <v>327</v>
      </c>
      <c r="AA55" s="180">
        <f t="shared" si="8"/>
        <v>1092000000</v>
      </c>
      <c r="AB55" s="41">
        <f t="shared" si="14"/>
        <v>1300</v>
      </c>
      <c r="AC55" s="21">
        <v>52</v>
      </c>
      <c r="AD55" s="21" t="s">
        <v>283</v>
      </c>
      <c r="AE55" s="41">
        <f t="shared" si="9"/>
        <v>5412.674574610819</v>
      </c>
      <c r="AF55" s="41">
        <f t="shared" si="15"/>
        <v>657.44476798848643</v>
      </c>
      <c r="AG55" s="175">
        <f t="shared" si="16"/>
        <v>4755.2298066223329</v>
      </c>
      <c r="AH55" s="244">
        <f t="shared" si="10"/>
        <v>4.9566616983615557</v>
      </c>
      <c r="AI55" s="195">
        <f t="shared" si="11"/>
        <v>0.60205564834110481</v>
      </c>
      <c r="AJ55" s="195">
        <f t="shared" si="12"/>
        <v>4.3546060500204513</v>
      </c>
      <c r="AK55" s="197">
        <f t="shared" si="13"/>
        <v>4.4399904823737977</v>
      </c>
      <c r="AM55" s="16"/>
      <c r="BH55" s="2"/>
      <c r="BI55" s="2"/>
    </row>
    <row r="56" spans="1:61" ht="13.8">
      <c r="A56" s="28" t="s">
        <v>328</v>
      </c>
      <c r="AA56" s="180">
        <f t="shared" si="8"/>
        <v>1113000000</v>
      </c>
      <c r="AB56" s="41">
        <f t="shared" si="14"/>
        <v>1325</v>
      </c>
      <c r="AC56" s="21">
        <v>53</v>
      </c>
      <c r="AD56" s="21" t="s">
        <v>283</v>
      </c>
      <c r="AE56" s="41">
        <f t="shared" si="9"/>
        <v>5505.9143747406688</v>
      </c>
      <c r="AF56" s="41">
        <f t="shared" si="15"/>
        <v>657.44476798848643</v>
      </c>
      <c r="AG56" s="175">
        <f t="shared" si="16"/>
        <v>4848.4696067521827</v>
      </c>
      <c r="AH56" s="244">
        <f t="shared" si="10"/>
        <v>4.9469131848523533</v>
      </c>
      <c r="AI56" s="195">
        <f t="shared" si="11"/>
        <v>0.59069610780636694</v>
      </c>
      <c r="AJ56" s="195">
        <f t="shared" si="12"/>
        <v>4.3562170770459865</v>
      </c>
      <c r="AK56" s="197">
        <f t="shared" si="13"/>
        <v>4.4399904823737977</v>
      </c>
      <c r="AM56" s="16"/>
      <c r="BH56" s="2"/>
      <c r="BI56" s="2"/>
    </row>
    <row r="57" spans="1:61">
      <c r="AA57" s="180">
        <f t="shared" si="8"/>
        <v>1134000000</v>
      </c>
      <c r="AB57" s="41">
        <f t="shared" si="14"/>
        <v>1350</v>
      </c>
      <c r="AC57" s="21">
        <v>54</v>
      </c>
      <c r="AD57" s="21" t="s">
        <v>283</v>
      </c>
      <c r="AE57" s="41">
        <f t="shared" si="9"/>
        <v>5599.1541748705185</v>
      </c>
      <c r="AF57" s="41">
        <f t="shared" si="15"/>
        <v>657.44476798848643</v>
      </c>
      <c r="AG57" s="175">
        <f t="shared" si="16"/>
        <v>4941.7094068820325</v>
      </c>
      <c r="AH57" s="244">
        <f t="shared" si="10"/>
        <v>4.9375257273990467</v>
      </c>
      <c r="AI57" s="195">
        <f t="shared" si="11"/>
        <v>0.57975729099513795</v>
      </c>
      <c r="AJ57" s="195">
        <f t="shared" si="12"/>
        <v>4.3577684364039087</v>
      </c>
      <c r="AK57" s="197">
        <f t="shared" si="13"/>
        <v>4.4399904823737977</v>
      </c>
      <c r="AM57" s="16"/>
      <c r="AS57" s="37"/>
      <c r="AT57" s="37"/>
      <c r="AU57" s="37"/>
      <c r="AV57" s="37"/>
      <c r="AW57" s="13"/>
      <c r="AX57" s="2"/>
      <c r="BH57" s="2"/>
      <c r="BI57" s="2"/>
    </row>
    <row r="58" spans="1:61">
      <c r="AA58" s="180">
        <f t="shared" si="8"/>
        <v>1155000000</v>
      </c>
      <c r="AB58" s="41">
        <f t="shared" ref="AB58" si="17">AB240</f>
        <v>1375</v>
      </c>
      <c r="AC58" s="21">
        <v>55</v>
      </c>
      <c r="AD58" s="21" t="s">
        <v>283</v>
      </c>
      <c r="AE58" s="41">
        <f t="shared" ref="AE58:AE121" si="18">SUM(AF58, AG58)</f>
        <v>5692.3939750003683</v>
      </c>
      <c r="AF58" s="41">
        <f t="shared" ref="AF58:AF121" si="19">SUM($AE$368:$AH$368,$BG$368)</f>
        <v>657.44476798848643</v>
      </c>
      <c r="AG58" s="175">
        <f t="shared" si="16"/>
        <v>5034.9492070118822</v>
      </c>
      <c r="AH58" s="244">
        <f t="shared" ref="AH58:AH121" si="20">SUM(AI58:AJ58)</f>
        <v>4.9284796320349509</v>
      </c>
      <c r="AI58" s="195">
        <f t="shared" ref="AI58:AI121" si="21">IFERROR(AF58/AA58,0)*1000000</f>
        <v>0.56921624934068082</v>
      </c>
      <c r="AJ58" s="195">
        <f t="shared" ref="AJ58:AJ121" si="22">IFERROR(AG58/AA58,0)*1000000</f>
        <v>4.3592633826942704</v>
      </c>
      <c r="AK58" s="197">
        <f t="shared" ref="AK58:AK121" si="23">IFERROR((AE58-AE57)/(AA58-AA57),0)*1000000</f>
        <v>4.4399904823737977</v>
      </c>
      <c r="AM58" s="16"/>
      <c r="AS58" s="37"/>
      <c r="AT58" s="37"/>
      <c r="AU58" s="37"/>
      <c r="AV58" s="37"/>
      <c r="AW58" s="13"/>
      <c r="AX58" s="2"/>
      <c r="BH58" s="2"/>
      <c r="BI58" s="2"/>
    </row>
    <row r="59" spans="1:61" ht="13.8">
      <c r="AA59" s="180">
        <f t="shared" si="8"/>
        <v>1176000000</v>
      </c>
      <c r="AB59" s="41">
        <f t="shared" ref="AB59" si="24">AB241</f>
        <v>1400</v>
      </c>
      <c r="AC59" s="21">
        <v>56</v>
      </c>
      <c r="AD59" s="21" t="s">
        <v>283</v>
      </c>
      <c r="AE59" s="41">
        <f t="shared" si="18"/>
        <v>5785.6337751302181</v>
      </c>
      <c r="AF59" s="41">
        <f t="shared" si="19"/>
        <v>657.44476798848643</v>
      </c>
      <c r="AG59" s="175">
        <f t="shared" si="16"/>
        <v>5128.189007141732</v>
      </c>
      <c r="AH59" s="244">
        <f t="shared" si="20"/>
        <v>4.9197566115052878</v>
      </c>
      <c r="AI59" s="195">
        <f t="shared" si="21"/>
        <v>0.55905167345959728</v>
      </c>
      <c r="AJ59" s="195">
        <f t="shared" si="22"/>
        <v>4.3607049380456901</v>
      </c>
      <c r="AK59" s="197">
        <f t="shared" si="23"/>
        <v>4.4399904823737977</v>
      </c>
      <c r="AT59" s="2"/>
      <c r="AU59" s="2"/>
      <c r="AV59" s="2"/>
      <c r="AW59" s="2"/>
      <c r="AX59" s="2"/>
      <c r="BH59" s="2"/>
      <c r="BI59" s="2"/>
    </row>
    <row r="60" spans="1:61" ht="13.8">
      <c r="AA60" s="180">
        <f t="shared" si="8"/>
        <v>1197000000</v>
      </c>
      <c r="AB60" s="41">
        <f t="shared" ref="AB60" si="25">AB242</f>
        <v>1425</v>
      </c>
      <c r="AC60" s="21">
        <v>57</v>
      </c>
      <c r="AD60" s="21" t="s">
        <v>283</v>
      </c>
      <c r="AE60" s="41">
        <f t="shared" si="18"/>
        <v>5878.8735752600678</v>
      </c>
      <c r="AF60" s="41">
        <f t="shared" si="19"/>
        <v>657.44476798848643</v>
      </c>
      <c r="AG60" s="175">
        <f t="shared" si="16"/>
        <v>5221.4288072715817</v>
      </c>
      <c r="AH60" s="244">
        <f t="shared" si="20"/>
        <v>4.911339661871402</v>
      </c>
      <c r="AI60" s="195">
        <f t="shared" si="21"/>
        <v>0.54924374936381493</v>
      </c>
      <c r="AJ60" s="195">
        <f t="shared" si="22"/>
        <v>4.3620959125075869</v>
      </c>
      <c r="AK60" s="197">
        <f t="shared" si="23"/>
        <v>4.4399904823737977</v>
      </c>
      <c r="AT60" s="2"/>
      <c r="AU60" s="2"/>
      <c r="AV60" s="2"/>
      <c r="AW60" s="2"/>
      <c r="AX60" s="2"/>
      <c r="BH60" s="2"/>
      <c r="BI60" s="2"/>
    </row>
    <row r="61" spans="1:61" ht="13.8">
      <c r="AA61" s="180">
        <f t="shared" si="8"/>
        <v>1218000000</v>
      </c>
      <c r="AB61" s="41">
        <f t="shared" ref="AB61" si="26">AB243</f>
        <v>1450</v>
      </c>
      <c r="AC61" s="21">
        <v>58</v>
      </c>
      <c r="AD61" s="21" t="s">
        <v>283</v>
      </c>
      <c r="AE61" s="41">
        <f t="shared" si="18"/>
        <v>5972.1133753899176</v>
      </c>
      <c r="AF61" s="41">
        <f t="shared" si="19"/>
        <v>657.44476798848643</v>
      </c>
      <c r="AG61" s="175">
        <f t="shared" si="16"/>
        <v>5314.6686074014315</v>
      </c>
      <c r="AH61" s="244">
        <f t="shared" si="20"/>
        <v>4.9032129518800645</v>
      </c>
      <c r="AI61" s="195">
        <f t="shared" si="21"/>
        <v>0.53977402954719744</v>
      </c>
      <c r="AJ61" s="195">
        <f t="shared" si="22"/>
        <v>4.3634389223328673</v>
      </c>
      <c r="AK61" s="197">
        <f t="shared" si="23"/>
        <v>4.4399904823737977</v>
      </c>
      <c r="AT61" s="2"/>
      <c r="AU61" s="2"/>
      <c r="AV61" s="2"/>
      <c r="AW61" s="2"/>
      <c r="AX61" s="2"/>
      <c r="BH61" s="2"/>
      <c r="BI61" s="2"/>
    </row>
    <row r="62" spans="1:61" ht="13.8">
      <c r="AA62" s="180">
        <f t="shared" si="8"/>
        <v>1239000000</v>
      </c>
      <c r="AB62" s="41">
        <f t="shared" ref="AB62" si="27">AB244</f>
        <v>1475</v>
      </c>
      <c r="AC62" s="21">
        <v>59</v>
      </c>
      <c r="AD62" s="21" t="s">
        <v>283</v>
      </c>
      <c r="AE62" s="41">
        <f t="shared" si="18"/>
        <v>6065.3531755197673</v>
      </c>
      <c r="AF62" s="41">
        <f t="shared" si="19"/>
        <v>657.44476798848643</v>
      </c>
      <c r="AG62" s="175">
        <f t="shared" si="16"/>
        <v>5407.9084075312812</v>
      </c>
      <c r="AH62" s="244">
        <f t="shared" si="20"/>
        <v>4.8953617235833482</v>
      </c>
      <c r="AI62" s="195">
        <f t="shared" si="21"/>
        <v>0.53062531718199057</v>
      </c>
      <c r="AJ62" s="195">
        <f t="shared" si="22"/>
        <v>4.3647364064013576</v>
      </c>
      <c r="AK62" s="197">
        <f t="shared" si="23"/>
        <v>4.4399904823737977</v>
      </c>
      <c r="AT62" s="2"/>
      <c r="AU62" s="2"/>
      <c r="AV62" s="2"/>
      <c r="AW62" s="2"/>
      <c r="AX62" s="2"/>
      <c r="BH62" s="2"/>
      <c r="BI62" s="2"/>
    </row>
    <row r="63" spans="1:61" ht="13.8">
      <c r="AA63" s="180">
        <f t="shared" si="8"/>
        <v>1260000000</v>
      </c>
      <c r="AB63" s="41">
        <f t="shared" ref="AB63" si="28">AB245</f>
        <v>1500</v>
      </c>
      <c r="AC63" s="21">
        <v>60</v>
      </c>
      <c r="AD63" s="21" t="s">
        <v>283</v>
      </c>
      <c r="AE63" s="41">
        <f t="shared" si="18"/>
        <v>6158.5929756496171</v>
      </c>
      <c r="AF63" s="41">
        <f t="shared" si="19"/>
        <v>657.44476798848643</v>
      </c>
      <c r="AG63" s="175">
        <f t="shared" si="16"/>
        <v>5501.148207661131</v>
      </c>
      <c r="AH63" s="244">
        <f t="shared" si="20"/>
        <v>4.8877722028965218</v>
      </c>
      <c r="AI63" s="195">
        <f t="shared" si="21"/>
        <v>0.52178156189562408</v>
      </c>
      <c r="AJ63" s="195">
        <f t="shared" si="22"/>
        <v>4.3659906410008977</v>
      </c>
      <c r="AK63" s="197">
        <f t="shared" si="23"/>
        <v>4.4399904823737977</v>
      </c>
      <c r="AT63" s="2"/>
      <c r="AU63" s="2"/>
      <c r="AV63" s="2"/>
      <c r="AW63" s="2"/>
      <c r="AX63" s="2"/>
      <c r="BH63" s="2"/>
      <c r="BI63" s="2"/>
    </row>
    <row r="64" spans="1:61" ht="13.8">
      <c r="AA64" s="180">
        <f t="shared" si="8"/>
        <v>1281000000</v>
      </c>
      <c r="AB64" s="41">
        <f t="shared" ref="AB64" si="29">AB246</f>
        <v>1525</v>
      </c>
      <c r="AC64" s="21">
        <v>61</v>
      </c>
      <c r="AD64" s="21" t="s">
        <v>283</v>
      </c>
      <c r="AE64" s="41">
        <f t="shared" si="18"/>
        <v>6251.8327757794668</v>
      </c>
      <c r="AF64" s="41">
        <f t="shared" si="19"/>
        <v>657.44476798848643</v>
      </c>
      <c r="AG64" s="175">
        <f t="shared" si="16"/>
        <v>5594.3880077909807</v>
      </c>
      <c r="AH64" s="244">
        <f t="shared" si="20"/>
        <v>4.880431518953527</v>
      </c>
      <c r="AI64" s="195">
        <f t="shared" si="21"/>
        <v>0.51322776579897456</v>
      </c>
      <c r="AJ64" s="195">
        <f t="shared" si="22"/>
        <v>4.367203753154552</v>
      </c>
      <c r="AK64" s="197">
        <f t="shared" si="23"/>
        <v>4.4399904823737977</v>
      </c>
      <c r="AT64" s="2"/>
      <c r="AU64" s="2"/>
      <c r="AV64" s="2"/>
      <c r="AW64" s="2"/>
      <c r="AX64" s="2"/>
      <c r="BH64" s="2"/>
      <c r="BI64" s="2"/>
    </row>
    <row r="65" spans="1:75" ht="13.8">
      <c r="AA65" s="180">
        <f t="shared" si="8"/>
        <v>1302000000</v>
      </c>
      <c r="AB65" s="41">
        <f t="shared" ref="AB65" si="30">AB247</f>
        <v>1550</v>
      </c>
      <c r="AC65" s="21">
        <v>62</v>
      </c>
      <c r="AD65" s="21" t="s">
        <v>283</v>
      </c>
      <c r="AE65" s="41">
        <f t="shared" si="18"/>
        <v>6345.0725759093166</v>
      </c>
      <c r="AF65" s="41">
        <f t="shared" si="19"/>
        <v>657.44476798848643</v>
      </c>
      <c r="AG65" s="175">
        <f t="shared" si="16"/>
        <v>5687.6278079208305</v>
      </c>
      <c r="AH65" s="244">
        <f t="shared" si="20"/>
        <v>4.8733276312667568</v>
      </c>
      <c r="AI65" s="195">
        <f t="shared" si="21"/>
        <v>0.50494989860866857</v>
      </c>
      <c r="AJ65" s="195">
        <f t="shared" si="22"/>
        <v>4.3683777326580886</v>
      </c>
      <c r="AK65" s="197">
        <f t="shared" si="23"/>
        <v>4.4399904823737977</v>
      </c>
      <c r="BH65" s="2"/>
      <c r="BI65" s="2"/>
    </row>
    <row r="66" spans="1:75" ht="13.8">
      <c r="AA66" s="180">
        <f t="shared" si="8"/>
        <v>1323000000</v>
      </c>
      <c r="AB66" s="41">
        <f t="shared" ref="AB66" si="31">AB248</f>
        <v>1575</v>
      </c>
      <c r="AC66" s="21">
        <v>63</v>
      </c>
      <c r="AD66" s="21" t="s">
        <v>283</v>
      </c>
      <c r="AE66" s="41">
        <f t="shared" si="18"/>
        <v>6438.3123760391663</v>
      </c>
      <c r="AF66" s="41">
        <f t="shared" si="19"/>
        <v>657.44476798848643</v>
      </c>
      <c r="AG66" s="175">
        <f t="shared" si="16"/>
        <v>5780.8676080506802</v>
      </c>
      <c r="AH66" s="244">
        <f t="shared" si="20"/>
        <v>4.8664492638240109</v>
      </c>
      <c r="AI66" s="195">
        <f t="shared" si="21"/>
        <v>0.49693482085297536</v>
      </c>
      <c r="AJ66" s="195">
        <f t="shared" si="22"/>
        <v>4.3695144429710355</v>
      </c>
      <c r="AK66" s="197">
        <f t="shared" si="23"/>
        <v>4.4399904823737977</v>
      </c>
      <c r="BH66" s="2"/>
      <c r="BI66" s="2"/>
    </row>
    <row r="67" spans="1:75" ht="13.8">
      <c r="A67" s="2"/>
      <c r="AA67" s="180">
        <f t="shared" si="8"/>
        <v>1344000000</v>
      </c>
      <c r="AB67" s="41">
        <f t="shared" ref="AB67" si="32">AB249</f>
        <v>1600</v>
      </c>
      <c r="AC67" s="21">
        <v>64</v>
      </c>
      <c r="AD67" s="21" t="s">
        <v>283</v>
      </c>
      <c r="AE67" s="41">
        <f t="shared" si="18"/>
        <v>6531.5521761690161</v>
      </c>
      <c r="AF67" s="41">
        <f t="shared" si="19"/>
        <v>657.44476798848643</v>
      </c>
      <c r="AG67" s="175">
        <f t="shared" si="16"/>
        <v>5874.10740818053</v>
      </c>
      <c r="AH67" s="244">
        <f t="shared" si="20"/>
        <v>4.8597858453638514</v>
      </c>
      <c r="AI67" s="195">
        <f t="shared" si="21"/>
        <v>0.48917021427714769</v>
      </c>
      <c r="AJ67" s="195">
        <f t="shared" si="22"/>
        <v>4.3706156310867037</v>
      </c>
      <c r="AK67" s="197">
        <f t="shared" si="23"/>
        <v>4.4399904823737977</v>
      </c>
      <c r="BH67" s="2"/>
      <c r="BI67" s="2"/>
    </row>
    <row r="68" spans="1:75" ht="13.8">
      <c r="A68" s="2"/>
      <c r="AA68" s="180">
        <f t="shared" si="8"/>
        <v>1365000000</v>
      </c>
      <c r="AB68" s="41">
        <f t="shared" ref="AB68" si="33">AB250</f>
        <v>1625</v>
      </c>
      <c r="AC68" s="21">
        <v>65</v>
      </c>
      <c r="AD68" s="21" t="s">
        <v>283</v>
      </c>
      <c r="AE68" s="41">
        <f t="shared" si="18"/>
        <v>6624.7919762988658</v>
      </c>
      <c r="AF68" s="41">
        <f t="shared" si="19"/>
        <v>657.44476798848643</v>
      </c>
      <c r="AG68" s="175">
        <f t="shared" si="16"/>
        <v>5967.3472083103798</v>
      </c>
      <c r="AH68" s="244">
        <f t="shared" si="20"/>
        <v>4.8533274551640044</v>
      </c>
      <c r="AI68" s="195">
        <f t="shared" si="21"/>
        <v>0.48164451867288383</v>
      </c>
      <c r="AJ68" s="195">
        <f t="shared" si="22"/>
        <v>4.3716829364911209</v>
      </c>
      <c r="AK68" s="197">
        <f t="shared" si="23"/>
        <v>4.4399904823737977</v>
      </c>
      <c r="BH68" s="2"/>
      <c r="BI68" s="2"/>
    </row>
    <row r="69" spans="1:75" ht="13.8">
      <c r="A69" s="2"/>
      <c r="AA69" s="180">
        <f t="shared" si="8"/>
        <v>1386000000</v>
      </c>
      <c r="AB69" s="41">
        <f t="shared" ref="AB69" si="34">AB251</f>
        <v>1650</v>
      </c>
      <c r="AC69" s="21">
        <v>66</v>
      </c>
      <c r="AD69" s="21" t="s">
        <v>283</v>
      </c>
      <c r="AE69" s="41">
        <f t="shared" si="18"/>
        <v>6718.0317764287156</v>
      </c>
      <c r="AF69" s="41">
        <f t="shared" si="19"/>
        <v>657.44476798848643</v>
      </c>
      <c r="AG69" s="175">
        <f t="shared" ref="AG69:AG100" si="35">AG68+SUM(AE433:AF433,BG433)</f>
        <v>6060.5870084402295</v>
      </c>
      <c r="AH69" s="244">
        <f t="shared" si="20"/>
        <v>4.8470647737580927</v>
      </c>
      <c r="AI69" s="195">
        <f t="shared" si="21"/>
        <v>0.47434687445056745</v>
      </c>
      <c r="AJ69" s="195">
        <f t="shared" si="22"/>
        <v>4.3727178993075251</v>
      </c>
      <c r="AK69" s="197">
        <f t="shared" si="23"/>
        <v>4.4399904823737977</v>
      </c>
      <c r="BH69" s="2"/>
      <c r="BI69" s="2"/>
    </row>
    <row r="70" spans="1:75" ht="13.8">
      <c r="A70" s="2"/>
      <c r="AA70" s="180">
        <f t="shared" si="8"/>
        <v>1407000000</v>
      </c>
      <c r="AB70" s="41">
        <f t="shared" ref="AB70" si="36">AB252</f>
        <v>1675</v>
      </c>
      <c r="AC70" s="21">
        <v>67</v>
      </c>
      <c r="AD70" s="21" t="s">
        <v>283</v>
      </c>
      <c r="AE70" s="41">
        <f t="shared" si="18"/>
        <v>6811.2715765585654</v>
      </c>
      <c r="AF70" s="41">
        <f t="shared" si="19"/>
        <v>657.44476798848643</v>
      </c>
      <c r="AG70" s="175">
        <f t="shared" si="35"/>
        <v>6153.8268085700793</v>
      </c>
      <c r="AH70" s="244">
        <f t="shared" si="20"/>
        <v>4.8409890380657892</v>
      </c>
      <c r="AI70" s="195">
        <f t="shared" si="21"/>
        <v>0.46726707035429033</v>
      </c>
      <c r="AJ70" s="195">
        <f t="shared" si="22"/>
        <v>4.3737219677114991</v>
      </c>
      <c r="AK70" s="197">
        <f t="shared" si="23"/>
        <v>4.4399904823737977</v>
      </c>
      <c r="BH70" s="2"/>
      <c r="BI70" s="2"/>
    </row>
    <row r="71" spans="1:75" ht="13.8">
      <c r="AA71" s="180">
        <f t="shared" si="8"/>
        <v>1428000000</v>
      </c>
      <c r="AB71" s="41">
        <f t="shared" ref="AB71" si="37">AB253</f>
        <v>1700</v>
      </c>
      <c r="AC71" s="21">
        <v>68</v>
      </c>
      <c r="AD71" s="21" t="s">
        <v>283</v>
      </c>
      <c r="AE71" s="41">
        <f t="shared" si="18"/>
        <v>6904.5113766884151</v>
      </c>
      <c r="AF71" s="41">
        <f t="shared" si="19"/>
        <v>657.44476798848643</v>
      </c>
      <c r="AG71" s="175">
        <f t="shared" si="35"/>
        <v>6247.066608699929</v>
      </c>
      <c r="AH71" s="244">
        <f t="shared" si="20"/>
        <v>4.8350920004820841</v>
      </c>
      <c r="AI71" s="195">
        <f t="shared" si="21"/>
        <v>0.46039549579025663</v>
      </c>
      <c r="AJ71" s="195">
        <f t="shared" si="22"/>
        <v>4.3746965046918271</v>
      </c>
      <c r="AK71" s="197">
        <f t="shared" si="23"/>
        <v>4.4399904823737977</v>
      </c>
      <c r="BH71" s="2"/>
      <c r="BI71" s="2"/>
    </row>
    <row r="72" spans="1:75" ht="13.8">
      <c r="AA72" s="180">
        <f t="shared" ref="AA72:AA135" si="38">AA71+$AA$4</f>
        <v>1449000000</v>
      </c>
      <c r="AB72" s="41">
        <f t="shared" ref="AB72" si="39">AB254</f>
        <v>1725</v>
      </c>
      <c r="AC72" s="21">
        <v>69</v>
      </c>
      <c r="AD72" s="21" t="s">
        <v>283</v>
      </c>
      <c r="AE72" s="41">
        <f t="shared" si="18"/>
        <v>6997.7511768182649</v>
      </c>
      <c r="AF72" s="41">
        <f t="shared" si="19"/>
        <v>657.44476798848643</v>
      </c>
      <c r="AG72" s="175">
        <f t="shared" si="35"/>
        <v>6340.3064088297788</v>
      </c>
      <c r="AH72" s="244">
        <f t="shared" si="20"/>
        <v>4.8293658915239925</v>
      </c>
      <c r="AI72" s="195">
        <f t="shared" si="21"/>
        <v>0.45372309730054272</v>
      </c>
      <c r="AJ72" s="195">
        <f t="shared" si="22"/>
        <v>4.3756427942234497</v>
      </c>
      <c r="AK72" s="197">
        <f t="shared" si="23"/>
        <v>4.4399904823737977</v>
      </c>
      <c r="BH72" s="2"/>
      <c r="BI72" s="2"/>
    </row>
    <row r="73" spans="1:75" ht="13.8">
      <c r="AA73" s="180">
        <f t="shared" si="38"/>
        <v>1470000000</v>
      </c>
      <c r="AB73" s="41">
        <f t="shared" ref="AB73" si="40">AB255</f>
        <v>1750</v>
      </c>
      <c r="AC73" s="21">
        <v>70</v>
      </c>
      <c r="AD73" s="21" t="s">
        <v>283</v>
      </c>
      <c r="AE73" s="41">
        <f t="shared" si="18"/>
        <v>7090.9909769481146</v>
      </c>
      <c r="AF73" s="41">
        <f t="shared" si="19"/>
        <v>657.44476798848643</v>
      </c>
      <c r="AG73" s="175">
        <f t="shared" si="35"/>
        <v>6433.5462089596285</v>
      </c>
      <c r="AH73" s="244">
        <f t="shared" si="20"/>
        <v>4.8238033856789899</v>
      </c>
      <c r="AI73" s="195">
        <f t="shared" si="21"/>
        <v>0.44724133876767785</v>
      </c>
      <c r="AJ73" s="195">
        <f t="shared" si="22"/>
        <v>4.376562046911312</v>
      </c>
      <c r="AK73" s="197">
        <f t="shared" si="23"/>
        <v>4.4399904823737977</v>
      </c>
      <c r="BH73" s="2"/>
      <c r="BI73" s="2"/>
    </row>
    <row r="74" spans="1:75" ht="13.8">
      <c r="AA74" s="180">
        <f t="shared" si="38"/>
        <v>1491000000</v>
      </c>
      <c r="AB74" s="41">
        <f t="shared" ref="AB74" si="41">AB256</f>
        <v>1775</v>
      </c>
      <c r="AC74" s="21">
        <v>71</v>
      </c>
      <c r="AD74" s="21" t="s">
        <v>283</v>
      </c>
      <c r="AE74" s="41">
        <f t="shared" si="18"/>
        <v>7184.2307770779644</v>
      </c>
      <c r="AF74" s="41">
        <f t="shared" si="19"/>
        <v>657.44476798848643</v>
      </c>
      <c r="AG74" s="175">
        <f t="shared" si="35"/>
        <v>6526.7860090894783</v>
      </c>
      <c r="AH74" s="244">
        <f t="shared" si="20"/>
        <v>4.8183975701394806</v>
      </c>
      <c r="AI74" s="195">
        <f t="shared" si="21"/>
        <v>0.44094216498221761</v>
      </c>
      <c r="AJ74" s="195">
        <f t="shared" si="22"/>
        <v>4.3774554051572627</v>
      </c>
      <c r="AK74" s="197">
        <f t="shared" si="23"/>
        <v>4.4399904823737977</v>
      </c>
      <c r="BH74" s="2"/>
      <c r="BI74" s="2"/>
    </row>
    <row r="75" spans="1:75">
      <c r="D75"/>
      <c r="E75" s="37"/>
      <c r="F75" s="37"/>
      <c r="G75" s="37"/>
      <c r="H75" s="37"/>
      <c r="I75" s="37"/>
      <c r="J75" s="37"/>
      <c r="K75" s="37"/>
      <c r="AA75" s="180">
        <f t="shared" si="38"/>
        <v>1512000000</v>
      </c>
      <c r="AB75" s="41">
        <f t="shared" ref="AB75" si="42">AB257</f>
        <v>1800</v>
      </c>
      <c r="AC75" s="21">
        <v>72</v>
      </c>
      <c r="AD75" s="21" t="s">
        <v>283</v>
      </c>
      <c r="AE75" s="41">
        <f t="shared" si="18"/>
        <v>7277.4705772078141</v>
      </c>
      <c r="AF75" s="41">
        <f t="shared" si="19"/>
        <v>657.44476798848643</v>
      </c>
      <c r="AG75" s="175">
        <f t="shared" si="35"/>
        <v>6620.025809219328</v>
      </c>
      <c r="AH75" s="244">
        <f t="shared" si="20"/>
        <v>4.813141916142734</v>
      </c>
      <c r="AI75" s="195">
        <f t="shared" si="21"/>
        <v>0.43481796824635344</v>
      </c>
      <c r="AJ75" s="195">
        <f t="shared" si="22"/>
        <v>4.3783239478963809</v>
      </c>
      <c r="AK75" s="197">
        <f t="shared" si="23"/>
        <v>4.4399904823737977</v>
      </c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</row>
    <row r="76" spans="1:75">
      <c r="D76"/>
      <c r="E76" s="37"/>
      <c r="F76" s="37"/>
      <c r="G76" s="37"/>
      <c r="H76" s="37"/>
      <c r="I76" s="37"/>
      <c r="J76" s="37"/>
      <c r="K76" s="37"/>
      <c r="AA76" s="180">
        <f t="shared" si="38"/>
        <v>1533000000</v>
      </c>
      <c r="AB76" s="41">
        <f t="shared" ref="AB76" si="43">AB258</f>
        <v>1825</v>
      </c>
      <c r="AC76" s="21">
        <v>73</v>
      </c>
      <c r="AD76" s="21" t="s">
        <v>283</v>
      </c>
      <c r="AE76" s="41">
        <f t="shared" si="18"/>
        <v>7370.7103773376639</v>
      </c>
      <c r="AF76" s="41">
        <f t="shared" si="19"/>
        <v>657.44476798848643</v>
      </c>
      <c r="AG76" s="175">
        <f t="shared" si="35"/>
        <v>6713.2656093491778</v>
      </c>
      <c r="AH76" s="244">
        <f t="shared" si="20"/>
        <v>4.8080302526664482</v>
      </c>
      <c r="AI76" s="195">
        <f t="shared" si="21"/>
        <v>0.42886155772243084</v>
      </c>
      <c r="AJ76" s="195">
        <f t="shared" si="22"/>
        <v>4.3791686949440169</v>
      </c>
      <c r="AK76" s="197">
        <f t="shared" si="23"/>
        <v>4.4399904823737977</v>
      </c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</row>
    <row r="77" spans="1:75">
      <c r="D77"/>
      <c r="E77" s="37"/>
      <c r="F77" s="37"/>
      <c r="G77" s="37"/>
      <c r="H77" s="37"/>
      <c r="I77" s="37"/>
      <c r="J77" s="37"/>
      <c r="K77" s="37"/>
      <c r="AA77" s="180">
        <f t="shared" si="38"/>
        <v>1554000000</v>
      </c>
      <c r="AB77" s="41">
        <f t="shared" ref="AB77" si="44">AB259</f>
        <v>1850</v>
      </c>
      <c r="AC77" s="21">
        <v>74</v>
      </c>
      <c r="AD77" s="21" t="s">
        <v>283</v>
      </c>
      <c r="AE77" s="41">
        <f t="shared" si="18"/>
        <v>7463.9501774675136</v>
      </c>
      <c r="AF77" s="41">
        <f t="shared" si="19"/>
        <v>657.44476798848643</v>
      </c>
      <c r="AG77" s="175">
        <f t="shared" si="35"/>
        <v>6806.5054094790275</v>
      </c>
      <c r="AH77" s="244">
        <f t="shared" si="20"/>
        <v>4.8030567422570876</v>
      </c>
      <c r="AI77" s="195">
        <f t="shared" si="21"/>
        <v>0.42306613126672227</v>
      </c>
      <c r="AJ77" s="195">
        <f t="shared" si="22"/>
        <v>4.3799906109903652</v>
      </c>
      <c r="AK77" s="197">
        <f t="shared" si="23"/>
        <v>4.4399904823737977</v>
      </c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</row>
    <row r="78" spans="1:75">
      <c r="D78"/>
      <c r="E78" s="37"/>
      <c r="F78" s="37"/>
      <c r="G78" s="37"/>
      <c r="H78" s="37"/>
      <c r="I78" s="37"/>
      <c r="J78" s="37"/>
      <c r="K78" s="37"/>
      <c r="AA78" s="180">
        <f t="shared" si="38"/>
        <v>1575000000</v>
      </c>
      <c r="AB78" s="41">
        <f t="shared" ref="AB78" si="45">AB260</f>
        <v>1875</v>
      </c>
      <c r="AC78" s="21">
        <v>75</v>
      </c>
      <c r="AD78" s="21" t="s">
        <v>283</v>
      </c>
      <c r="AE78" s="41">
        <f t="shared" si="18"/>
        <v>7557.1899775973634</v>
      </c>
      <c r="AF78" s="41">
        <f t="shared" si="19"/>
        <v>657.44476798848643</v>
      </c>
      <c r="AG78" s="175">
        <f t="shared" si="35"/>
        <v>6899.7452096088773</v>
      </c>
      <c r="AH78" s="244">
        <f t="shared" si="20"/>
        <v>4.798215858791977</v>
      </c>
      <c r="AI78" s="195">
        <f t="shared" si="21"/>
        <v>0.41742524951649934</v>
      </c>
      <c r="AJ78" s="195">
        <f t="shared" si="22"/>
        <v>4.3807906092754774</v>
      </c>
      <c r="AK78" s="197">
        <f t="shared" si="23"/>
        <v>4.4399904823737977</v>
      </c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</row>
    <row r="79" spans="1:75">
      <c r="D79"/>
      <c r="E79" s="37"/>
      <c r="F79" s="37"/>
      <c r="G79" s="37"/>
      <c r="H79" s="37"/>
      <c r="I79" s="37"/>
      <c r="J79" s="37"/>
      <c r="K79" s="37"/>
      <c r="AA79" s="180">
        <f t="shared" si="38"/>
        <v>1596000000</v>
      </c>
      <c r="AB79" s="41">
        <f t="shared" ref="AB79" si="46">AB261</f>
        <v>1900</v>
      </c>
      <c r="AC79" s="21">
        <v>76</v>
      </c>
      <c r="AD79" s="21" t="s">
        <v>283</v>
      </c>
      <c r="AE79" s="41">
        <f t="shared" si="18"/>
        <v>7650.4297777272131</v>
      </c>
      <c r="AF79" s="41">
        <f t="shared" si="19"/>
        <v>657.44476798848643</v>
      </c>
      <c r="AG79" s="175">
        <f t="shared" si="35"/>
        <v>6992.9850097387271</v>
      </c>
      <c r="AH79" s="244">
        <f t="shared" si="20"/>
        <v>4.7935023669970001</v>
      </c>
      <c r="AI79" s="195">
        <f t="shared" si="21"/>
        <v>0.41193281202286114</v>
      </c>
      <c r="AJ79" s="195">
        <f t="shared" si="22"/>
        <v>4.3815695549741394</v>
      </c>
      <c r="AK79" s="197">
        <f t="shared" si="23"/>
        <v>4.4399904823737977</v>
      </c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</row>
    <row r="80" spans="1:75">
      <c r="D80"/>
      <c r="E80" s="37"/>
      <c r="F80" s="37"/>
      <c r="G80" s="37"/>
      <c r="H80" s="37"/>
      <c r="I80" s="37"/>
      <c r="J80" s="37"/>
      <c r="K80" s="37"/>
      <c r="AA80" s="180">
        <f t="shared" si="38"/>
        <v>1617000000</v>
      </c>
      <c r="AB80" s="41">
        <f t="shared" ref="AB80" si="47">AB262</f>
        <v>1925</v>
      </c>
      <c r="AC80" s="21">
        <v>77</v>
      </c>
      <c r="AD80" s="21" t="s">
        <v>283</v>
      </c>
      <c r="AE80" s="41">
        <f t="shared" si="18"/>
        <v>7743.6695778570629</v>
      </c>
      <c r="AF80" s="41">
        <f t="shared" si="19"/>
        <v>657.44476798848643</v>
      </c>
      <c r="AG80" s="175">
        <f t="shared" si="35"/>
        <v>7086.2248098685768</v>
      </c>
      <c r="AH80" s="244">
        <f t="shared" si="20"/>
        <v>4.7889113035603366</v>
      </c>
      <c r="AI80" s="195">
        <f t="shared" si="21"/>
        <v>0.40658303524334349</v>
      </c>
      <c r="AJ80" s="195">
        <f t="shared" si="22"/>
        <v>4.3823282683169928</v>
      </c>
      <c r="AK80" s="197">
        <f t="shared" si="23"/>
        <v>4.4399904823737977</v>
      </c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</row>
    <row r="81" spans="4:75">
      <c r="D81"/>
      <c r="E81" s="37"/>
      <c r="F81" s="37"/>
      <c r="G81" s="37"/>
      <c r="H81" s="37"/>
      <c r="I81" s="37"/>
      <c r="J81" s="37"/>
      <c r="K81" s="37"/>
      <c r="AA81" s="180">
        <f t="shared" si="38"/>
        <v>1638000000</v>
      </c>
      <c r="AB81" s="41">
        <f t="shared" ref="AB81" si="48">AB263</f>
        <v>1950</v>
      </c>
      <c r="AC81" s="21">
        <v>78</v>
      </c>
      <c r="AD81" s="21" t="s">
        <v>283</v>
      </c>
      <c r="AE81" s="41">
        <f t="shared" si="18"/>
        <v>7836.9093779869127</v>
      </c>
      <c r="AF81" s="41">
        <f t="shared" si="19"/>
        <v>657.44476798848643</v>
      </c>
      <c r="AG81" s="175">
        <f t="shared" si="35"/>
        <v>7179.4646099984266</v>
      </c>
      <c r="AH81" s="244">
        <f t="shared" si="20"/>
        <v>4.7844379596989706</v>
      </c>
      <c r="AI81" s="195">
        <f t="shared" si="21"/>
        <v>0.40137043222740321</v>
      </c>
      <c r="AJ81" s="195">
        <f t="shared" si="22"/>
        <v>4.3830675274715674</v>
      </c>
      <c r="AK81" s="197">
        <f t="shared" si="23"/>
        <v>4.4399904823737977</v>
      </c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</row>
    <row r="82" spans="4:75" ht="14.4" customHeight="1">
      <c r="D82"/>
      <c r="E82" s="37"/>
      <c r="F82" s="37"/>
      <c r="G82" s="37"/>
      <c r="H82" s="37"/>
      <c r="I82" s="37"/>
      <c r="J82" s="37"/>
      <c r="K82" s="37"/>
      <c r="AA82" s="180">
        <f t="shared" si="38"/>
        <v>1659000000</v>
      </c>
      <c r="AB82" s="41">
        <f t="shared" ref="AB82" si="49">AB264</f>
        <v>1975</v>
      </c>
      <c r="AC82" s="21">
        <v>79</v>
      </c>
      <c r="AD82" s="21" t="s">
        <v>283</v>
      </c>
      <c r="AE82" s="41">
        <f t="shared" si="18"/>
        <v>7930.1491781167624</v>
      </c>
      <c r="AF82" s="41">
        <f t="shared" si="19"/>
        <v>657.44476798848643</v>
      </c>
      <c r="AG82" s="175">
        <f t="shared" si="35"/>
        <v>7272.7044101282763</v>
      </c>
      <c r="AH82" s="244">
        <f t="shared" si="20"/>
        <v>4.7800778650492841</v>
      </c>
      <c r="AI82" s="195">
        <f t="shared" si="21"/>
        <v>0.3962897938447778</v>
      </c>
      <c r="AJ82" s="195">
        <f t="shared" si="22"/>
        <v>4.3837880712045063</v>
      </c>
      <c r="AK82" s="197">
        <f t="shared" si="23"/>
        <v>4.4399904823737977</v>
      </c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</row>
    <row r="83" spans="4:75">
      <c r="D83"/>
      <c r="E83" s="37"/>
      <c r="F83" s="37"/>
      <c r="G83" s="37"/>
      <c r="H83" s="37"/>
      <c r="I83" s="37"/>
      <c r="J83" s="37"/>
      <c r="K83" s="37"/>
      <c r="AA83" s="180">
        <f t="shared" si="38"/>
        <v>1680000000</v>
      </c>
      <c r="AB83" s="41">
        <f t="shared" ref="AB83" si="50">AB265</f>
        <v>2000</v>
      </c>
      <c r="AC83" s="21">
        <v>80</v>
      </c>
      <c r="AD83" s="21" t="s">
        <v>283</v>
      </c>
      <c r="AE83" s="41">
        <f t="shared" si="18"/>
        <v>8023.3889782466122</v>
      </c>
      <c r="AF83" s="41">
        <f t="shared" si="19"/>
        <v>657.44476798848643</v>
      </c>
      <c r="AG83" s="175">
        <f t="shared" si="35"/>
        <v>7365.9442102581261</v>
      </c>
      <c r="AH83" s="244">
        <f t="shared" si="20"/>
        <v>4.775826772765841</v>
      </c>
      <c r="AI83" s="195">
        <f t="shared" si="21"/>
        <v>0.39133617142171812</v>
      </c>
      <c r="AJ83" s="195">
        <f t="shared" si="22"/>
        <v>4.3844906013441225</v>
      </c>
      <c r="AK83" s="197">
        <f t="shared" si="23"/>
        <v>4.4399904823737977</v>
      </c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</row>
    <row r="84" spans="4:75">
      <c r="D84"/>
      <c r="E84" s="37"/>
      <c r="F84" s="37"/>
      <c r="G84" s="37"/>
      <c r="H84" s="37"/>
      <c r="I84" s="37"/>
      <c r="J84" s="37"/>
      <c r="K84" s="37"/>
      <c r="AA84" s="180">
        <f t="shared" si="38"/>
        <v>1701000000</v>
      </c>
      <c r="AB84" s="41">
        <f t="shared" ref="AB84" si="51">AB266</f>
        <v>2025</v>
      </c>
      <c r="AC84" s="21">
        <v>81</v>
      </c>
      <c r="AD84" s="21" t="s">
        <v>283</v>
      </c>
      <c r="AE84" s="41">
        <f t="shared" si="18"/>
        <v>8116.6287783764619</v>
      </c>
      <c r="AF84" s="41">
        <f t="shared" si="19"/>
        <v>657.44476798848643</v>
      </c>
      <c r="AG84" s="175">
        <f t="shared" si="35"/>
        <v>7459.1840103879758</v>
      </c>
      <c r="AH84" s="244">
        <f t="shared" si="20"/>
        <v>4.771680645723964</v>
      </c>
      <c r="AI84" s="195">
        <f t="shared" si="21"/>
        <v>0.38650486066342532</v>
      </c>
      <c r="AJ84" s="195">
        <f t="shared" si="22"/>
        <v>4.3851757850605386</v>
      </c>
      <c r="AK84" s="197">
        <f t="shared" si="23"/>
        <v>4.4399904823737977</v>
      </c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</row>
    <row r="85" spans="4:75">
      <c r="D85"/>
      <c r="E85" s="37"/>
      <c r="F85" s="37"/>
      <c r="G85" s="37"/>
      <c r="H85" s="37"/>
      <c r="I85" s="37"/>
      <c r="J85" s="37"/>
      <c r="K85" s="37"/>
      <c r="AA85" s="180">
        <f t="shared" si="38"/>
        <v>1722000000</v>
      </c>
      <c r="AB85" s="41">
        <f t="shared" ref="AB85" si="52">AB267</f>
        <v>2050</v>
      </c>
      <c r="AC85" s="21">
        <v>82</v>
      </c>
      <c r="AD85" s="21" t="s">
        <v>283</v>
      </c>
      <c r="AE85" s="41">
        <f t="shared" si="18"/>
        <v>8209.8685785063117</v>
      </c>
      <c r="AF85" s="41">
        <f t="shared" si="19"/>
        <v>657.44476798848643</v>
      </c>
      <c r="AG85" s="175">
        <f t="shared" si="35"/>
        <v>7552.4238105178256</v>
      </c>
      <c r="AH85" s="244">
        <f t="shared" si="20"/>
        <v>4.7676356437318894</v>
      </c>
      <c r="AI85" s="195">
        <f t="shared" si="21"/>
        <v>0.3817913867528957</v>
      </c>
      <c r="AJ85" s="195">
        <f t="shared" si="22"/>
        <v>4.3858442569789933</v>
      </c>
      <c r="AK85" s="197">
        <f t="shared" si="23"/>
        <v>4.4399904823737977</v>
      </c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</row>
    <row r="86" spans="4:75">
      <c r="D86"/>
      <c r="E86" s="37"/>
      <c r="F86" s="37"/>
      <c r="G86" s="37"/>
      <c r="H86" s="37"/>
      <c r="I86" s="37"/>
      <c r="J86" s="37"/>
      <c r="K86" s="37"/>
      <c r="AA86" s="180">
        <f t="shared" si="38"/>
        <v>1743000000</v>
      </c>
      <c r="AB86" s="41">
        <f t="shared" ref="AB86" si="53">AB268</f>
        <v>2075</v>
      </c>
      <c r="AC86" s="21">
        <v>83</v>
      </c>
      <c r="AD86" s="21" t="s">
        <v>283</v>
      </c>
      <c r="AE86" s="41">
        <f t="shared" si="18"/>
        <v>8303.1083786361614</v>
      </c>
      <c r="AF86" s="41">
        <f t="shared" si="19"/>
        <v>657.44476798848643</v>
      </c>
      <c r="AG86" s="175">
        <f t="shared" si="35"/>
        <v>7645.6636106476753</v>
      </c>
      <c r="AH86" s="244">
        <f t="shared" si="20"/>
        <v>4.7636881116673333</v>
      </c>
      <c r="AI86" s="195">
        <f t="shared" si="21"/>
        <v>0.37719149052695722</v>
      </c>
      <c r="AJ86" s="195">
        <f t="shared" si="22"/>
        <v>4.3864966211403758</v>
      </c>
      <c r="AK86" s="197">
        <f t="shared" si="23"/>
        <v>4.4399904823737977</v>
      </c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</row>
    <row r="87" spans="4:75">
      <c r="D87"/>
      <c r="E87" s="37"/>
      <c r="F87" s="37"/>
      <c r="G87" s="37"/>
      <c r="H87" s="37"/>
      <c r="I87" s="37"/>
      <c r="J87" s="37"/>
      <c r="K87" s="37"/>
      <c r="AA87" s="180">
        <f t="shared" si="38"/>
        <v>1764000000</v>
      </c>
      <c r="AB87" s="41">
        <f t="shared" ref="AB87" si="54">AB269</f>
        <v>2100</v>
      </c>
      <c r="AC87" s="21">
        <v>84</v>
      </c>
      <c r="AD87" s="21" t="s">
        <v>283</v>
      </c>
      <c r="AE87" s="41">
        <f t="shared" si="18"/>
        <v>8396.3481787660112</v>
      </c>
      <c r="AF87" s="41">
        <f t="shared" si="19"/>
        <v>657.44476798848643</v>
      </c>
      <c r="AG87" s="175">
        <f t="shared" si="35"/>
        <v>7738.9034107775251</v>
      </c>
      <c r="AH87" s="244">
        <f t="shared" si="20"/>
        <v>4.7598345684614571</v>
      </c>
      <c r="AI87" s="195">
        <f t="shared" si="21"/>
        <v>0.37270111563973157</v>
      </c>
      <c r="AJ87" s="195">
        <f t="shared" si="22"/>
        <v>4.3871334528217254</v>
      </c>
      <c r="AK87" s="197">
        <f t="shared" si="23"/>
        <v>4.4399904823737977</v>
      </c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</row>
    <row r="88" spans="4:75">
      <c r="D88"/>
      <c r="E88" s="37"/>
      <c r="F88" s="37"/>
      <c r="G88" s="37"/>
      <c r="H88" s="37"/>
      <c r="I88" s="37"/>
      <c r="J88" s="37"/>
      <c r="K88" s="37"/>
      <c r="AA88" s="180">
        <f t="shared" si="38"/>
        <v>1785000000</v>
      </c>
      <c r="AB88" s="41">
        <f t="shared" ref="AB88" si="55">AB270</f>
        <v>2125</v>
      </c>
      <c r="AC88" s="21">
        <v>85</v>
      </c>
      <c r="AD88" s="21" t="s">
        <v>283</v>
      </c>
      <c r="AE88" s="41">
        <f t="shared" si="18"/>
        <v>8489.5879788958609</v>
      </c>
      <c r="AF88" s="41">
        <f t="shared" si="19"/>
        <v>657.44476798848643</v>
      </c>
      <c r="AG88" s="175">
        <f t="shared" si="35"/>
        <v>7832.1432109073749</v>
      </c>
      <c r="AH88" s="244">
        <f t="shared" si="20"/>
        <v>4.7560716968604266</v>
      </c>
      <c r="AI88" s="195">
        <f t="shared" si="21"/>
        <v>0.36831639663220528</v>
      </c>
      <c r="AJ88" s="195">
        <f t="shared" si="22"/>
        <v>4.3877553002282212</v>
      </c>
      <c r="AK88" s="197">
        <f t="shared" si="23"/>
        <v>4.4399904823737977</v>
      </c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</row>
    <row r="89" spans="4:75">
      <c r="D89"/>
      <c r="E89" s="37"/>
      <c r="F89" s="37"/>
      <c r="G89" s="37"/>
      <c r="H89" s="37"/>
      <c r="I89" s="37"/>
      <c r="J89" s="37"/>
      <c r="K89" s="37"/>
      <c r="AA89" s="180">
        <f t="shared" si="38"/>
        <v>1806000000</v>
      </c>
      <c r="AB89" s="41">
        <f t="shared" ref="AB89" si="56">AB271</f>
        <v>2150</v>
      </c>
      <c r="AC89" s="21">
        <v>86</v>
      </c>
      <c r="AD89" s="21" t="s">
        <v>283</v>
      </c>
      <c r="AE89" s="41">
        <f t="shared" si="18"/>
        <v>8582.8277790257107</v>
      </c>
      <c r="AF89" s="41">
        <f t="shared" si="19"/>
        <v>657.44476798848643</v>
      </c>
      <c r="AG89" s="175">
        <f t="shared" si="35"/>
        <v>7925.3830110372246</v>
      </c>
      <c r="AH89" s="244">
        <f t="shared" si="20"/>
        <v>4.7523963339012791</v>
      </c>
      <c r="AI89" s="195">
        <f t="shared" si="21"/>
        <v>0.36403364783415643</v>
      </c>
      <c r="AJ89" s="195">
        <f t="shared" si="22"/>
        <v>4.388362686067123</v>
      </c>
      <c r="AK89" s="197">
        <f t="shared" si="23"/>
        <v>4.4399904823737977</v>
      </c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</row>
    <row r="90" spans="4:75">
      <c r="D90"/>
      <c r="E90" s="37"/>
      <c r="F90" s="37"/>
      <c r="G90" s="37"/>
      <c r="H90" s="37"/>
      <c r="I90" s="37"/>
      <c r="J90" s="37"/>
      <c r="K90" s="37"/>
      <c r="AA90" s="180">
        <f t="shared" si="38"/>
        <v>1827000000</v>
      </c>
      <c r="AB90" s="41">
        <f t="shared" ref="AB90" si="57">AB272</f>
        <v>2175</v>
      </c>
      <c r="AC90" s="21">
        <v>87</v>
      </c>
      <c r="AD90" s="21" t="s">
        <v>283</v>
      </c>
      <c r="AE90" s="41">
        <f t="shared" si="18"/>
        <v>8676.0675791555605</v>
      </c>
      <c r="AF90" s="41">
        <f t="shared" si="19"/>
        <v>657.44476798848643</v>
      </c>
      <c r="AG90" s="175">
        <f t="shared" si="35"/>
        <v>8018.6228111670744</v>
      </c>
      <c r="AH90" s="244">
        <f t="shared" si="20"/>
        <v>4.7488054620446425</v>
      </c>
      <c r="AI90" s="195">
        <f t="shared" si="21"/>
        <v>0.35984935303146492</v>
      </c>
      <c r="AJ90" s="195">
        <f t="shared" si="22"/>
        <v>4.3889561090131775</v>
      </c>
      <c r="AK90" s="197">
        <f t="shared" si="23"/>
        <v>4.4399904823737977</v>
      </c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</row>
    <row r="91" spans="4:75">
      <c r="D91"/>
      <c r="E91" s="37"/>
      <c r="F91" s="37"/>
      <c r="G91" s="37"/>
      <c r="H91" s="37"/>
      <c r="I91" s="37"/>
      <c r="J91" s="37"/>
      <c r="K91" s="37"/>
      <c r="AA91" s="180">
        <f t="shared" si="38"/>
        <v>1848000000</v>
      </c>
      <c r="AB91" s="41">
        <f t="shared" ref="AB91" si="58">AB273</f>
        <v>2200</v>
      </c>
      <c r="AC91" s="21">
        <v>88</v>
      </c>
      <c r="AD91" s="21" t="s">
        <v>283</v>
      </c>
      <c r="AE91" s="41">
        <f t="shared" si="18"/>
        <v>8769.3073792854102</v>
      </c>
      <c r="AF91" s="41">
        <f t="shared" si="19"/>
        <v>657.44476798848643</v>
      </c>
      <c r="AG91" s="175">
        <f t="shared" si="35"/>
        <v>8111.8626112969241</v>
      </c>
      <c r="AH91" s="244">
        <f t="shared" si="20"/>
        <v>4.7452962009120183</v>
      </c>
      <c r="AI91" s="195">
        <f t="shared" si="21"/>
        <v>0.35576015583792558</v>
      </c>
      <c r="AJ91" s="195">
        <f t="shared" si="22"/>
        <v>4.3895360450740926</v>
      </c>
      <c r="AK91" s="197">
        <f t="shared" si="23"/>
        <v>4.4399904823737977</v>
      </c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</row>
    <row r="92" spans="4:75">
      <c r="D92"/>
      <c r="E92" s="37"/>
      <c r="F92" s="37"/>
      <c r="G92" s="37"/>
      <c r="H92" s="37"/>
      <c r="I92" s="37"/>
      <c r="J92" s="37"/>
      <c r="K92" s="37"/>
      <c r="AA92" s="180">
        <f t="shared" si="38"/>
        <v>1869000000</v>
      </c>
      <c r="AB92" s="41">
        <f t="shared" ref="AB92" si="59">AB274</f>
        <v>2225</v>
      </c>
      <c r="AC92" s="21">
        <v>89</v>
      </c>
      <c r="AD92" s="21" t="s">
        <v>283</v>
      </c>
      <c r="AE92" s="41">
        <f t="shared" si="18"/>
        <v>8862.54717941526</v>
      </c>
      <c r="AF92" s="41">
        <f t="shared" si="19"/>
        <v>657.44476798848643</v>
      </c>
      <c r="AG92" s="175">
        <f t="shared" si="35"/>
        <v>8205.102411426773</v>
      </c>
      <c r="AH92" s="244">
        <f t="shared" si="20"/>
        <v>4.7418657995801272</v>
      </c>
      <c r="AI92" s="195">
        <f t="shared" si="21"/>
        <v>0.3517628507161511</v>
      </c>
      <c r="AJ92" s="195">
        <f t="shared" si="22"/>
        <v>4.3901029488639765</v>
      </c>
      <c r="AK92" s="197">
        <f t="shared" si="23"/>
        <v>4.4399904823737977</v>
      </c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</row>
    <row r="93" spans="4:75">
      <c r="D93"/>
      <c r="E93" s="37"/>
      <c r="F93" s="37"/>
      <c r="G93" s="37"/>
      <c r="H93" s="37"/>
      <c r="I93" s="37"/>
      <c r="J93" s="37"/>
      <c r="K93" s="37"/>
      <c r="AA93" s="180">
        <f t="shared" si="38"/>
        <v>1890000000</v>
      </c>
      <c r="AB93" s="41">
        <f t="shared" ref="AB93" si="60">AB275</f>
        <v>2250</v>
      </c>
      <c r="AC93" s="21">
        <v>90</v>
      </c>
      <c r="AD93" s="21" t="s">
        <v>283</v>
      </c>
      <c r="AE93" s="41">
        <f t="shared" si="18"/>
        <v>8955.7869795451097</v>
      </c>
      <c r="AF93" s="41">
        <f t="shared" si="19"/>
        <v>657.44476798848643</v>
      </c>
      <c r="AG93" s="175">
        <f t="shared" si="35"/>
        <v>8298.3422115566227</v>
      </c>
      <c r="AH93" s="244">
        <f t="shared" si="20"/>
        <v>4.7385116293889462</v>
      </c>
      <c r="AI93" s="195">
        <f t="shared" si="21"/>
        <v>0.34785437459708274</v>
      </c>
      <c r="AJ93" s="195">
        <f t="shared" si="22"/>
        <v>4.3906572547918632</v>
      </c>
      <c r="AK93" s="197">
        <f t="shared" si="23"/>
        <v>4.4399904823737977</v>
      </c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</row>
    <row r="94" spans="4:75">
      <c r="D94"/>
      <c r="E94" s="37"/>
      <c r="F94" s="37"/>
      <c r="G94" s="37"/>
      <c r="H94" s="37"/>
      <c r="I94" s="37"/>
      <c r="J94" s="37"/>
      <c r="K94" s="37"/>
      <c r="AA94" s="180">
        <f t="shared" si="38"/>
        <v>1911000000</v>
      </c>
      <c r="AB94" s="41">
        <f t="shared" ref="AB94" si="61">AB276</f>
        <v>2275</v>
      </c>
      <c r="AC94" s="21">
        <v>91</v>
      </c>
      <c r="AD94" s="21" t="s">
        <v>283</v>
      </c>
      <c r="AE94" s="41">
        <f t="shared" si="18"/>
        <v>9049.0267796749595</v>
      </c>
      <c r="AF94" s="41">
        <f t="shared" si="19"/>
        <v>657.44476798848643</v>
      </c>
      <c r="AG94" s="175">
        <f t="shared" si="35"/>
        <v>8391.5820116864725</v>
      </c>
      <c r="AH94" s="244">
        <f t="shared" si="20"/>
        <v>4.7352311772239455</v>
      </c>
      <c r="AI94" s="195">
        <f t="shared" si="21"/>
        <v>0.34403179905205988</v>
      </c>
      <c r="AJ94" s="195">
        <f t="shared" si="22"/>
        <v>4.3911993781718852</v>
      </c>
      <c r="AK94" s="197">
        <f t="shared" si="23"/>
        <v>4.4399904823737977</v>
      </c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</row>
    <row r="95" spans="4:75">
      <c r="D95"/>
      <c r="E95" s="37"/>
      <c r="F95" s="37"/>
      <c r="G95" s="37"/>
      <c r="H95" s="37"/>
      <c r="I95" s="37"/>
      <c r="J95" s="37"/>
      <c r="K95" s="37"/>
      <c r="AA95" s="180">
        <f t="shared" si="38"/>
        <v>1932000000</v>
      </c>
      <c r="AB95" s="41">
        <f t="shared" ref="AB95" si="62">AB277</f>
        <v>2300</v>
      </c>
      <c r="AC95" s="21">
        <v>92</v>
      </c>
      <c r="AD95" s="21" t="s">
        <v>283</v>
      </c>
      <c r="AE95" s="41">
        <f t="shared" si="18"/>
        <v>9142.2665798048092</v>
      </c>
      <c r="AF95" s="41">
        <f t="shared" si="19"/>
        <v>657.44476798848643</v>
      </c>
      <c r="AG95" s="175">
        <f t="shared" si="35"/>
        <v>8484.8218118163222</v>
      </c>
      <c r="AH95" s="244">
        <f t="shared" si="20"/>
        <v>4.732022039236444</v>
      </c>
      <c r="AI95" s="195">
        <f t="shared" si="21"/>
        <v>0.34029232297540707</v>
      </c>
      <c r="AJ95" s="195">
        <f t="shared" si="22"/>
        <v>4.3917297162610369</v>
      </c>
      <c r="AK95" s="197">
        <f t="shared" si="23"/>
        <v>4.4399904823737977</v>
      </c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</row>
    <row r="96" spans="4:75">
      <c r="D96"/>
      <c r="E96" s="37"/>
      <c r="F96" s="37"/>
      <c r="G96" s="37"/>
      <c r="H96" s="37"/>
      <c r="I96" s="37"/>
      <c r="J96" s="37"/>
      <c r="K96" s="37"/>
      <c r="AA96" s="180">
        <f t="shared" si="38"/>
        <v>1953000000</v>
      </c>
      <c r="AB96" s="41">
        <f t="shared" ref="AB96" si="63">AB278</f>
        <v>2325</v>
      </c>
      <c r="AC96" s="21">
        <v>93</v>
      </c>
      <c r="AD96" s="21" t="s">
        <v>283</v>
      </c>
      <c r="AE96" s="41">
        <f t="shared" si="18"/>
        <v>9235.506379934659</v>
      </c>
      <c r="AF96" s="41">
        <f t="shared" si="19"/>
        <v>657.44476798848643</v>
      </c>
      <c r="AG96" s="175">
        <f t="shared" si="35"/>
        <v>8578.061611946172</v>
      </c>
      <c r="AH96" s="244">
        <f t="shared" si="20"/>
        <v>4.7288819149691026</v>
      </c>
      <c r="AI96" s="195">
        <f t="shared" si="21"/>
        <v>0.3366332657391124</v>
      </c>
      <c r="AJ96" s="195">
        <f t="shared" si="22"/>
        <v>4.3922486492299901</v>
      </c>
      <c r="AK96" s="197">
        <f t="shared" si="23"/>
        <v>4.4399904823737977</v>
      </c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</row>
    <row r="97" spans="4:75">
      <c r="D97"/>
      <c r="E97" s="37"/>
      <c r="F97" s="37"/>
      <c r="G97" s="37"/>
      <c r="H97" s="37"/>
      <c r="I97" s="37"/>
      <c r="J97" s="37"/>
      <c r="K97" s="37"/>
      <c r="AA97" s="180">
        <f t="shared" si="38"/>
        <v>1974000000</v>
      </c>
      <c r="AB97" s="41">
        <f t="shared" ref="AB97" si="64">AB279</f>
        <v>2350</v>
      </c>
      <c r="AC97" s="21">
        <v>94</v>
      </c>
      <c r="AD97" s="21" t="s">
        <v>283</v>
      </c>
      <c r="AE97" s="41">
        <f t="shared" si="18"/>
        <v>9328.7461800645087</v>
      </c>
      <c r="AF97" s="41">
        <f t="shared" si="19"/>
        <v>657.44476798848643</v>
      </c>
      <c r="AG97" s="175">
        <f t="shared" si="35"/>
        <v>8671.3014120760217</v>
      </c>
      <c r="AH97" s="244">
        <f t="shared" si="20"/>
        <v>4.7258086018563876</v>
      </c>
      <c r="AI97" s="195">
        <f t="shared" si="21"/>
        <v>0.33305206078444094</v>
      </c>
      <c r="AJ97" s="195">
        <f t="shared" si="22"/>
        <v>4.3927565410719467</v>
      </c>
      <c r="AK97" s="197">
        <f t="shared" si="23"/>
        <v>4.4399904823737977</v>
      </c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</row>
    <row r="98" spans="4:75">
      <c r="D98"/>
      <c r="E98" s="37"/>
      <c r="F98" s="37"/>
      <c r="G98" s="37"/>
      <c r="H98" s="37"/>
      <c r="I98" s="37"/>
      <c r="J98" s="37"/>
      <c r="K98" s="37"/>
      <c r="AA98" s="180">
        <f t="shared" si="38"/>
        <v>1995000000</v>
      </c>
      <c r="AB98" s="41">
        <f t="shared" ref="AB98" si="65">AB280</f>
        <v>2375</v>
      </c>
      <c r="AC98" s="21">
        <v>95</v>
      </c>
      <c r="AD98" s="21" t="s">
        <v>283</v>
      </c>
      <c r="AE98" s="41">
        <f t="shared" si="18"/>
        <v>9421.9859801943585</v>
      </c>
      <c r="AF98" s="41">
        <f t="shared" si="19"/>
        <v>657.44476798848643</v>
      </c>
      <c r="AG98" s="175">
        <f t="shared" si="35"/>
        <v>8764.5412122058715</v>
      </c>
      <c r="AH98" s="244">
        <f t="shared" si="20"/>
        <v>4.7227999900723603</v>
      </c>
      <c r="AI98" s="195">
        <f t="shared" si="21"/>
        <v>0.32954624961828893</v>
      </c>
      <c r="AJ98" s="195">
        <f t="shared" si="22"/>
        <v>4.393253740454071</v>
      </c>
      <c r="AK98" s="197">
        <f t="shared" si="23"/>
        <v>4.4399904823737977</v>
      </c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</row>
    <row r="99" spans="4:75">
      <c r="D99"/>
      <c r="E99" s="37"/>
      <c r="F99" s="37"/>
      <c r="G99" s="37"/>
      <c r="H99" s="37"/>
      <c r="I99" s="37"/>
      <c r="J99" s="37"/>
      <c r="K99" s="37"/>
      <c r="AA99" s="180">
        <f t="shared" si="38"/>
        <v>2016000000</v>
      </c>
      <c r="AB99" s="41">
        <f t="shared" ref="AB99" si="66">AB281</f>
        <v>2400</v>
      </c>
      <c r="AC99" s="21">
        <v>96</v>
      </c>
      <c r="AD99" s="21" t="s">
        <v>283</v>
      </c>
      <c r="AE99" s="41">
        <f t="shared" si="18"/>
        <v>9515.2257803242082</v>
      </c>
      <c r="AF99" s="41">
        <f t="shared" si="19"/>
        <v>657.44476798848643</v>
      </c>
      <c r="AG99" s="175">
        <f t="shared" si="35"/>
        <v>8857.7810123357212</v>
      </c>
      <c r="AH99" s="244">
        <f t="shared" si="20"/>
        <v>4.7198540577004993</v>
      </c>
      <c r="AI99" s="195">
        <f t="shared" si="21"/>
        <v>0.32611347618476511</v>
      </c>
      <c r="AJ99" s="195">
        <f t="shared" si="22"/>
        <v>4.3937405815157344</v>
      </c>
      <c r="AK99" s="197">
        <f t="shared" si="23"/>
        <v>4.4399904823737977</v>
      </c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</row>
    <row r="100" spans="4:75">
      <c r="D100"/>
      <c r="E100" s="37"/>
      <c r="F100" s="37"/>
      <c r="G100" s="37"/>
      <c r="H100" s="37"/>
      <c r="I100" s="37"/>
      <c r="J100" s="37"/>
      <c r="K100" s="37"/>
      <c r="AA100" s="180">
        <f t="shared" si="38"/>
        <v>2037000000</v>
      </c>
      <c r="AB100" s="41">
        <f t="shared" ref="AB100" si="67">AB282</f>
        <v>2425</v>
      </c>
      <c r="AC100" s="21">
        <v>97</v>
      </c>
      <c r="AD100" s="21" t="s">
        <v>283</v>
      </c>
      <c r="AE100" s="41">
        <f t="shared" si="18"/>
        <v>9608.465580454058</v>
      </c>
      <c r="AF100" s="41">
        <f t="shared" si="19"/>
        <v>657.44476798848643</v>
      </c>
      <c r="AG100" s="175">
        <f t="shared" si="35"/>
        <v>8951.020812465571</v>
      </c>
      <c r="AH100" s="244">
        <f t="shared" si="20"/>
        <v>4.7169688662022864</v>
      </c>
      <c r="AI100" s="195">
        <f t="shared" si="21"/>
        <v>0.32275148158492217</v>
      </c>
      <c r="AJ100" s="195">
        <f t="shared" si="22"/>
        <v>4.394217384617364</v>
      </c>
      <c r="AK100" s="197">
        <f t="shared" si="23"/>
        <v>4.4399904823737977</v>
      </c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</row>
    <row r="101" spans="4:75">
      <c r="D101"/>
      <c r="E101" s="37"/>
      <c r="F101" s="37"/>
      <c r="G101" s="37"/>
      <c r="H101" s="37"/>
      <c r="I101" s="37"/>
      <c r="J101" s="37"/>
      <c r="K101" s="37"/>
      <c r="AA101" s="180">
        <f t="shared" si="38"/>
        <v>2058000000</v>
      </c>
      <c r="AB101" s="41">
        <f t="shared" ref="AB101" si="68">AB283</f>
        <v>2450</v>
      </c>
      <c r="AC101" s="21">
        <v>98</v>
      </c>
      <c r="AD101" s="21" t="s">
        <v>283</v>
      </c>
      <c r="AE101" s="41">
        <f t="shared" si="18"/>
        <v>9701.7053805839078</v>
      </c>
      <c r="AF101" s="41">
        <f t="shared" si="19"/>
        <v>657.44476798848643</v>
      </c>
      <c r="AG101" s="175">
        <f t="shared" ref="AG101:AG132" si="69">AG100+SUM(AE465:AF465,BG465)</f>
        <v>9044.2606125954208</v>
      </c>
      <c r="AH101" s="244">
        <f t="shared" si="20"/>
        <v>4.7141425561632211</v>
      </c>
      <c r="AI101" s="195">
        <f t="shared" si="21"/>
        <v>0.31945809911976991</v>
      </c>
      <c r="AJ101" s="195">
        <f t="shared" si="22"/>
        <v>4.3946844570434509</v>
      </c>
      <c r="AK101" s="197">
        <f t="shared" si="23"/>
        <v>4.4399904823737977</v>
      </c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</row>
    <row r="102" spans="4:75">
      <c r="D102"/>
      <c r="E102" s="37"/>
      <c r="F102" s="37"/>
      <c r="G102" s="37"/>
      <c r="H102" s="37"/>
      <c r="I102" s="37"/>
      <c r="J102" s="37"/>
      <c r="K102" s="37"/>
      <c r="AA102" s="180">
        <f t="shared" si="38"/>
        <v>2079000000</v>
      </c>
      <c r="AB102" s="41">
        <f t="shared" ref="AB102" si="70">AB284</f>
        <v>2475</v>
      </c>
      <c r="AC102" s="21">
        <v>99</v>
      </c>
      <c r="AD102" s="21" t="s">
        <v>283</v>
      </c>
      <c r="AE102" s="41">
        <f t="shared" si="18"/>
        <v>9794.9451807137575</v>
      </c>
      <c r="AF102" s="41">
        <f t="shared" si="19"/>
        <v>657.44476798848643</v>
      </c>
      <c r="AG102" s="175">
        <f t="shared" si="69"/>
        <v>9137.5004127252705</v>
      </c>
      <c r="AH102" s="244">
        <f t="shared" si="20"/>
        <v>4.7113733432966605</v>
      </c>
      <c r="AI102" s="195">
        <f t="shared" si="21"/>
        <v>0.31623124963371163</v>
      </c>
      <c r="AJ102" s="195">
        <f t="shared" si="22"/>
        <v>4.3951420936629484</v>
      </c>
      <c r="AK102" s="197">
        <f t="shared" si="23"/>
        <v>4.4399904823737977</v>
      </c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</row>
    <row r="103" spans="4:75">
      <c r="D103"/>
      <c r="E103" s="37"/>
      <c r="F103" s="37"/>
      <c r="G103" s="37"/>
      <c r="H103" s="37"/>
      <c r="I103" s="37"/>
      <c r="J103" s="37"/>
      <c r="K103" s="37"/>
      <c r="AA103" s="180">
        <f t="shared" si="38"/>
        <v>2100000000</v>
      </c>
      <c r="AB103" s="41">
        <f t="shared" ref="AB103" si="71">AB285</f>
        <v>2500</v>
      </c>
      <c r="AC103" s="21">
        <v>100</v>
      </c>
      <c r="AD103" s="21" t="s">
        <v>283</v>
      </c>
      <c r="AE103" s="41">
        <f t="shared" si="18"/>
        <v>9888.1849808436073</v>
      </c>
      <c r="AF103" s="41">
        <f t="shared" si="19"/>
        <v>657.44476798848643</v>
      </c>
      <c r="AG103" s="175">
        <f t="shared" si="69"/>
        <v>9230.7402128551203</v>
      </c>
      <c r="AH103" s="244">
        <f t="shared" si="20"/>
        <v>4.7086595146874313</v>
      </c>
      <c r="AI103" s="195">
        <f t="shared" si="21"/>
        <v>0.31306893713737449</v>
      </c>
      <c r="AJ103" s="195">
        <f t="shared" si="22"/>
        <v>4.395590577550057</v>
      </c>
      <c r="AK103" s="197">
        <f t="shared" si="23"/>
        <v>4.4399904823737977</v>
      </c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</row>
    <row r="104" spans="4:75">
      <c r="D104"/>
      <c r="E104" s="37"/>
      <c r="F104" s="37"/>
      <c r="G104" s="37"/>
      <c r="H104" s="37"/>
      <c r="I104" s="37"/>
      <c r="J104" s="37"/>
      <c r="K104" s="37"/>
      <c r="AA104" s="180">
        <f t="shared" si="38"/>
        <v>2121000000</v>
      </c>
      <c r="AB104" s="41">
        <f t="shared" ref="AB104" si="72">AB286</f>
        <v>2525</v>
      </c>
      <c r="AC104" s="21">
        <v>101</v>
      </c>
      <c r="AD104" s="21" t="s">
        <v>283</v>
      </c>
      <c r="AE104" s="41">
        <f t="shared" si="18"/>
        <v>9981.424780973457</v>
      </c>
      <c r="AF104" s="41">
        <f t="shared" si="19"/>
        <v>657.44476798848643</v>
      </c>
      <c r="AG104" s="175">
        <f t="shared" si="69"/>
        <v>9323.98001298497</v>
      </c>
      <c r="AH104" s="244">
        <f t="shared" si="20"/>
        <v>4.7059994252585833</v>
      </c>
      <c r="AI104" s="195">
        <f t="shared" si="21"/>
        <v>0.30996924469046977</v>
      </c>
      <c r="AJ104" s="195">
        <f t="shared" si="22"/>
        <v>4.3960301805681139</v>
      </c>
      <c r="AK104" s="197">
        <f t="shared" si="23"/>
        <v>4.4399904823737977</v>
      </c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</row>
    <row r="105" spans="4:75">
      <c r="D105"/>
      <c r="E105" s="37"/>
      <c r="F105" s="37"/>
      <c r="G105" s="37"/>
      <c r="H105" s="37"/>
      <c r="I105" s="37"/>
      <c r="J105" s="37"/>
      <c r="K105" s="37"/>
      <c r="AA105" s="180">
        <f t="shared" si="38"/>
        <v>2142000000</v>
      </c>
      <c r="AB105" s="41">
        <f t="shared" ref="AB105" si="73">AB287</f>
        <v>2550</v>
      </c>
      <c r="AC105" s="21">
        <v>102</v>
      </c>
      <c r="AD105" s="21" t="s">
        <v>283</v>
      </c>
      <c r="AE105" s="41">
        <f t="shared" si="18"/>
        <v>10074.664581103307</v>
      </c>
      <c r="AF105" s="41">
        <f t="shared" si="19"/>
        <v>657.44476798848643</v>
      </c>
      <c r="AG105" s="175">
        <f t="shared" si="69"/>
        <v>9417.2198131148198</v>
      </c>
      <c r="AH105" s="244">
        <f t="shared" si="20"/>
        <v>4.7033914944459871</v>
      </c>
      <c r="AI105" s="195">
        <f t="shared" si="21"/>
        <v>0.30693033052683777</v>
      </c>
      <c r="AJ105" s="195">
        <f t="shared" si="22"/>
        <v>4.3964611639191498</v>
      </c>
      <c r="AK105" s="197">
        <f t="shared" si="23"/>
        <v>4.4399904823737977</v>
      </c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</row>
    <row r="106" spans="4:75">
      <c r="D106"/>
      <c r="E106" s="37"/>
      <c r="F106" s="37"/>
      <c r="G106" s="37"/>
      <c r="H106" s="37"/>
      <c r="I106" s="37"/>
      <c r="J106" s="37"/>
      <c r="K106" s="37"/>
      <c r="AA106" s="180">
        <f t="shared" si="38"/>
        <v>2163000000</v>
      </c>
      <c r="AB106" s="41">
        <f t="shared" ref="AB106" si="74">AB288</f>
        <v>2575</v>
      </c>
      <c r="AC106" s="21">
        <v>103</v>
      </c>
      <c r="AD106" s="21" t="s">
        <v>283</v>
      </c>
      <c r="AE106" s="41">
        <f t="shared" si="18"/>
        <v>10167.904381233157</v>
      </c>
      <c r="AF106" s="41">
        <f t="shared" si="19"/>
        <v>657.44476798848643</v>
      </c>
      <c r="AG106" s="175">
        <f t="shared" si="69"/>
        <v>9510.4596132446695</v>
      </c>
      <c r="AH106" s="244">
        <f t="shared" si="20"/>
        <v>4.7008342030666466</v>
      </c>
      <c r="AI106" s="195">
        <f t="shared" si="21"/>
        <v>0.30395042440521791</v>
      </c>
      <c r="AJ106" s="195">
        <f t="shared" si="22"/>
        <v>4.3968837786614285</v>
      </c>
      <c r="AK106" s="197">
        <f t="shared" si="23"/>
        <v>4.4399904823737977</v>
      </c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</row>
    <row r="107" spans="4:75">
      <c r="D107"/>
      <c r="E107" s="37"/>
      <c r="F107" s="37"/>
      <c r="G107" s="37"/>
      <c r="H107" s="37"/>
      <c r="I107" s="37"/>
      <c r="J107" s="37"/>
      <c r="K107" s="37"/>
      <c r="AA107" s="180">
        <f t="shared" si="38"/>
        <v>2184000000</v>
      </c>
      <c r="AB107" s="41">
        <f t="shared" ref="AB107" si="75">AB289</f>
        <v>2600</v>
      </c>
      <c r="AC107" s="21">
        <v>104</v>
      </c>
      <c r="AD107" s="21" t="s">
        <v>283</v>
      </c>
      <c r="AE107" s="41">
        <f t="shared" si="18"/>
        <v>10261.144181363006</v>
      </c>
      <c r="AF107" s="41">
        <f t="shared" si="19"/>
        <v>657.44476798848643</v>
      </c>
      <c r="AG107" s="175">
        <f t="shared" si="69"/>
        <v>9603.6994133745193</v>
      </c>
      <c r="AH107" s="244">
        <f t="shared" si="20"/>
        <v>4.6983260903676776</v>
      </c>
      <c r="AI107" s="195">
        <f t="shared" si="21"/>
        <v>0.3010278241705524</v>
      </c>
      <c r="AJ107" s="195">
        <f t="shared" si="22"/>
        <v>4.3972982661971249</v>
      </c>
      <c r="AK107" s="197">
        <f t="shared" si="23"/>
        <v>4.4399904823737977</v>
      </c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</row>
    <row r="108" spans="4:75">
      <c r="D108"/>
      <c r="E108" s="37"/>
      <c r="F108" s="37"/>
      <c r="G108" s="37"/>
      <c r="H108" s="37"/>
      <c r="I108" s="37"/>
      <c r="J108" s="37"/>
      <c r="K108" s="37"/>
      <c r="AA108" s="180">
        <f t="shared" si="38"/>
        <v>2205000000</v>
      </c>
      <c r="AB108" s="41">
        <f t="shared" ref="AB108" si="76">AB290</f>
        <v>2625</v>
      </c>
      <c r="AC108" s="21">
        <v>105</v>
      </c>
      <c r="AD108" s="21" t="s">
        <v>283</v>
      </c>
      <c r="AE108" s="41">
        <f t="shared" si="18"/>
        <v>10354.383981492856</v>
      </c>
      <c r="AF108" s="41">
        <f t="shared" si="19"/>
        <v>657.44476798848643</v>
      </c>
      <c r="AG108" s="175">
        <f t="shared" si="69"/>
        <v>9696.939213504369</v>
      </c>
      <c r="AH108" s="244">
        <f t="shared" si="20"/>
        <v>4.6958657512439261</v>
      </c>
      <c r="AI108" s="195">
        <f t="shared" si="21"/>
        <v>0.29816089251178524</v>
      </c>
      <c r="AJ108" s="195">
        <f t="shared" si="22"/>
        <v>4.3977048587321406</v>
      </c>
      <c r="AK108" s="197">
        <f t="shared" si="23"/>
        <v>4.4399904823737977</v>
      </c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</row>
    <row r="109" spans="4:75">
      <c r="D109"/>
      <c r="E109" s="37"/>
      <c r="F109" s="37"/>
      <c r="G109" s="37"/>
      <c r="H109" s="37"/>
      <c r="I109" s="37"/>
      <c r="J109" s="37"/>
      <c r="K109" s="37"/>
      <c r="AA109" s="180">
        <f t="shared" si="38"/>
        <v>2226000000</v>
      </c>
      <c r="AB109" s="41">
        <f t="shared" ref="AB109" si="77">AB291</f>
        <v>2650</v>
      </c>
      <c r="AC109" s="21">
        <v>106</v>
      </c>
      <c r="AD109" s="21" t="s">
        <v>283</v>
      </c>
      <c r="AE109" s="41">
        <f t="shared" si="18"/>
        <v>10447.623781622706</v>
      </c>
      <c r="AF109" s="41">
        <f t="shared" si="19"/>
        <v>657.44476798848643</v>
      </c>
      <c r="AG109" s="175">
        <f t="shared" si="69"/>
        <v>9790.1790136342188</v>
      </c>
      <c r="AH109" s="244">
        <f t="shared" si="20"/>
        <v>4.6934518336130751</v>
      </c>
      <c r="AI109" s="195">
        <f t="shared" si="21"/>
        <v>0.29534805390318347</v>
      </c>
      <c r="AJ109" s="195">
        <f t="shared" si="22"/>
        <v>4.3981037797098912</v>
      </c>
      <c r="AK109" s="197">
        <f t="shared" si="23"/>
        <v>4.4399904823737977</v>
      </c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</row>
    <row r="110" spans="4:75">
      <c r="D110"/>
      <c r="E110" s="37"/>
      <c r="F110" s="37"/>
      <c r="G110" s="37"/>
      <c r="H110" s="37"/>
      <c r="I110" s="37"/>
      <c r="J110" s="37"/>
      <c r="K110" s="37"/>
      <c r="AA110" s="180">
        <f t="shared" si="38"/>
        <v>2247000000</v>
      </c>
      <c r="AB110" s="41">
        <f t="shared" ref="AB110" si="78">AB292</f>
        <v>2675</v>
      </c>
      <c r="AC110" s="21">
        <v>107</v>
      </c>
      <c r="AD110" s="21" t="s">
        <v>283</v>
      </c>
      <c r="AE110" s="41">
        <f t="shared" si="18"/>
        <v>10540.863581752556</v>
      </c>
      <c r="AF110" s="41">
        <f t="shared" si="19"/>
        <v>657.44476798848643</v>
      </c>
      <c r="AG110" s="175">
        <f t="shared" si="69"/>
        <v>9883.4188137640685</v>
      </c>
      <c r="AH110" s="244">
        <f t="shared" si="20"/>
        <v>4.6910830359379414</v>
      </c>
      <c r="AI110" s="195">
        <f t="shared" si="21"/>
        <v>0.29258779171717242</v>
      </c>
      <c r="AJ110" s="195">
        <f t="shared" si="22"/>
        <v>4.3984952442207694</v>
      </c>
      <c r="AK110" s="197">
        <f t="shared" si="23"/>
        <v>4.4399904823737977</v>
      </c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</row>
    <row r="111" spans="4:75">
      <c r="D111"/>
      <c r="E111" s="37"/>
      <c r="F111" s="37"/>
      <c r="G111" s="37"/>
      <c r="H111" s="37"/>
      <c r="I111" s="37"/>
      <c r="J111" s="37"/>
      <c r="K111" s="37"/>
      <c r="AA111" s="180">
        <f t="shared" si="38"/>
        <v>2268000000</v>
      </c>
      <c r="AB111" s="41">
        <f t="shared" ref="AB111" si="79">AB293</f>
        <v>2700</v>
      </c>
      <c r="AC111" s="21">
        <v>108</v>
      </c>
      <c r="AD111" s="21" t="s">
        <v>283</v>
      </c>
      <c r="AE111" s="41">
        <f t="shared" si="18"/>
        <v>10634.103381882405</v>
      </c>
      <c r="AF111" s="41">
        <f t="shared" si="19"/>
        <v>657.44476798848643</v>
      </c>
      <c r="AG111" s="175">
        <f t="shared" si="69"/>
        <v>9976.6586138939183</v>
      </c>
      <c r="AH111" s="244">
        <f t="shared" si="20"/>
        <v>4.6887581048864222</v>
      </c>
      <c r="AI111" s="195">
        <f t="shared" si="21"/>
        <v>0.28987864549756898</v>
      </c>
      <c r="AJ111" s="195">
        <f t="shared" si="22"/>
        <v>4.3988794593888532</v>
      </c>
      <c r="AK111" s="197">
        <f t="shared" si="23"/>
        <v>4.4399904823737977</v>
      </c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</row>
    <row r="112" spans="4:75">
      <c r="D112"/>
      <c r="E112" s="37"/>
      <c r="F112" s="37"/>
      <c r="G112" s="37"/>
      <c r="H112" s="37"/>
      <c r="I112" s="37"/>
      <c r="J112" s="37"/>
      <c r="K112" s="37"/>
      <c r="AA112" s="180">
        <f t="shared" si="38"/>
        <v>2289000000</v>
      </c>
      <c r="AB112" s="41">
        <f t="shared" ref="AB112" si="80">AB294</f>
        <v>2725</v>
      </c>
      <c r="AC112" s="21">
        <v>109</v>
      </c>
      <c r="AD112" s="21" t="s">
        <v>283</v>
      </c>
      <c r="AE112" s="41">
        <f t="shared" si="18"/>
        <v>10727.343182012255</v>
      </c>
      <c r="AF112" s="41">
        <f t="shared" si="19"/>
        <v>657.44476798848643</v>
      </c>
      <c r="AG112" s="175">
        <f t="shared" si="69"/>
        <v>10069.898414023768</v>
      </c>
      <c r="AH112" s="244">
        <f t="shared" si="20"/>
        <v>4.6864758331202507</v>
      </c>
      <c r="AI112" s="195">
        <f t="shared" si="21"/>
        <v>0.28721920838291243</v>
      </c>
      <c r="AJ112" s="195">
        <f t="shared" si="22"/>
        <v>4.3992566247373386</v>
      </c>
      <c r="AK112" s="197">
        <f t="shared" si="23"/>
        <v>4.4399904823737977</v>
      </c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</row>
    <row r="113" spans="4:75">
      <c r="D113"/>
      <c r="E113" s="37"/>
      <c r="F113" s="37"/>
      <c r="G113" s="37"/>
      <c r="H113" s="37"/>
      <c r="I113" s="37"/>
      <c r="J113" s="37"/>
      <c r="K113" s="37"/>
      <c r="AA113" s="180">
        <f t="shared" si="38"/>
        <v>2310000000</v>
      </c>
      <c r="AB113" s="41">
        <f t="shared" ref="AB113" si="81">AB295</f>
        <v>2750</v>
      </c>
      <c r="AC113" s="21">
        <v>110</v>
      </c>
      <c r="AD113" s="21" t="s">
        <v>283</v>
      </c>
      <c r="AE113" s="41">
        <f t="shared" si="18"/>
        <v>10820.582982142105</v>
      </c>
      <c r="AF113" s="41">
        <f t="shared" si="19"/>
        <v>657.44476798848643</v>
      </c>
      <c r="AG113" s="175">
        <f t="shared" si="69"/>
        <v>10163.138214153618</v>
      </c>
      <c r="AH113" s="244">
        <f t="shared" si="20"/>
        <v>4.6842350572043738</v>
      </c>
      <c r="AI113" s="195">
        <f t="shared" si="21"/>
        <v>0.28460812467034041</v>
      </c>
      <c r="AJ113" s="195">
        <f t="shared" si="22"/>
        <v>4.3996269325340336</v>
      </c>
      <c r="AK113" s="197">
        <f t="shared" si="23"/>
        <v>4.4399904823737977</v>
      </c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</row>
    <row r="114" spans="4:75">
      <c r="D114"/>
      <c r="E114" s="37"/>
      <c r="F114" s="37"/>
      <c r="G114" s="37"/>
      <c r="H114" s="37"/>
      <c r="I114" s="37"/>
      <c r="J114" s="37"/>
      <c r="K114" s="37"/>
      <c r="AA114" s="180">
        <f t="shared" si="38"/>
        <v>2331000000</v>
      </c>
      <c r="AB114" s="41">
        <f t="shared" ref="AB114" si="82">AB296</f>
        <v>2775</v>
      </c>
      <c r="AC114" s="21">
        <v>111</v>
      </c>
      <c r="AD114" s="21" t="s">
        <v>283</v>
      </c>
      <c r="AE114" s="41">
        <f t="shared" si="18"/>
        <v>10913.822782271955</v>
      </c>
      <c r="AF114" s="41">
        <f t="shared" si="19"/>
        <v>657.44476798848643</v>
      </c>
      <c r="AG114" s="175">
        <f t="shared" si="69"/>
        <v>10256.378014283468</v>
      </c>
      <c r="AH114" s="244">
        <f t="shared" si="20"/>
        <v>4.682034655629324</v>
      </c>
      <c r="AI114" s="195">
        <f t="shared" si="21"/>
        <v>0.28204408751114818</v>
      </c>
      <c r="AJ114" s="195">
        <f t="shared" si="22"/>
        <v>4.3999905681181755</v>
      </c>
      <c r="AK114" s="197">
        <f t="shared" si="23"/>
        <v>4.4399904823737977</v>
      </c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</row>
    <row r="115" spans="4:75">
      <c r="D115"/>
      <c r="E115" s="37"/>
      <c r="F115" s="37"/>
      <c r="G115" s="37"/>
      <c r="H115" s="37"/>
      <c r="I115" s="37"/>
      <c r="J115" s="37"/>
      <c r="K115" s="37"/>
      <c r="AA115" s="180">
        <f t="shared" si="38"/>
        <v>2352000000</v>
      </c>
      <c r="AB115" s="41">
        <f t="shared" ref="AB115" si="83">AB297</f>
        <v>2800</v>
      </c>
      <c r="AC115" s="21">
        <v>112</v>
      </c>
      <c r="AD115" s="21" t="s">
        <v>283</v>
      </c>
      <c r="AE115" s="41">
        <f t="shared" si="18"/>
        <v>11007.062582401804</v>
      </c>
      <c r="AF115" s="41">
        <f t="shared" si="19"/>
        <v>657.44476798848643</v>
      </c>
      <c r="AG115" s="175">
        <f t="shared" si="69"/>
        <v>10349.617814413317</v>
      </c>
      <c r="AH115" s="244">
        <f t="shared" si="20"/>
        <v>4.6798735469395423</v>
      </c>
      <c r="AI115" s="195">
        <f t="shared" si="21"/>
        <v>0.27952583672979864</v>
      </c>
      <c r="AJ115" s="195">
        <f t="shared" si="22"/>
        <v>4.4003477102097435</v>
      </c>
      <c r="AK115" s="197">
        <f t="shared" si="23"/>
        <v>4.4399904823737977</v>
      </c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</row>
    <row r="116" spans="4:75">
      <c r="D116"/>
      <c r="E116" s="37"/>
      <c r="F116" s="37"/>
      <c r="G116" s="37"/>
      <c r="H116" s="37"/>
      <c r="I116" s="37"/>
      <c r="J116" s="37"/>
      <c r="K116" s="37"/>
      <c r="AA116" s="180">
        <f t="shared" si="38"/>
        <v>2373000000</v>
      </c>
      <c r="AB116" s="41">
        <f t="shared" ref="AB116" si="84">AB298</f>
        <v>2825</v>
      </c>
      <c r="AC116" s="21">
        <v>113</v>
      </c>
      <c r="AD116" s="21" t="s">
        <v>283</v>
      </c>
      <c r="AE116" s="41">
        <f t="shared" si="18"/>
        <v>11100.302382531654</v>
      </c>
      <c r="AF116" s="41">
        <f t="shared" si="19"/>
        <v>657.44476798848643</v>
      </c>
      <c r="AG116" s="175">
        <f t="shared" si="69"/>
        <v>10442.857614543167</v>
      </c>
      <c r="AH116" s="244">
        <f t="shared" si="20"/>
        <v>4.6777506879610851</v>
      </c>
      <c r="AI116" s="195">
        <f t="shared" si="21"/>
        <v>0.27705215675873851</v>
      </c>
      <c r="AJ116" s="195">
        <f t="shared" si="22"/>
        <v>4.4006985312023463</v>
      </c>
      <c r="AK116" s="197">
        <f t="shared" si="23"/>
        <v>4.4399904823737977</v>
      </c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</row>
    <row r="117" spans="4:75">
      <c r="D117"/>
      <c r="E117" s="37"/>
      <c r="F117" s="37"/>
      <c r="G117" s="37"/>
      <c r="H117" s="37"/>
      <c r="I117" s="37"/>
      <c r="J117" s="37"/>
      <c r="K117" s="37"/>
      <c r="AA117" s="180">
        <f t="shared" si="38"/>
        <v>2394000000</v>
      </c>
      <c r="AB117" s="41">
        <f t="shared" ref="AB117" si="85">AB299</f>
        <v>2850</v>
      </c>
      <c r="AC117" s="21">
        <v>114</v>
      </c>
      <c r="AD117" s="21" t="s">
        <v>283</v>
      </c>
      <c r="AE117" s="41">
        <f t="shared" si="18"/>
        <v>11193.542182661504</v>
      </c>
      <c r="AF117" s="41">
        <f t="shared" si="19"/>
        <v>657.44476798848643</v>
      </c>
      <c r="AG117" s="175">
        <f t="shared" si="69"/>
        <v>10536.097414673017</v>
      </c>
      <c r="AH117" s="244">
        <f t="shared" si="20"/>
        <v>4.6756650721225999</v>
      </c>
      <c r="AI117" s="195">
        <f t="shared" si="21"/>
        <v>0.27462187468190746</v>
      </c>
      <c r="AJ117" s="195">
        <f t="shared" si="22"/>
        <v>4.4010431974406927</v>
      </c>
      <c r="AK117" s="197">
        <f t="shared" si="23"/>
        <v>4.4399904823737977</v>
      </c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</row>
    <row r="118" spans="4:75">
      <c r="D118"/>
      <c r="E118" s="37"/>
      <c r="F118" s="37"/>
      <c r="G118" s="37"/>
      <c r="H118" s="37"/>
      <c r="I118" s="37"/>
      <c r="J118" s="37"/>
      <c r="K118" s="37"/>
      <c r="AA118" s="180">
        <f t="shared" si="38"/>
        <v>2415000000</v>
      </c>
      <c r="AB118" s="41">
        <f t="shared" ref="AB118" si="86">AB300</f>
        <v>2875</v>
      </c>
      <c r="AC118" s="21">
        <v>115</v>
      </c>
      <c r="AD118" s="21" t="s">
        <v>283</v>
      </c>
      <c r="AE118" s="41">
        <f t="shared" si="18"/>
        <v>11286.781982791354</v>
      </c>
      <c r="AF118" s="41">
        <f t="shared" si="19"/>
        <v>657.44476798848643</v>
      </c>
      <c r="AG118" s="175">
        <f t="shared" si="69"/>
        <v>10629.337214802867</v>
      </c>
      <c r="AH118" s="244">
        <f t="shared" si="20"/>
        <v>4.6736157278639148</v>
      </c>
      <c r="AI118" s="195">
        <f t="shared" si="21"/>
        <v>0.27223385838032566</v>
      </c>
      <c r="AJ118" s="195">
        <f t="shared" si="22"/>
        <v>4.4013818694835889</v>
      </c>
      <c r="AK118" s="197">
        <f t="shared" si="23"/>
        <v>4.4399904823737977</v>
      </c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</row>
    <row r="119" spans="4:75">
      <c r="D119"/>
      <c r="E119" s="37"/>
      <c r="F119" s="37"/>
      <c r="G119" s="37"/>
      <c r="H119" s="37"/>
      <c r="I119" s="37"/>
      <c r="J119" s="37"/>
      <c r="K119" s="37"/>
      <c r="AA119" s="180">
        <f t="shared" si="38"/>
        <v>2436000000</v>
      </c>
      <c r="AB119" s="41">
        <f t="shared" ref="AB119" si="87">AB301</f>
        <v>2900</v>
      </c>
      <c r="AC119" s="21">
        <v>116</v>
      </c>
      <c r="AD119" s="21" t="s">
        <v>283</v>
      </c>
      <c r="AE119" s="41">
        <f t="shared" si="18"/>
        <v>11380.021782921203</v>
      </c>
      <c r="AF119" s="41">
        <f t="shared" si="19"/>
        <v>657.44476798848643</v>
      </c>
      <c r="AG119" s="175">
        <f t="shared" si="69"/>
        <v>10722.577014932716</v>
      </c>
      <c r="AH119" s="244">
        <f t="shared" si="20"/>
        <v>4.6716017171269311</v>
      </c>
      <c r="AI119" s="195">
        <f t="shared" si="21"/>
        <v>0.26988701477359872</v>
      </c>
      <c r="AJ119" s="195">
        <f t="shared" si="22"/>
        <v>4.4017147023533321</v>
      </c>
      <c r="AK119" s="197">
        <f t="shared" si="23"/>
        <v>4.4399904823737977</v>
      </c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</row>
    <row r="120" spans="4:75">
      <c r="D120"/>
      <c r="E120" s="37"/>
      <c r="F120" s="37"/>
      <c r="G120" s="37"/>
      <c r="H120" s="37"/>
      <c r="I120" s="37"/>
      <c r="J120" s="37"/>
      <c r="K120" s="37"/>
      <c r="AA120" s="180">
        <f t="shared" si="38"/>
        <v>2457000000</v>
      </c>
      <c r="AB120" s="41">
        <f t="shared" ref="AB120" si="88">AB302</f>
        <v>2925</v>
      </c>
      <c r="AC120" s="21">
        <v>117</v>
      </c>
      <c r="AD120" s="21" t="s">
        <v>283</v>
      </c>
      <c r="AE120" s="41">
        <f t="shared" si="18"/>
        <v>11473.261583051053</v>
      </c>
      <c r="AF120" s="41">
        <f t="shared" si="19"/>
        <v>657.44476798848643</v>
      </c>
      <c r="AG120" s="175">
        <f t="shared" si="69"/>
        <v>10815.816815062566</v>
      </c>
      <c r="AH120" s="244">
        <f t="shared" si="20"/>
        <v>4.6696221339239115</v>
      </c>
      <c r="AI120" s="195">
        <f t="shared" si="21"/>
        <v>0.26758028815160212</v>
      </c>
      <c r="AJ120" s="195">
        <f t="shared" si="22"/>
        <v>4.4020418457723096</v>
      </c>
      <c r="AK120" s="197">
        <f t="shared" si="23"/>
        <v>4.4399904823737977</v>
      </c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</row>
    <row r="121" spans="4:75">
      <c r="D121"/>
      <c r="E121" s="37"/>
      <c r="F121" s="37"/>
      <c r="G121" s="37"/>
      <c r="H121" s="37"/>
      <c r="I121" s="37"/>
      <c r="J121" s="37"/>
      <c r="K121" s="37"/>
      <c r="AA121" s="180">
        <f t="shared" si="38"/>
        <v>2478000000</v>
      </c>
      <c r="AB121" s="41">
        <f t="shared" ref="AB121" si="89">AB303</f>
        <v>2950</v>
      </c>
      <c r="AC121" s="21">
        <v>118</v>
      </c>
      <c r="AD121" s="21" t="s">
        <v>283</v>
      </c>
      <c r="AE121" s="41">
        <f t="shared" si="18"/>
        <v>11566.501383180903</v>
      </c>
      <c r="AF121" s="41">
        <f t="shared" si="19"/>
        <v>657.44476798848643</v>
      </c>
      <c r="AG121" s="175">
        <f t="shared" si="69"/>
        <v>10909.056615192416</v>
      </c>
      <c r="AH121" s="244">
        <f t="shared" si="20"/>
        <v>4.6676761029785734</v>
      </c>
      <c r="AI121" s="195">
        <f t="shared" si="21"/>
        <v>0.26531265859099529</v>
      </c>
      <c r="AJ121" s="195">
        <f t="shared" si="22"/>
        <v>4.4023634443875777</v>
      </c>
      <c r="AK121" s="197">
        <f t="shared" si="23"/>
        <v>4.4399904823737977</v>
      </c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</row>
    <row r="122" spans="4:75">
      <c r="D122"/>
      <c r="E122" s="37"/>
      <c r="F122" s="37"/>
      <c r="G122" s="37"/>
      <c r="H122" s="37"/>
      <c r="I122" s="37"/>
      <c r="J122" s="37"/>
      <c r="K122" s="37"/>
      <c r="AA122" s="180">
        <f t="shared" si="38"/>
        <v>2499000000</v>
      </c>
      <c r="AB122" s="41">
        <f t="shared" ref="AB122" si="90">AB304</f>
        <v>2975</v>
      </c>
      <c r="AC122" s="21">
        <v>119</v>
      </c>
      <c r="AD122" s="21" t="s">
        <v>283</v>
      </c>
      <c r="AE122" s="41">
        <f t="shared" ref="AE122:AE180" si="91">SUM(AF122, AG122)</f>
        <v>11659.741183310753</v>
      </c>
      <c r="AF122" s="41">
        <f t="shared" ref="AF122:AF153" si="92">SUM($AE$368:$AH$368,$BG$368)</f>
        <v>657.44476798848643</v>
      </c>
      <c r="AG122" s="175">
        <f t="shared" si="69"/>
        <v>11002.296415322266</v>
      </c>
      <c r="AH122" s="244">
        <f t="shared" ref="AH122:AH180" si="93">SUM(AI122:AJ122)</f>
        <v>4.6657627784356741</v>
      </c>
      <c r="AI122" s="195">
        <f t="shared" ref="AI122:AI180" si="94">IFERROR(AF122/AA122,0)*1000000</f>
        <v>0.26308314045157516</v>
      </c>
      <c r="AJ122" s="195">
        <f t="shared" ref="AJ122:AJ180" si="95">IFERROR(AG122/AA122,0)*1000000</f>
        <v>4.4026796379840993</v>
      </c>
      <c r="AK122" s="197">
        <f t="shared" ref="AK122:AK180" si="96">IFERROR((AE122-AE121)/(AA122-AA121),0)*1000000</f>
        <v>4.4399904823737977</v>
      </c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</row>
    <row r="123" spans="4:75">
      <c r="D123"/>
      <c r="E123" s="37"/>
      <c r="F123" s="37"/>
      <c r="G123" s="37"/>
      <c r="H123" s="37"/>
      <c r="I123" s="37"/>
      <c r="J123" s="37"/>
      <c r="K123" s="37"/>
      <c r="AA123" s="180">
        <f t="shared" si="38"/>
        <v>2520000000</v>
      </c>
      <c r="AB123" s="41">
        <f t="shared" ref="AB123" si="97">AB305</f>
        <v>3000</v>
      </c>
      <c r="AC123" s="21">
        <v>120</v>
      </c>
      <c r="AD123" s="21" t="s">
        <v>283</v>
      </c>
      <c r="AE123" s="41">
        <f t="shared" si="91"/>
        <v>11752.980983440602</v>
      </c>
      <c r="AF123" s="41">
        <f t="shared" si="92"/>
        <v>657.44476798848643</v>
      </c>
      <c r="AG123" s="175">
        <f t="shared" si="69"/>
        <v>11095.536215452115</v>
      </c>
      <c r="AH123" s="244">
        <f t="shared" si="93"/>
        <v>4.6638813426351602</v>
      </c>
      <c r="AI123" s="195">
        <f t="shared" si="94"/>
        <v>0.26089078094781204</v>
      </c>
      <c r="AJ123" s="195">
        <f t="shared" si="95"/>
        <v>4.4029905616873481</v>
      </c>
      <c r="AK123" s="197">
        <f t="shared" si="96"/>
        <v>4.4399904823737977</v>
      </c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</row>
    <row r="124" spans="4:75">
      <c r="D124"/>
      <c r="E124" s="37"/>
      <c r="F124" s="37"/>
      <c r="G124" s="37"/>
      <c r="H124" s="37"/>
      <c r="I124" s="37"/>
      <c r="J124" s="37"/>
      <c r="K124" s="37"/>
      <c r="AA124" s="180">
        <f t="shared" si="38"/>
        <v>2541000000</v>
      </c>
      <c r="AB124" s="41">
        <f t="shared" ref="AB124" si="98">AB306</f>
        <v>3025</v>
      </c>
      <c r="AC124" s="21">
        <v>121</v>
      </c>
      <c r="AD124" s="21" t="s">
        <v>283</v>
      </c>
      <c r="AE124" s="41">
        <f t="shared" si="91"/>
        <v>11846.220783570452</v>
      </c>
      <c r="AF124" s="41">
        <f t="shared" si="92"/>
        <v>657.44476798848643</v>
      </c>
      <c r="AG124" s="175">
        <f t="shared" si="69"/>
        <v>11188.776015581965</v>
      </c>
      <c r="AH124" s="244">
        <f t="shared" si="93"/>
        <v>4.6620310049470488</v>
      </c>
      <c r="AI124" s="195">
        <f t="shared" si="94"/>
        <v>0.2587346587912186</v>
      </c>
      <c r="AJ124" s="195">
        <f t="shared" si="95"/>
        <v>4.4032963461558303</v>
      </c>
      <c r="AK124" s="197">
        <f t="shared" si="96"/>
        <v>4.4399904823737977</v>
      </c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</row>
    <row r="125" spans="4:75">
      <c r="D125"/>
      <c r="E125" s="37"/>
      <c r="F125" s="37"/>
      <c r="G125" s="37"/>
      <c r="H125" s="37"/>
      <c r="I125" s="37"/>
      <c r="J125" s="37"/>
      <c r="K125" s="37"/>
      <c r="AA125" s="180">
        <f t="shared" si="38"/>
        <v>2562000000</v>
      </c>
      <c r="AB125" s="41">
        <f t="shared" ref="AB125" si="99">AB307</f>
        <v>3050</v>
      </c>
      <c r="AC125" s="21">
        <v>122</v>
      </c>
      <c r="AD125" s="21" t="s">
        <v>283</v>
      </c>
      <c r="AE125" s="41">
        <f t="shared" si="91"/>
        <v>11939.460583700302</v>
      </c>
      <c r="AF125" s="41">
        <f t="shared" si="92"/>
        <v>657.44476798848643</v>
      </c>
      <c r="AG125" s="175">
        <f t="shared" si="69"/>
        <v>11282.015815711815</v>
      </c>
      <c r="AH125" s="244">
        <f t="shared" si="93"/>
        <v>4.6602110006636623</v>
      </c>
      <c r="AI125" s="195">
        <f t="shared" si="94"/>
        <v>0.25661388289948728</v>
      </c>
      <c r="AJ125" s="195">
        <f t="shared" si="95"/>
        <v>4.4035971177641748</v>
      </c>
      <c r="AK125" s="197">
        <f t="shared" si="96"/>
        <v>4.4399904823737977</v>
      </c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</row>
    <row r="126" spans="4:75">
      <c r="D126"/>
      <c r="E126" s="37"/>
      <c r="F126" s="37"/>
      <c r="G126" s="37"/>
      <c r="H126" s="37"/>
      <c r="I126" s="37"/>
      <c r="J126" s="37"/>
      <c r="K126" s="37"/>
      <c r="AA126" s="180">
        <f t="shared" si="38"/>
        <v>2583000000</v>
      </c>
      <c r="AB126" s="41">
        <f t="shared" ref="AB126" si="100">AB308</f>
        <v>3075</v>
      </c>
      <c r="AC126" s="21">
        <v>123</v>
      </c>
      <c r="AD126" s="21" t="s">
        <v>283</v>
      </c>
      <c r="AE126" s="41">
        <f t="shared" si="91"/>
        <v>12032.700383830152</v>
      </c>
      <c r="AF126" s="41">
        <f t="shared" si="92"/>
        <v>657.44476798848643</v>
      </c>
      <c r="AG126" s="175">
        <f t="shared" si="69"/>
        <v>11375.255615841665</v>
      </c>
      <c r="AH126" s="244">
        <f t="shared" si="93"/>
        <v>4.6584205899458579</v>
      </c>
      <c r="AI126" s="195">
        <f t="shared" si="94"/>
        <v>0.25452759116859713</v>
      </c>
      <c r="AJ126" s="195">
        <f t="shared" si="95"/>
        <v>4.4038929987772608</v>
      </c>
      <c r="AK126" s="197">
        <f t="shared" si="96"/>
        <v>4.4399904823737977</v>
      </c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</row>
    <row r="127" spans="4:75">
      <c r="D127"/>
      <c r="E127" s="37"/>
      <c r="F127" s="37"/>
      <c r="G127" s="37"/>
      <c r="H127" s="37"/>
      <c r="I127" s="37"/>
      <c r="J127" s="37"/>
      <c r="K127" s="37"/>
      <c r="AA127" s="180">
        <f t="shared" si="38"/>
        <v>2604000000</v>
      </c>
      <c r="AB127" s="41">
        <f t="shared" ref="AB127" si="101">AB309</f>
        <v>3100</v>
      </c>
      <c r="AC127" s="21">
        <v>124</v>
      </c>
      <c r="AD127" s="21" t="s">
        <v>283</v>
      </c>
      <c r="AE127" s="41">
        <f t="shared" si="91"/>
        <v>12125.940183960001</v>
      </c>
      <c r="AF127" s="41">
        <f t="shared" si="92"/>
        <v>657.44476798848643</v>
      </c>
      <c r="AG127" s="175">
        <f t="shared" si="69"/>
        <v>11468.495415971514</v>
      </c>
      <c r="AH127" s="244">
        <f t="shared" si="93"/>
        <v>4.6566590568202768</v>
      </c>
      <c r="AI127" s="195">
        <f t="shared" si="94"/>
        <v>0.25247494930433428</v>
      </c>
      <c r="AJ127" s="195">
        <f t="shared" si="95"/>
        <v>4.4041841075159427</v>
      </c>
      <c r="AK127" s="197">
        <f t="shared" si="96"/>
        <v>4.4399904823737977</v>
      </c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</row>
    <row r="128" spans="4:75">
      <c r="D128"/>
      <c r="E128" s="37"/>
      <c r="F128" s="37"/>
      <c r="G128" s="37"/>
      <c r="H128" s="37"/>
      <c r="I128" s="37"/>
      <c r="J128" s="37"/>
      <c r="K128" s="37"/>
      <c r="AA128" s="180">
        <f t="shared" si="38"/>
        <v>2625000000</v>
      </c>
      <c r="AB128" s="41">
        <f t="shared" ref="AB128" si="102">AB310</f>
        <v>3125</v>
      </c>
      <c r="AC128" s="21">
        <v>125</v>
      </c>
      <c r="AD128" s="21" t="s">
        <v>283</v>
      </c>
      <c r="AE128" s="41">
        <f t="shared" si="91"/>
        <v>12219.179984089851</v>
      </c>
      <c r="AF128" s="41">
        <f t="shared" si="92"/>
        <v>657.44476798848643</v>
      </c>
      <c r="AG128" s="175">
        <f t="shared" si="69"/>
        <v>11561.735216101364</v>
      </c>
      <c r="AH128" s="244">
        <f t="shared" si="93"/>
        <v>4.6549257082247051</v>
      </c>
      <c r="AI128" s="195">
        <f t="shared" si="94"/>
        <v>0.25045514970989957</v>
      </c>
      <c r="AJ128" s="195">
        <f t="shared" si="95"/>
        <v>4.4044705585148058</v>
      </c>
      <c r="AK128" s="197">
        <f t="shared" si="96"/>
        <v>4.4399904823737977</v>
      </c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</row>
    <row r="129" spans="4:75">
      <c r="D129"/>
      <c r="E129" s="37"/>
      <c r="F129" s="37"/>
      <c r="G129" s="37"/>
      <c r="H129" s="37"/>
      <c r="I129" s="37"/>
      <c r="J129" s="37"/>
      <c r="K129" s="37"/>
      <c r="AA129" s="180">
        <f t="shared" si="38"/>
        <v>2646000000</v>
      </c>
      <c r="AB129" s="41">
        <f t="shared" ref="AB129" si="103">AB311</f>
        <v>3150</v>
      </c>
      <c r="AC129" s="21">
        <v>126</v>
      </c>
      <c r="AD129" s="21" t="s">
        <v>283</v>
      </c>
      <c r="AE129" s="41">
        <f t="shared" si="91"/>
        <v>12312.419784219701</v>
      </c>
      <c r="AF129" s="41">
        <f t="shared" si="92"/>
        <v>657.44476798848643</v>
      </c>
      <c r="AG129" s="175">
        <f t="shared" si="69"/>
        <v>11654.975016231214</v>
      </c>
      <c r="AH129" s="244">
        <f t="shared" si="93"/>
        <v>4.6532198730989034</v>
      </c>
      <c r="AI129" s="195">
        <f t="shared" si="94"/>
        <v>0.24846741042648768</v>
      </c>
      <c r="AJ129" s="195">
        <f t="shared" si="95"/>
        <v>4.4047524626724162</v>
      </c>
      <c r="AK129" s="197">
        <f t="shared" si="96"/>
        <v>4.4399904823737977</v>
      </c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</row>
    <row r="130" spans="4:75">
      <c r="D130"/>
      <c r="E130" s="37"/>
      <c r="F130" s="37"/>
      <c r="G130" s="37"/>
      <c r="H130" s="37"/>
      <c r="I130" s="37"/>
      <c r="J130" s="37"/>
      <c r="K130" s="37"/>
      <c r="AA130" s="180">
        <f t="shared" si="38"/>
        <v>2667000000</v>
      </c>
      <c r="AB130" s="41">
        <f t="shared" ref="AB130" si="104">AB312</f>
        <v>3175</v>
      </c>
      <c r="AC130" s="21">
        <v>127</v>
      </c>
      <c r="AD130" s="21" t="s">
        <v>283</v>
      </c>
      <c r="AE130" s="41">
        <f t="shared" si="91"/>
        <v>12405.659584349551</v>
      </c>
      <c r="AF130" s="41">
        <f t="shared" si="92"/>
        <v>657.44476798848643</v>
      </c>
      <c r="AG130" s="175">
        <f t="shared" si="69"/>
        <v>11748.214816361064</v>
      </c>
      <c r="AH130" s="244">
        <f t="shared" si="93"/>
        <v>4.6515409015183913</v>
      </c>
      <c r="AI130" s="195">
        <f t="shared" si="94"/>
        <v>0.24651097412391693</v>
      </c>
      <c r="AJ130" s="195">
        <f t="shared" si="95"/>
        <v>4.405029927394474</v>
      </c>
      <c r="AK130" s="197">
        <f t="shared" si="96"/>
        <v>4.4399904823737977</v>
      </c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</row>
    <row r="131" spans="4:75">
      <c r="D131"/>
      <c r="E131" s="37"/>
      <c r="F131" s="37"/>
      <c r="G131" s="37"/>
      <c r="H131" s="37"/>
      <c r="I131" s="37"/>
      <c r="J131" s="37"/>
      <c r="K131" s="37"/>
      <c r="AA131" s="180">
        <f t="shared" si="38"/>
        <v>2688000000</v>
      </c>
      <c r="AB131" s="41">
        <f t="shared" ref="AB131" si="105">AB313</f>
        <v>3200</v>
      </c>
      <c r="AC131" s="21">
        <v>128</v>
      </c>
      <c r="AD131" s="21" t="s">
        <v>283</v>
      </c>
      <c r="AE131" s="41">
        <f t="shared" si="91"/>
        <v>12498.8993844794</v>
      </c>
      <c r="AF131" s="41">
        <f t="shared" si="92"/>
        <v>657.44476798848643</v>
      </c>
      <c r="AG131" s="175">
        <f t="shared" si="69"/>
        <v>11841.454616490913</v>
      </c>
      <c r="AH131" s="244">
        <f t="shared" si="93"/>
        <v>4.649888163868825</v>
      </c>
      <c r="AI131" s="195">
        <f t="shared" si="94"/>
        <v>0.24458510713857384</v>
      </c>
      <c r="AJ131" s="195">
        <f t="shared" si="95"/>
        <v>4.4053030567302507</v>
      </c>
      <c r="AK131" s="197">
        <f t="shared" si="96"/>
        <v>4.4399904823737977</v>
      </c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</row>
    <row r="132" spans="4:75">
      <c r="D132"/>
      <c r="E132" s="37"/>
      <c r="F132" s="37"/>
      <c r="G132" s="37"/>
      <c r="H132" s="37"/>
      <c r="I132" s="37"/>
      <c r="J132" s="37"/>
      <c r="K132" s="37"/>
      <c r="AA132" s="180">
        <f t="shared" si="38"/>
        <v>2709000000</v>
      </c>
      <c r="AB132" s="41">
        <f t="shared" ref="AB132" si="106">AB314</f>
        <v>3225</v>
      </c>
      <c r="AC132" s="21">
        <v>129</v>
      </c>
      <c r="AD132" s="21" t="s">
        <v>283</v>
      </c>
      <c r="AE132" s="41">
        <f t="shared" si="91"/>
        <v>12592.13918460925</v>
      </c>
      <c r="AF132" s="41">
        <f t="shared" si="92"/>
        <v>657.44476798848643</v>
      </c>
      <c r="AG132" s="175">
        <f t="shared" si="69"/>
        <v>11934.694416620763</v>
      </c>
      <c r="AH132" s="244">
        <f t="shared" si="93"/>
        <v>4.6482610500587853</v>
      </c>
      <c r="AI132" s="195">
        <f t="shared" si="94"/>
        <v>0.24268909855610427</v>
      </c>
      <c r="AJ132" s="195">
        <f t="shared" si="95"/>
        <v>4.4055719515026812</v>
      </c>
      <c r="AK132" s="197">
        <f t="shared" si="96"/>
        <v>4.4399904823737977</v>
      </c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</row>
    <row r="133" spans="4:75">
      <c r="D133"/>
      <c r="E133" s="37"/>
      <c r="F133" s="37"/>
      <c r="G133" s="37"/>
      <c r="H133" s="37"/>
      <c r="I133" s="37"/>
      <c r="J133" s="37"/>
      <c r="K133" s="37"/>
      <c r="AA133" s="180">
        <f t="shared" si="38"/>
        <v>2730000000</v>
      </c>
      <c r="AB133" s="41">
        <f t="shared" ref="AB133" si="107">AB315</f>
        <v>3250</v>
      </c>
      <c r="AC133" s="21">
        <v>130</v>
      </c>
      <c r="AD133" s="21" t="s">
        <v>283</v>
      </c>
      <c r="AE133" s="41">
        <f t="shared" si="91"/>
        <v>12685.3789847391</v>
      </c>
      <c r="AF133" s="41">
        <f t="shared" si="92"/>
        <v>657.44476798848643</v>
      </c>
      <c r="AG133" s="175">
        <f t="shared" ref="AG133:AG164" si="108">AG132+SUM(AE497:AF497,BG497)</f>
        <v>12027.934216750613</v>
      </c>
      <c r="AH133" s="244">
        <f t="shared" si="93"/>
        <v>4.6466589687689011</v>
      </c>
      <c r="AI133" s="195">
        <f t="shared" si="94"/>
        <v>0.24082225933644191</v>
      </c>
      <c r="AJ133" s="195">
        <f t="shared" si="95"/>
        <v>4.4058367094324593</v>
      </c>
      <c r="AK133" s="197">
        <f t="shared" si="96"/>
        <v>4.4399904823737977</v>
      </c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</row>
    <row r="134" spans="4:75">
      <c r="D134"/>
      <c r="E134" s="37"/>
      <c r="F134" s="37"/>
      <c r="G134" s="37"/>
      <c r="H134" s="37"/>
      <c r="I134" s="37"/>
      <c r="J134" s="37"/>
      <c r="K134" s="37"/>
      <c r="AA134" s="180">
        <f t="shared" si="38"/>
        <v>2751000000</v>
      </c>
      <c r="AB134" s="41">
        <f t="shared" ref="AB134" si="109">AB316</f>
        <v>3275</v>
      </c>
      <c r="AC134" s="21">
        <v>131</v>
      </c>
      <c r="AD134" s="21" t="s">
        <v>283</v>
      </c>
      <c r="AE134" s="41">
        <f t="shared" si="91"/>
        <v>12778.61878486895</v>
      </c>
      <c r="AF134" s="41">
        <f t="shared" si="92"/>
        <v>657.44476798848643</v>
      </c>
      <c r="AG134" s="175">
        <f t="shared" si="108"/>
        <v>12121.174016880463</v>
      </c>
      <c r="AH134" s="244">
        <f t="shared" si="93"/>
        <v>4.6450813467353509</v>
      </c>
      <c r="AI134" s="195">
        <f t="shared" si="94"/>
        <v>0.23898392147891181</v>
      </c>
      <c r="AJ134" s="195">
        <f t="shared" si="95"/>
        <v>4.4060974252564389</v>
      </c>
      <c r="AK134" s="197">
        <f t="shared" si="96"/>
        <v>4.4399904823737977</v>
      </c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</row>
    <row r="135" spans="4:75">
      <c r="D135"/>
      <c r="E135" s="37"/>
      <c r="F135" s="37"/>
      <c r="G135" s="37"/>
      <c r="H135" s="37"/>
      <c r="I135" s="37"/>
      <c r="J135" s="37"/>
      <c r="K135" s="37"/>
      <c r="AA135" s="180">
        <f t="shared" si="38"/>
        <v>2772000000</v>
      </c>
      <c r="AB135" s="41">
        <f t="shared" ref="AB135" si="110">AB317</f>
        <v>3300</v>
      </c>
      <c r="AC135" s="21">
        <v>132</v>
      </c>
      <c r="AD135" s="21" t="s">
        <v>283</v>
      </c>
      <c r="AE135" s="41">
        <f t="shared" si="91"/>
        <v>12871.858584998799</v>
      </c>
      <c r="AF135" s="41">
        <f t="shared" si="92"/>
        <v>657.44476798848643</v>
      </c>
      <c r="AG135" s="175">
        <f t="shared" si="108"/>
        <v>12214.413817010312</v>
      </c>
      <c r="AH135" s="244">
        <f t="shared" si="93"/>
        <v>4.6435276280659448</v>
      </c>
      <c r="AI135" s="195">
        <f t="shared" si="94"/>
        <v>0.23717343722528372</v>
      </c>
      <c r="AJ135" s="195">
        <f t="shared" si="95"/>
        <v>4.4063541908406609</v>
      </c>
      <c r="AK135" s="197">
        <f t="shared" si="96"/>
        <v>4.4399904823737977</v>
      </c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</row>
    <row r="136" spans="4:75">
      <c r="D136"/>
      <c r="E136" s="37"/>
      <c r="F136" s="37"/>
      <c r="G136" s="37"/>
      <c r="H136" s="37"/>
      <c r="I136" s="37"/>
      <c r="J136" s="37"/>
      <c r="K136" s="37"/>
      <c r="AA136" s="180">
        <f t="shared" ref="AA136:AA180" si="111">AA135+$AA$4</f>
        <v>2793000000</v>
      </c>
      <c r="AB136" s="41">
        <f t="shared" ref="AB136" si="112">AB318</f>
        <v>3325</v>
      </c>
      <c r="AC136" s="21">
        <v>133</v>
      </c>
      <c r="AD136" s="21" t="s">
        <v>283</v>
      </c>
      <c r="AE136" s="41">
        <f t="shared" si="91"/>
        <v>12965.098385128649</v>
      </c>
      <c r="AF136" s="41">
        <f t="shared" si="92"/>
        <v>657.44476798848643</v>
      </c>
      <c r="AG136" s="175">
        <f t="shared" si="108"/>
        <v>12307.653617140162</v>
      </c>
      <c r="AH136" s="244">
        <f t="shared" si="93"/>
        <v>4.6419972735870569</v>
      </c>
      <c r="AI136" s="195">
        <f t="shared" si="94"/>
        <v>0.23539017829877781</v>
      </c>
      <c r="AJ136" s="195">
        <f t="shared" si="95"/>
        <v>4.4066070952882788</v>
      </c>
      <c r="AK136" s="197">
        <f t="shared" si="96"/>
        <v>4.4399904823737977</v>
      </c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</row>
    <row r="137" spans="4:75">
      <c r="D137"/>
      <c r="E137" s="37"/>
      <c r="F137" s="37"/>
      <c r="G137" s="37"/>
      <c r="H137" s="37"/>
      <c r="I137" s="37"/>
      <c r="J137" s="37"/>
      <c r="K137" s="37"/>
      <c r="AA137" s="180">
        <f t="shared" si="111"/>
        <v>2814000000</v>
      </c>
      <c r="AB137" s="41">
        <f t="shared" ref="AB137" si="113">AB319</f>
        <v>3350</v>
      </c>
      <c r="AC137" s="21">
        <v>134</v>
      </c>
      <c r="AD137" s="21" t="s">
        <v>283</v>
      </c>
      <c r="AE137" s="41">
        <f t="shared" si="91"/>
        <v>13058.338185258499</v>
      </c>
      <c r="AF137" s="41">
        <f t="shared" si="92"/>
        <v>657.44476798848643</v>
      </c>
      <c r="AG137" s="175">
        <f t="shared" si="108"/>
        <v>12400.893417270012</v>
      </c>
      <c r="AH137" s="244">
        <f t="shared" si="93"/>
        <v>4.6404897602197934</v>
      </c>
      <c r="AI137" s="195">
        <f t="shared" si="94"/>
        <v>0.23363353517714516</v>
      </c>
      <c r="AJ137" s="195">
        <f t="shared" si="95"/>
        <v>4.406856225042648</v>
      </c>
      <c r="AK137" s="197">
        <f t="shared" si="96"/>
        <v>4.4399904823737977</v>
      </c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</row>
    <row r="138" spans="4:75">
      <c r="D138"/>
      <c r="E138" s="37"/>
      <c r="F138" s="37"/>
      <c r="G138" s="37"/>
      <c r="H138" s="37"/>
      <c r="I138" s="37"/>
      <c r="J138" s="37"/>
      <c r="K138" s="37"/>
      <c r="AA138" s="180">
        <f t="shared" si="111"/>
        <v>2835000000</v>
      </c>
      <c r="AB138" s="41">
        <f t="shared" ref="AB138" si="114">AB320</f>
        <v>3375</v>
      </c>
      <c r="AC138" s="21">
        <v>135</v>
      </c>
      <c r="AD138" s="21" t="s">
        <v>283</v>
      </c>
      <c r="AE138" s="41">
        <f t="shared" si="91"/>
        <v>13151.577985388349</v>
      </c>
      <c r="AF138" s="41">
        <f t="shared" si="92"/>
        <v>657.44476798848643</v>
      </c>
      <c r="AG138" s="175">
        <f t="shared" si="108"/>
        <v>12494.133217399862</v>
      </c>
      <c r="AH138" s="244">
        <f t="shared" si="93"/>
        <v>4.6390045803838964</v>
      </c>
      <c r="AI138" s="195">
        <f t="shared" si="94"/>
        <v>0.23190291639805519</v>
      </c>
      <c r="AJ138" s="195">
        <f t="shared" si="95"/>
        <v>4.4071016639858414</v>
      </c>
      <c r="AK138" s="197">
        <f t="shared" si="96"/>
        <v>4.4399904823737977</v>
      </c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</row>
    <row r="139" spans="4:75">
      <c r="D139"/>
      <c r="E139" s="37"/>
      <c r="F139" s="37"/>
      <c r="G139" s="37"/>
      <c r="H139" s="37"/>
      <c r="I139" s="37"/>
      <c r="J139" s="37"/>
      <c r="K139" s="37"/>
      <c r="AA139" s="180">
        <f t="shared" si="111"/>
        <v>2856000000</v>
      </c>
      <c r="AB139" s="41">
        <f t="shared" ref="AB139" si="115">AB321</f>
        <v>3400</v>
      </c>
      <c r="AC139" s="21">
        <v>136</v>
      </c>
      <c r="AD139" s="21" t="s">
        <v>283</v>
      </c>
      <c r="AE139" s="41">
        <f t="shared" si="91"/>
        <v>13244.817785518198</v>
      </c>
      <c r="AF139" s="41">
        <f t="shared" si="92"/>
        <v>657.44476798848643</v>
      </c>
      <c r="AG139" s="175">
        <f t="shared" si="108"/>
        <v>12587.373017529711</v>
      </c>
      <c r="AH139" s="244">
        <f t="shared" si="93"/>
        <v>4.6375412414279404</v>
      </c>
      <c r="AI139" s="195">
        <f t="shared" si="94"/>
        <v>0.23019774789512831</v>
      </c>
      <c r="AJ139" s="195">
        <f t="shared" si="95"/>
        <v>4.407343493532812</v>
      </c>
      <c r="AK139" s="197">
        <f t="shared" si="96"/>
        <v>4.4399904823737977</v>
      </c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</row>
    <row r="140" spans="4:75">
      <c r="D140"/>
      <c r="E140" s="37"/>
      <c r="F140" s="37"/>
      <c r="G140" s="37"/>
      <c r="H140" s="37"/>
      <c r="I140" s="37"/>
      <c r="J140" s="37"/>
      <c r="K140" s="37"/>
      <c r="AA140" s="180">
        <f t="shared" si="111"/>
        <v>2877000000</v>
      </c>
      <c r="AB140" s="41">
        <f t="shared" ref="AB140" si="116">AB322</f>
        <v>3425</v>
      </c>
      <c r="AC140" s="21">
        <v>137</v>
      </c>
      <c r="AD140" s="21" t="s">
        <v>283</v>
      </c>
      <c r="AE140" s="41">
        <f t="shared" si="91"/>
        <v>13338.057585648048</v>
      </c>
      <c r="AF140" s="41">
        <f t="shared" si="92"/>
        <v>657.44476798848643</v>
      </c>
      <c r="AG140" s="175">
        <f t="shared" si="108"/>
        <v>12680.612817659561</v>
      </c>
      <c r="AH140" s="244">
        <f t="shared" si="93"/>
        <v>4.6360992650844794</v>
      </c>
      <c r="AI140" s="195">
        <f t="shared" si="94"/>
        <v>0.22851747236304709</v>
      </c>
      <c r="AJ140" s="195">
        <f t="shared" si="95"/>
        <v>4.407581792721432</v>
      </c>
      <c r="AK140" s="197">
        <f t="shared" si="96"/>
        <v>4.4399904823737977</v>
      </c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</row>
    <row r="141" spans="4:75">
      <c r="D141"/>
      <c r="E141" s="37"/>
      <c r="F141" s="37"/>
      <c r="G141" s="37"/>
      <c r="H141" s="37"/>
      <c r="I141" s="37"/>
      <c r="J141" s="37"/>
      <c r="K141" s="37"/>
      <c r="AA141" s="180">
        <f t="shared" si="111"/>
        <v>2898000000</v>
      </c>
      <c r="AB141" s="41">
        <f t="shared" ref="AB141" si="117">AB323</f>
        <v>3450</v>
      </c>
      <c r="AC141" s="21">
        <v>138</v>
      </c>
      <c r="AD141" s="21" t="s">
        <v>283</v>
      </c>
      <c r="AE141" s="41">
        <f t="shared" si="91"/>
        <v>13431.297385777898</v>
      </c>
      <c r="AF141" s="41">
        <f t="shared" si="92"/>
        <v>657.44476798848643</v>
      </c>
      <c r="AG141" s="175">
        <f t="shared" si="108"/>
        <v>12773.852617789411</v>
      </c>
      <c r="AH141" s="244">
        <f t="shared" si="93"/>
        <v>4.6346781869488947</v>
      </c>
      <c r="AI141" s="195">
        <f t="shared" si="94"/>
        <v>0.22686154865027136</v>
      </c>
      <c r="AJ141" s="195">
        <f t="shared" si="95"/>
        <v>4.4078166382986232</v>
      </c>
      <c r="AK141" s="197">
        <f t="shared" si="96"/>
        <v>4.4399904823737977</v>
      </c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</row>
    <row r="142" spans="4:75">
      <c r="D142"/>
      <c r="E142" s="37"/>
      <c r="F142" s="37"/>
      <c r="G142" s="37"/>
      <c r="H142" s="37"/>
      <c r="I142" s="37"/>
      <c r="J142" s="37"/>
      <c r="K142" s="37"/>
      <c r="AA142" s="180">
        <f t="shared" si="111"/>
        <v>2919000000</v>
      </c>
      <c r="AB142" s="41">
        <f t="shared" ref="AB142" si="118">AB324</f>
        <v>3475</v>
      </c>
      <c r="AC142" s="21">
        <v>139</v>
      </c>
      <c r="AD142" s="21" t="s">
        <v>283</v>
      </c>
      <c r="AE142" s="41">
        <f t="shared" si="91"/>
        <v>13524.537185907748</v>
      </c>
      <c r="AF142" s="41">
        <f t="shared" si="92"/>
        <v>657.44476798848643</v>
      </c>
      <c r="AG142" s="175">
        <f t="shared" si="108"/>
        <v>12867.092417919261</v>
      </c>
      <c r="AH142" s="244">
        <f t="shared" si="93"/>
        <v>4.6332775559807287</v>
      </c>
      <c r="AI142" s="195">
        <f t="shared" si="94"/>
        <v>0.22522945117796728</v>
      </c>
      <c r="AJ142" s="195">
        <f t="shared" si="95"/>
        <v>4.4080481048027611</v>
      </c>
      <c r="AK142" s="197">
        <f t="shared" si="96"/>
        <v>4.4399904823737977</v>
      </c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</row>
    <row r="143" spans="4:75">
      <c r="D143"/>
      <c r="E143" s="37"/>
      <c r="F143" s="37"/>
      <c r="G143" s="37"/>
      <c r="H143" s="37"/>
      <c r="I143" s="37"/>
      <c r="J143" s="37"/>
      <c r="K143" s="37"/>
      <c r="AA143" s="180">
        <f t="shared" si="111"/>
        <v>2940000000</v>
      </c>
      <c r="AB143" s="41">
        <f t="shared" ref="AB143" si="119">AB325</f>
        <v>3500</v>
      </c>
      <c r="AC143" s="21">
        <v>140</v>
      </c>
      <c r="AD143" s="21" t="s">
        <v>283</v>
      </c>
      <c r="AE143" s="41">
        <f t="shared" si="91"/>
        <v>13617.776986037597</v>
      </c>
      <c r="AF143" s="41">
        <f t="shared" si="92"/>
        <v>657.44476798848643</v>
      </c>
      <c r="AG143" s="175">
        <f t="shared" si="108"/>
        <v>12960.33221804911</v>
      </c>
      <c r="AH143" s="244">
        <f t="shared" si="93"/>
        <v>4.6318969340263925</v>
      </c>
      <c r="AI143" s="195">
        <f t="shared" si="94"/>
        <v>0.22362066938383893</v>
      </c>
      <c r="AJ143" s="195">
        <f t="shared" si="95"/>
        <v>4.408276264642554</v>
      </c>
      <c r="AK143" s="197">
        <f t="shared" si="96"/>
        <v>4.4399904823737977</v>
      </c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</row>
    <row r="144" spans="4:75">
      <c r="D144"/>
      <c r="E144" s="37"/>
      <c r="F144" s="37"/>
      <c r="G144" s="37"/>
      <c r="H144" s="37"/>
      <c r="I144" s="37"/>
      <c r="J144" s="37"/>
      <c r="K144" s="37"/>
      <c r="AA144" s="180">
        <f t="shared" si="111"/>
        <v>2961000000</v>
      </c>
      <c r="AB144" s="41">
        <f t="shared" ref="AB144" si="120">AB326</f>
        <v>3525</v>
      </c>
      <c r="AC144" s="21">
        <v>141</v>
      </c>
      <c r="AD144" s="21" t="s">
        <v>283</v>
      </c>
      <c r="AE144" s="41">
        <f t="shared" si="91"/>
        <v>13711.016786167447</v>
      </c>
      <c r="AF144" s="41">
        <f t="shared" si="92"/>
        <v>657.44476798848643</v>
      </c>
      <c r="AG144" s="175">
        <f t="shared" si="108"/>
        <v>13053.57201817896</v>
      </c>
      <c r="AH144" s="244">
        <f t="shared" si="93"/>
        <v>4.6305358953621907</v>
      </c>
      <c r="AI144" s="195">
        <f t="shared" si="94"/>
        <v>0.22203470718962728</v>
      </c>
      <c r="AJ144" s="195">
        <f t="shared" si="95"/>
        <v>4.4085011881725631</v>
      </c>
      <c r="AK144" s="197">
        <f t="shared" si="96"/>
        <v>4.4399904823737977</v>
      </c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</row>
    <row r="145" spans="4:75">
      <c r="D145"/>
      <c r="E145" s="37"/>
      <c r="F145" s="37"/>
      <c r="G145" s="37"/>
      <c r="H145" s="37"/>
      <c r="I145" s="37"/>
      <c r="J145" s="37"/>
      <c r="K145" s="37"/>
      <c r="AA145" s="180">
        <f t="shared" si="111"/>
        <v>2982000000</v>
      </c>
      <c r="AB145" s="41">
        <f t="shared" ref="AB145" si="121">AB327</f>
        <v>3550</v>
      </c>
      <c r="AC145" s="21">
        <v>142</v>
      </c>
      <c r="AD145" s="21" t="s">
        <v>283</v>
      </c>
      <c r="AE145" s="41">
        <f t="shared" si="91"/>
        <v>13804.256586297297</v>
      </c>
      <c r="AF145" s="41">
        <f t="shared" si="92"/>
        <v>657.44476798848643</v>
      </c>
      <c r="AG145" s="175">
        <f t="shared" si="108"/>
        <v>13146.81181830881</v>
      </c>
      <c r="AH145" s="244">
        <f t="shared" si="93"/>
        <v>4.6291940262566387</v>
      </c>
      <c r="AI145" s="195">
        <f t="shared" si="94"/>
        <v>0.22047108249110881</v>
      </c>
      <c r="AJ145" s="195">
        <f t="shared" si="95"/>
        <v>4.4087229437655298</v>
      </c>
      <c r="AK145" s="197">
        <f t="shared" si="96"/>
        <v>4.4399904823737977</v>
      </c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</row>
    <row r="146" spans="4:75">
      <c r="D146"/>
      <c r="E146" s="37"/>
      <c r="F146" s="37"/>
      <c r="G146" s="37"/>
      <c r="H146" s="37"/>
      <c r="I146" s="37"/>
      <c r="J146" s="37"/>
      <c r="K146" s="37"/>
      <c r="AA146" s="180">
        <f t="shared" si="111"/>
        <v>3003000000</v>
      </c>
      <c r="AB146" s="41">
        <f t="shared" ref="AB146" si="122">AB328</f>
        <v>3575</v>
      </c>
      <c r="AC146" s="21">
        <v>143</v>
      </c>
      <c r="AD146" s="21" t="s">
        <v>283</v>
      </c>
      <c r="AE146" s="41">
        <f t="shared" si="91"/>
        <v>13897.496386427147</v>
      </c>
      <c r="AF146" s="41">
        <f t="shared" si="92"/>
        <v>657.44476798848643</v>
      </c>
      <c r="AG146" s="175">
        <f t="shared" si="108"/>
        <v>13240.05161843866</v>
      </c>
      <c r="AH146" s="244">
        <f t="shared" si="93"/>
        <v>4.6278709245511642</v>
      </c>
      <c r="AI146" s="195">
        <f t="shared" si="94"/>
        <v>0.21892932666949266</v>
      </c>
      <c r="AJ146" s="195">
        <f t="shared" si="95"/>
        <v>4.4089415978816717</v>
      </c>
      <c r="AK146" s="197">
        <f t="shared" si="96"/>
        <v>4.4399904823737977</v>
      </c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</row>
    <row r="147" spans="4:75">
      <c r="D147"/>
      <c r="E147" s="37"/>
      <c r="F147" s="37"/>
      <c r="G147" s="37"/>
      <c r="H147" s="37"/>
      <c r="I147" s="37"/>
      <c r="J147" s="37"/>
      <c r="K147" s="37"/>
      <c r="AA147" s="180">
        <f t="shared" si="111"/>
        <v>3024000000</v>
      </c>
      <c r="AB147" s="41">
        <f t="shared" ref="AB147" si="123">AB329</f>
        <v>3600</v>
      </c>
      <c r="AC147" s="21">
        <v>144</v>
      </c>
      <c r="AD147" s="21" t="s">
        <v>283</v>
      </c>
      <c r="AE147" s="41">
        <f t="shared" si="91"/>
        <v>13990.736186556996</v>
      </c>
      <c r="AF147" s="41">
        <f t="shared" si="92"/>
        <v>657.44476798848643</v>
      </c>
      <c r="AG147" s="175">
        <f t="shared" si="108"/>
        <v>13333.291418568509</v>
      </c>
      <c r="AH147" s="244">
        <f t="shared" si="93"/>
        <v>4.6265661992582663</v>
      </c>
      <c r="AI147" s="195">
        <f t="shared" si="94"/>
        <v>0.21740898412317672</v>
      </c>
      <c r="AJ147" s="195">
        <f t="shared" si="95"/>
        <v>4.4091572151350897</v>
      </c>
      <c r="AK147" s="197">
        <f t="shared" si="96"/>
        <v>4.4399904823737977</v>
      </c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</row>
    <row r="148" spans="4:75">
      <c r="D148"/>
      <c r="E148" s="37"/>
      <c r="F148" s="37"/>
      <c r="G148" s="37"/>
      <c r="H148" s="37"/>
      <c r="I148" s="37"/>
      <c r="J148" s="37"/>
      <c r="K148" s="37"/>
      <c r="AA148" s="180">
        <f t="shared" si="111"/>
        <v>3045000000</v>
      </c>
      <c r="AB148" s="41">
        <f t="shared" ref="AB148" si="124">AB330</f>
        <v>3625</v>
      </c>
      <c r="AC148" s="21">
        <v>145</v>
      </c>
      <c r="AD148" s="21" t="s">
        <v>283</v>
      </c>
      <c r="AE148" s="41">
        <f t="shared" si="91"/>
        <v>14083.975986686846</v>
      </c>
      <c r="AF148" s="41">
        <f t="shared" si="92"/>
        <v>657.44476798848643</v>
      </c>
      <c r="AG148" s="175">
        <f t="shared" si="108"/>
        <v>13426.531218698359</v>
      </c>
      <c r="AH148" s="244">
        <f t="shared" si="93"/>
        <v>4.625279470176304</v>
      </c>
      <c r="AI148" s="195">
        <f t="shared" si="94"/>
        <v>0.21590961181887897</v>
      </c>
      <c r="AJ148" s="195">
        <f t="shared" si="95"/>
        <v>4.409369858357425</v>
      </c>
      <c r="AK148" s="197">
        <f t="shared" si="96"/>
        <v>4.4399904823737977</v>
      </c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</row>
    <row r="149" spans="4:75">
      <c r="D149"/>
      <c r="E149" s="37"/>
      <c r="F149" s="37"/>
      <c r="G149" s="37"/>
      <c r="H149" s="37"/>
      <c r="I149" s="37"/>
      <c r="J149" s="37"/>
      <c r="K149" s="37"/>
      <c r="AA149" s="180">
        <f t="shared" si="111"/>
        <v>3066000000</v>
      </c>
      <c r="AB149" s="41">
        <f t="shared" ref="AB149" si="125">AB331</f>
        <v>3650</v>
      </c>
      <c r="AC149" s="21">
        <v>146</v>
      </c>
      <c r="AD149" s="21" t="s">
        <v>283</v>
      </c>
      <c r="AE149" s="41">
        <f t="shared" si="91"/>
        <v>14177.215786816696</v>
      </c>
      <c r="AF149" s="41">
        <f t="shared" si="92"/>
        <v>657.44476798848643</v>
      </c>
      <c r="AG149" s="175">
        <f t="shared" si="108"/>
        <v>13519.771018828209</v>
      </c>
      <c r="AH149" s="244">
        <f t="shared" si="93"/>
        <v>4.624010367520123</v>
      </c>
      <c r="AI149" s="195">
        <f t="shared" si="94"/>
        <v>0.21443077886121542</v>
      </c>
      <c r="AJ149" s="195">
        <f t="shared" si="95"/>
        <v>4.4095795886589073</v>
      </c>
      <c r="AK149" s="197">
        <f t="shared" si="96"/>
        <v>4.4399904823737977</v>
      </c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</row>
    <row r="150" spans="4:75">
      <c r="D150"/>
      <c r="E150" s="37"/>
      <c r="F150" s="37"/>
      <c r="G150" s="37"/>
      <c r="H150" s="37"/>
      <c r="I150" s="37"/>
      <c r="J150" s="37"/>
      <c r="K150" s="37"/>
      <c r="AA150" s="180">
        <f t="shared" si="111"/>
        <v>3087000000</v>
      </c>
      <c r="AB150" s="41">
        <f t="shared" ref="AB150" si="126">AB332</f>
        <v>3675</v>
      </c>
      <c r="AC150" s="21">
        <v>147</v>
      </c>
      <c r="AD150" s="21" t="s">
        <v>283</v>
      </c>
      <c r="AE150" s="41">
        <f t="shared" si="91"/>
        <v>14270.455586946546</v>
      </c>
      <c r="AF150" s="41">
        <f t="shared" si="92"/>
        <v>657.44476798848643</v>
      </c>
      <c r="AG150" s="175">
        <f t="shared" si="108"/>
        <v>13613.010818958059</v>
      </c>
      <c r="AH150" s="244">
        <f t="shared" si="93"/>
        <v>4.6227585315667454</v>
      </c>
      <c r="AI150" s="195">
        <f t="shared" si="94"/>
        <v>0.21297206607984662</v>
      </c>
      <c r="AJ150" s="195">
        <f t="shared" si="95"/>
        <v>4.4097864654868992</v>
      </c>
      <c r="AK150" s="197">
        <f t="shared" si="96"/>
        <v>4.4399904823737977</v>
      </c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</row>
    <row r="151" spans="4:75">
      <c r="D151"/>
      <c r="E151" s="37"/>
      <c r="F151" s="37"/>
      <c r="G151" s="37"/>
      <c r="H151" s="37"/>
      <c r="I151" s="37"/>
      <c r="J151" s="37"/>
      <c r="K151" s="37"/>
      <c r="AA151" s="180">
        <f t="shared" si="111"/>
        <v>3108000000</v>
      </c>
      <c r="AB151" s="41">
        <f t="shared" ref="AB151" si="127">AB333</f>
        <v>3700</v>
      </c>
      <c r="AC151" s="21">
        <v>148</v>
      </c>
      <c r="AD151" s="21" t="s">
        <v>283</v>
      </c>
      <c r="AE151" s="41">
        <f t="shared" si="91"/>
        <v>14363.695387076395</v>
      </c>
      <c r="AF151" s="41">
        <f t="shared" si="92"/>
        <v>657.44476798848643</v>
      </c>
      <c r="AG151" s="175">
        <f t="shared" si="108"/>
        <v>13706.250619087908</v>
      </c>
      <c r="AH151" s="244">
        <f t="shared" si="93"/>
        <v>4.6215236123154426</v>
      </c>
      <c r="AI151" s="195">
        <f t="shared" si="94"/>
        <v>0.21153306563336113</v>
      </c>
      <c r="AJ151" s="195">
        <f t="shared" si="95"/>
        <v>4.4099905466820815</v>
      </c>
      <c r="AK151" s="197">
        <f t="shared" si="96"/>
        <v>4.4399904823737977</v>
      </c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</row>
    <row r="152" spans="4:75">
      <c r="D152"/>
      <c r="E152" s="37"/>
      <c r="F152" s="37"/>
      <c r="G152" s="37"/>
      <c r="H152" s="37"/>
      <c r="I152" s="37"/>
      <c r="J152" s="37"/>
      <c r="K152" s="37"/>
      <c r="AA152" s="180">
        <f t="shared" si="111"/>
        <v>3129000000</v>
      </c>
      <c r="AB152" s="41">
        <f t="shared" ref="AB152" si="128">AB334</f>
        <v>3725</v>
      </c>
      <c r="AC152" s="21">
        <v>149</v>
      </c>
      <c r="AD152" s="21" t="s">
        <v>283</v>
      </c>
      <c r="AE152" s="41">
        <f t="shared" si="91"/>
        <v>14456.935187206245</v>
      </c>
      <c r="AF152" s="41">
        <f t="shared" si="92"/>
        <v>657.44476798848643</v>
      </c>
      <c r="AG152" s="175">
        <f t="shared" si="108"/>
        <v>13799.490419217758</v>
      </c>
      <c r="AH152" s="244">
        <f t="shared" si="93"/>
        <v>4.620305269161471</v>
      </c>
      <c r="AI152" s="195">
        <f t="shared" si="94"/>
        <v>0.21011338062911039</v>
      </c>
      <c r="AJ152" s="195">
        <f t="shared" si="95"/>
        <v>4.4101918885323608</v>
      </c>
      <c r="AK152" s="197">
        <f t="shared" si="96"/>
        <v>4.4399904823737977</v>
      </c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</row>
    <row r="153" spans="4:75">
      <c r="D153"/>
      <c r="E153" s="37"/>
      <c r="F153" s="37"/>
      <c r="G153" s="37"/>
      <c r="H153" s="37"/>
      <c r="I153" s="37"/>
      <c r="J153" s="37"/>
      <c r="K153" s="37"/>
      <c r="AA153" s="180">
        <f t="shared" si="111"/>
        <v>3150000000</v>
      </c>
      <c r="AB153" s="41">
        <f t="shared" ref="AB153" si="129">AB335</f>
        <v>3750</v>
      </c>
      <c r="AC153" s="21">
        <v>150</v>
      </c>
      <c r="AD153" s="21" t="s">
        <v>283</v>
      </c>
      <c r="AE153" s="41">
        <f t="shared" si="91"/>
        <v>14550.174987336095</v>
      </c>
      <c r="AF153" s="41">
        <f t="shared" si="92"/>
        <v>657.44476798848643</v>
      </c>
      <c r="AG153" s="175">
        <f t="shared" si="108"/>
        <v>13892.730219347608</v>
      </c>
      <c r="AH153" s="244">
        <f t="shared" si="93"/>
        <v>4.6191031705828873</v>
      </c>
      <c r="AI153" s="195">
        <f t="shared" si="94"/>
        <v>0.20871262475824967</v>
      </c>
      <c r="AJ153" s="195">
        <f t="shared" si="95"/>
        <v>4.4103905458246375</v>
      </c>
      <c r="AK153" s="197">
        <f t="shared" si="96"/>
        <v>4.4399904823737977</v>
      </c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</row>
    <row r="154" spans="4:75">
      <c r="D154"/>
      <c r="E154" s="37"/>
      <c r="F154" s="37"/>
      <c r="G154" s="37"/>
      <c r="H154" s="37"/>
      <c r="I154" s="37"/>
      <c r="J154" s="37"/>
      <c r="K154" s="37"/>
      <c r="AA154" s="180">
        <f t="shared" si="111"/>
        <v>3171000000</v>
      </c>
      <c r="AB154" s="41">
        <f t="shared" ref="AB154" si="130">AB336</f>
        <v>3775</v>
      </c>
      <c r="AC154" s="21">
        <v>151</v>
      </c>
      <c r="AD154" s="21" t="s">
        <v>283</v>
      </c>
      <c r="AE154" s="41">
        <f t="shared" si="91"/>
        <v>14643.414787465945</v>
      </c>
      <c r="AF154" s="41">
        <f t="shared" ref="AF154:AF180" si="131">SUM($AE$368:$AH$368,$BG$368)</f>
        <v>657.44476798848643</v>
      </c>
      <c r="AG154" s="175">
        <f t="shared" si="108"/>
        <v>13985.970019477458</v>
      </c>
      <c r="AH154" s="244">
        <f t="shared" si="93"/>
        <v>4.6179169938397804</v>
      </c>
      <c r="AI154" s="195">
        <f t="shared" si="94"/>
        <v>0.20733042194528112</v>
      </c>
      <c r="AJ154" s="195">
        <f t="shared" si="95"/>
        <v>4.4105865718944992</v>
      </c>
      <c r="AK154" s="197">
        <f t="shared" si="96"/>
        <v>4.4399904823737977</v>
      </c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</row>
    <row r="155" spans="4:75">
      <c r="D155"/>
      <c r="E155" s="37"/>
      <c r="F155" s="37"/>
      <c r="G155" s="37"/>
      <c r="H155" s="37"/>
      <c r="I155" s="37"/>
      <c r="J155" s="37"/>
      <c r="K155" s="37"/>
      <c r="AA155" s="180">
        <f t="shared" si="111"/>
        <v>3192000000</v>
      </c>
      <c r="AB155" s="41">
        <f t="shared" ref="AB155" si="132">AB337</f>
        <v>3800</v>
      </c>
      <c r="AC155" s="21">
        <v>152</v>
      </c>
      <c r="AD155" s="21" t="s">
        <v>283</v>
      </c>
      <c r="AE155" s="41">
        <f t="shared" si="91"/>
        <v>14736.654587595795</v>
      </c>
      <c r="AF155" s="41">
        <f t="shared" si="131"/>
        <v>657.44476798848643</v>
      </c>
      <c r="AG155" s="175">
        <f t="shared" si="108"/>
        <v>14079.209819607308</v>
      </c>
      <c r="AH155" s="244">
        <f t="shared" si="93"/>
        <v>4.6167464246853989</v>
      </c>
      <c r="AI155" s="195">
        <f t="shared" si="94"/>
        <v>0.20596640601143057</v>
      </c>
      <c r="AJ155" s="195">
        <f t="shared" si="95"/>
        <v>4.4107800186739681</v>
      </c>
      <c r="AK155" s="197">
        <f t="shared" si="96"/>
        <v>4.4399904823737977</v>
      </c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</row>
    <row r="156" spans="4:75">
      <c r="D156"/>
      <c r="E156" s="37"/>
      <c r="F156" s="37"/>
      <c r="G156" s="37"/>
      <c r="H156" s="37"/>
      <c r="I156" s="37"/>
      <c r="J156" s="37"/>
      <c r="K156" s="37"/>
      <c r="AA156" s="180">
        <f t="shared" si="111"/>
        <v>3213000000</v>
      </c>
      <c r="AB156" s="41">
        <f t="shared" ref="AB156" si="133">AB338</f>
        <v>3825</v>
      </c>
      <c r="AC156" s="21">
        <v>153</v>
      </c>
      <c r="AD156" s="21" t="s">
        <v>283</v>
      </c>
      <c r="AE156" s="41">
        <f t="shared" si="91"/>
        <v>14829.894387725644</v>
      </c>
      <c r="AF156" s="41">
        <f t="shared" si="131"/>
        <v>657.44476798848643</v>
      </c>
      <c r="AG156" s="175">
        <f t="shared" si="108"/>
        <v>14172.449619737157</v>
      </c>
      <c r="AH156" s="244">
        <f t="shared" si="93"/>
        <v>4.6155911570885912</v>
      </c>
      <c r="AI156" s="195">
        <f t="shared" si="94"/>
        <v>0.20462022035122518</v>
      </c>
      <c r="AJ156" s="195">
        <f t="shared" si="95"/>
        <v>4.4109709367373657</v>
      </c>
      <c r="AK156" s="197">
        <f t="shared" si="96"/>
        <v>4.4399904823737977</v>
      </c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</row>
    <row r="157" spans="4:75">
      <c r="D157"/>
      <c r="E157" s="37"/>
      <c r="F157" s="37"/>
      <c r="G157" s="37"/>
      <c r="H157" s="37"/>
      <c r="I157" s="37"/>
      <c r="J157" s="37"/>
      <c r="K157" s="37"/>
      <c r="AA157" s="180">
        <f t="shared" si="111"/>
        <v>3234000000</v>
      </c>
      <c r="AB157" s="41">
        <f t="shared" ref="AB157" si="134">AB339</f>
        <v>3850</v>
      </c>
      <c r="AC157" s="21">
        <v>154</v>
      </c>
      <c r="AD157" s="21" t="s">
        <v>283</v>
      </c>
      <c r="AE157" s="41">
        <f t="shared" si="91"/>
        <v>14923.134187855494</v>
      </c>
      <c r="AF157" s="41">
        <f t="shared" si="131"/>
        <v>657.44476798848643</v>
      </c>
      <c r="AG157" s="175">
        <f t="shared" si="108"/>
        <v>14265.689419867007</v>
      </c>
      <c r="AH157" s="244">
        <f t="shared" si="93"/>
        <v>4.6144508929670662</v>
      </c>
      <c r="AI157" s="195">
        <f t="shared" si="94"/>
        <v>0.20329151762167175</v>
      </c>
      <c r="AJ157" s="195">
        <f t="shared" si="95"/>
        <v>4.4111593753453944</v>
      </c>
      <c r="AK157" s="197">
        <f t="shared" si="96"/>
        <v>4.4399904823737977</v>
      </c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</row>
    <row r="158" spans="4:75">
      <c r="D158"/>
      <c r="E158" s="37"/>
      <c r="F158" s="37"/>
      <c r="G158" s="37"/>
      <c r="H158" s="37"/>
      <c r="I158" s="37"/>
      <c r="J158" s="37"/>
      <c r="K158" s="37"/>
      <c r="AA158" s="180">
        <f t="shared" si="111"/>
        <v>3255000000</v>
      </c>
      <c r="AB158" s="41">
        <f t="shared" ref="AB158" si="135">AB340</f>
        <v>3875</v>
      </c>
      <c r="AC158" s="21">
        <v>155</v>
      </c>
      <c r="AD158" s="21" t="s">
        <v>283</v>
      </c>
      <c r="AE158" s="41">
        <f t="shared" si="91"/>
        <v>15016.373987985344</v>
      </c>
      <c r="AF158" s="41">
        <f t="shared" si="131"/>
        <v>657.44476798848643</v>
      </c>
      <c r="AG158" s="175">
        <f t="shared" si="108"/>
        <v>14358.929219996857</v>
      </c>
      <c r="AH158" s="244">
        <f t="shared" si="93"/>
        <v>4.613325341930981</v>
      </c>
      <c r="AI158" s="195">
        <f t="shared" si="94"/>
        <v>0.20197995944346742</v>
      </c>
      <c r="AJ158" s="195">
        <f t="shared" si="95"/>
        <v>4.4113453824875135</v>
      </c>
      <c r="AK158" s="197">
        <f t="shared" si="96"/>
        <v>4.4399904823737977</v>
      </c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</row>
    <row r="159" spans="4:75">
      <c r="D159"/>
      <c r="E159" s="37"/>
      <c r="F159" s="37"/>
      <c r="G159" s="37"/>
      <c r="H159" s="37"/>
      <c r="I159" s="37"/>
      <c r="J159" s="37"/>
      <c r="K159" s="37"/>
      <c r="AA159" s="180">
        <f t="shared" si="111"/>
        <v>3276000000</v>
      </c>
      <c r="AB159" s="41">
        <f t="shared" ref="AB159" si="136">AB341</f>
        <v>3900</v>
      </c>
      <c r="AC159" s="21">
        <v>156</v>
      </c>
      <c r="AD159" s="21" t="s">
        <v>283</v>
      </c>
      <c r="AE159" s="41">
        <f t="shared" si="91"/>
        <v>15109.613788115194</v>
      </c>
      <c r="AF159" s="41">
        <f t="shared" si="131"/>
        <v>657.44476798848643</v>
      </c>
      <c r="AG159" s="175">
        <f t="shared" si="108"/>
        <v>14452.169020126707</v>
      </c>
      <c r="AH159" s="244">
        <f t="shared" si="93"/>
        <v>4.6122142210363837</v>
      </c>
      <c r="AI159" s="195">
        <f t="shared" si="94"/>
        <v>0.2006852161137016</v>
      </c>
      <c r="AJ159" s="195">
        <f t="shared" si="95"/>
        <v>4.4115290049226825</v>
      </c>
      <c r="AK159" s="197">
        <f t="shared" si="96"/>
        <v>4.4399904823737977</v>
      </c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</row>
    <row r="160" spans="4:75">
      <c r="D160"/>
      <c r="E160" s="37"/>
      <c r="F160" s="37"/>
      <c r="G160" s="37"/>
      <c r="H160" s="37"/>
      <c r="I160" s="37"/>
      <c r="J160" s="37"/>
      <c r="K160" s="37"/>
      <c r="AA160" s="180">
        <f t="shared" si="111"/>
        <v>3297000000</v>
      </c>
      <c r="AB160" s="41">
        <f t="shared" ref="AB160" si="137">AB342</f>
        <v>3925</v>
      </c>
      <c r="AC160" s="21">
        <v>157</v>
      </c>
      <c r="AD160" s="21" t="s">
        <v>283</v>
      </c>
      <c r="AE160" s="41">
        <f t="shared" si="91"/>
        <v>15202.853588245043</v>
      </c>
      <c r="AF160" s="41">
        <f t="shared" si="131"/>
        <v>657.44476798848643</v>
      </c>
      <c r="AG160" s="175">
        <f t="shared" si="108"/>
        <v>14545.408820256556</v>
      </c>
      <c r="AH160" s="244">
        <f t="shared" si="93"/>
        <v>4.6111172545480876</v>
      </c>
      <c r="AI160" s="195">
        <f t="shared" si="94"/>
        <v>0.19940696632953789</v>
      </c>
      <c r="AJ160" s="195">
        <f t="shared" si="95"/>
        <v>4.4117102882185497</v>
      </c>
      <c r="AK160" s="197">
        <f t="shared" si="96"/>
        <v>4.4399904823737977</v>
      </c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</row>
    <row r="161" spans="4:75">
      <c r="D161"/>
      <c r="E161" s="37"/>
      <c r="F161" s="37"/>
      <c r="G161" s="37"/>
      <c r="H161" s="37"/>
      <c r="I161" s="37"/>
      <c r="J161" s="37"/>
      <c r="K161" s="37"/>
      <c r="AA161" s="180">
        <f t="shared" si="111"/>
        <v>3318000000</v>
      </c>
      <c r="AB161" s="41">
        <f t="shared" ref="AB161" si="138">AB343</f>
        <v>3950</v>
      </c>
      <c r="AC161" s="21">
        <v>158</v>
      </c>
      <c r="AD161" s="21" t="s">
        <v>283</v>
      </c>
      <c r="AE161" s="41">
        <f t="shared" si="91"/>
        <v>15296.093388374893</v>
      </c>
      <c r="AF161" s="41">
        <f t="shared" si="131"/>
        <v>657.44476798848643</v>
      </c>
      <c r="AG161" s="175">
        <f t="shared" si="108"/>
        <v>14638.648620386406</v>
      </c>
      <c r="AH161" s="244">
        <f t="shared" si="93"/>
        <v>4.61003417371154</v>
      </c>
      <c r="AI161" s="195">
        <f t="shared" si="94"/>
        <v>0.1981448969223889</v>
      </c>
      <c r="AJ161" s="195">
        <f t="shared" si="95"/>
        <v>4.4118892767891511</v>
      </c>
      <c r="AK161" s="197">
        <f t="shared" si="96"/>
        <v>4.4399904823737977</v>
      </c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</row>
    <row r="162" spans="4:75">
      <c r="D162"/>
      <c r="E162" s="37"/>
      <c r="F162" s="37"/>
      <c r="G162" s="37"/>
      <c r="H162" s="37"/>
      <c r="I162" s="37"/>
      <c r="J162" s="37"/>
      <c r="K162" s="37"/>
      <c r="AA162" s="180">
        <f t="shared" si="111"/>
        <v>3339000000</v>
      </c>
      <c r="AB162" s="41">
        <f t="shared" ref="AB162" si="139">AB344</f>
        <v>3975</v>
      </c>
      <c r="AC162" s="21">
        <v>159</v>
      </c>
      <c r="AD162" s="21" t="s">
        <v>283</v>
      </c>
      <c r="AE162" s="41">
        <f t="shared" si="91"/>
        <v>15389.333188504743</v>
      </c>
      <c r="AF162" s="41">
        <f t="shared" si="131"/>
        <v>657.44476798848643</v>
      </c>
      <c r="AG162" s="175">
        <f t="shared" si="108"/>
        <v>14731.888420516256</v>
      </c>
      <c r="AH162" s="244">
        <f t="shared" si="93"/>
        <v>4.6089647165333165</v>
      </c>
      <c r="AI162" s="195">
        <f t="shared" si="94"/>
        <v>0.19689870260212231</v>
      </c>
      <c r="AJ162" s="195">
        <f t="shared" si="95"/>
        <v>4.4120660139311942</v>
      </c>
      <c r="AK162" s="197">
        <f t="shared" si="96"/>
        <v>4.4399904823737977</v>
      </c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</row>
    <row r="163" spans="4:75">
      <c r="D163"/>
      <c r="E163" s="37"/>
      <c r="F163" s="37"/>
      <c r="G163" s="37"/>
      <c r="H163" s="37"/>
      <c r="I163" s="37"/>
      <c r="J163" s="37"/>
      <c r="K163" s="37"/>
      <c r="AA163" s="180">
        <f t="shared" si="111"/>
        <v>3360000000</v>
      </c>
      <c r="AB163" s="41">
        <f t="shared" ref="AB163" si="140">AB345</f>
        <v>4000</v>
      </c>
      <c r="AC163" s="21">
        <v>160</v>
      </c>
      <c r="AD163" s="21" t="s">
        <v>283</v>
      </c>
      <c r="AE163" s="41">
        <f t="shared" si="91"/>
        <v>15482.572988634593</v>
      </c>
      <c r="AF163" s="41">
        <f t="shared" si="131"/>
        <v>657.44476798848643</v>
      </c>
      <c r="AG163" s="175">
        <f t="shared" si="108"/>
        <v>14825.128220646106</v>
      </c>
      <c r="AH163" s="244">
        <f t="shared" si="93"/>
        <v>4.6079086275698193</v>
      </c>
      <c r="AI163" s="195">
        <f t="shared" si="94"/>
        <v>0.19566808571085906</v>
      </c>
      <c r="AJ163" s="195">
        <f t="shared" si="95"/>
        <v>4.4122405418589601</v>
      </c>
      <c r="AK163" s="197">
        <f t="shared" si="96"/>
        <v>4.4399904823737977</v>
      </c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</row>
    <row r="164" spans="4:75">
      <c r="D164"/>
      <c r="E164" s="37"/>
      <c r="F164" s="37"/>
      <c r="G164" s="37"/>
      <c r="H164" s="37"/>
      <c r="I164" s="37"/>
      <c r="J164" s="37"/>
      <c r="K164" s="37"/>
      <c r="AA164" s="180">
        <f t="shared" si="111"/>
        <v>3381000000</v>
      </c>
      <c r="AB164" s="41">
        <f t="shared" ref="AB164" si="141">AB346</f>
        <v>4025</v>
      </c>
      <c r="AC164" s="21">
        <v>161</v>
      </c>
      <c r="AD164" s="21" t="s">
        <v>283</v>
      </c>
      <c r="AE164" s="41">
        <f t="shared" si="91"/>
        <v>15575.812788764442</v>
      </c>
      <c r="AF164" s="41">
        <f t="shared" si="131"/>
        <v>657.44476798848643</v>
      </c>
      <c r="AG164" s="175">
        <f t="shared" si="108"/>
        <v>14918.368020775955</v>
      </c>
      <c r="AH164" s="244">
        <f t="shared" si="93"/>
        <v>4.6068656577238807</v>
      </c>
      <c r="AI164" s="195">
        <f t="shared" si="94"/>
        <v>0.19445275598594688</v>
      </c>
      <c r="AJ164" s="195">
        <f t="shared" si="95"/>
        <v>4.4124129017379339</v>
      </c>
      <c r="AK164" s="197">
        <f t="shared" si="96"/>
        <v>4.4399904823737977</v>
      </c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</row>
    <row r="165" spans="4:75">
      <c r="D165"/>
      <c r="E165" s="37"/>
      <c r="F165" s="37"/>
      <c r="G165" s="37"/>
      <c r="H165" s="37"/>
      <c r="I165" s="37"/>
      <c r="J165" s="37"/>
      <c r="K165" s="37"/>
      <c r="AA165" s="180">
        <f t="shared" si="111"/>
        <v>3402000000</v>
      </c>
      <c r="AB165" s="41">
        <f t="shared" ref="AB165" si="142">AB347</f>
        <v>4050</v>
      </c>
      <c r="AC165" s="21">
        <v>162</v>
      </c>
      <c r="AD165" s="21" t="s">
        <v>283</v>
      </c>
      <c r="AE165" s="41">
        <f t="shared" si="91"/>
        <v>15669.052588894292</v>
      </c>
      <c r="AF165" s="41">
        <f t="shared" si="131"/>
        <v>657.44476798848643</v>
      </c>
      <c r="AG165" s="175">
        <f t="shared" ref="AG165:AG180" si="143">AG164+SUM(AE529:AF529,BG529)</f>
        <v>15011.607820905805</v>
      </c>
      <c r="AH165" s="244">
        <f t="shared" si="93"/>
        <v>4.6058355640488804</v>
      </c>
      <c r="AI165" s="195">
        <f t="shared" si="94"/>
        <v>0.19325243033171266</v>
      </c>
      <c r="AJ165" s="195">
        <f t="shared" si="95"/>
        <v>4.4125831337171677</v>
      </c>
      <c r="AK165" s="197">
        <f t="shared" si="96"/>
        <v>4.4399904823737977</v>
      </c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</row>
    <row r="166" spans="4:75">
      <c r="D166"/>
      <c r="E166" s="37"/>
      <c r="F166" s="37"/>
      <c r="G166" s="37"/>
      <c r="H166" s="37"/>
      <c r="I166" s="37"/>
      <c r="J166" s="37"/>
      <c r="K166" s="37"/>
      <c r="AA166" s="180">
        <f t="shared" si="111"/>
        <v>3423000000</v>
      </c>
      <c r="AB166" s="41">
        <f t="shared" ref="AB166" si="144">AB348</f>
        <v>4075</v>
      </c>
      <c r="AC166" s="21">
        <v>163</v>
      </c>
      <c r="AD166" s="21" t="s">
        <v>283</v>
      </c>
      <c r="AE166" s="41">
        <f t="shared" si="91"/>
        <v>15762.292389024142</v>
      </c>
      <c r="AF166" s="41">
        <f t="shared" si="131"/>
        <v>657.44476798848643</v>
      </c>
      <c r="AG166" s="175">
        <f t="shared" si="143"/>
        <v>15104.847621035655</v>
      </c>
      <c r="AH166" s="244">
        <f t="shared" si="93"/>
        <v>4.6048181095600764</v>
      </c>
      <c r="AI166" s="195">
        <f t="shared" si="94"/>
        <v>0.19206683259961627</v>
      </c>
      <c r="AJ166" s="195">
        <f t="shared" si="95"/>
        <v>4.41275127696046</v>
      </c>
      <c r="AK166" s="197">
        <f t="shared" si="96"/>
        <v>4.4399904823737977</v>
      </c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</row>
    <row r="167" spans="4:75">
      <c r="D167"/>
      <c r="E167" s="37"/>
      <c r="F167" s="37"/>
      <c r="G167" s="37"/>
      <c r="H167" s="37"/>
      <c r="I167" s="37"/>
      <c r="J167" s="37"/>
      <c r="K167" s="37"/>
      <c r="AA167" s="180">
        <f t="shared" si="111"/>
        <v>3444000000</v>
      </c>
      <c r="AB167" s="41">
        <f t="shared" ref="AB167" si="145">AB349</f>
        <v>4100</v>
      </c>
      <c r="AC167" s="21">
        <v>164</v>
      </c>
      <c r="AD167" s="21" t="s">
        <v>283</v>
      </c>
      <c r="AE167" s="41">
        <f t="shared" si="91"/>
        <v>15855.532189153992</v>
      </c>
      <c r="AF167" s="41">
        <f t="shared" si="131"/>
        <v>657.44476798848643</v>
      </c>
      <c r="AG167" s="175">
        <f t="shared" si="143"/>
        <v>15198.087421165505</v>
      </c>
      <c r="AH167" s="244">
        <f t="shared" si="93"/>
        <v>4.6038130630528435</v>
      </c>
      <c r="AI167" s="195">
        <f t="shared" si="94"/>
        <v>0.19089569337644785</v>
      </c>
      <c r="AJ167" s="195">
        <f t="shared" si="95"/>
        <v>4.4129173696763955</v>
      </c>
      <c r="AK167" s="197">
        <f t="shared" si="96"/>
        <v>4.4399904823737977</v>
      </c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</row>
    <row r="168" spans="4:75" ht="13.8">
      <c r="AA168" s="180">
        <f t="shared" si="111"/>
        <v>3465000000</v>
      </c>
      <c r="AB168" s="41">
        <f t="shared" ref="AB168" si="146">AB350</f>
        <v>4125</v>
      </c>
      <c r="AC168" s="21">
        <v>165</v>
      </c>
      <c r="AD168" s="21" t="s">
        <v>283</v>
      </c>
      <c r="AE168" s="41">
        <f t="shared" si="91"/>
        <v>15948.771989283841</v>
      </c>
      <c r="AF168" s="41">
        <f t="shared" si="131"/>
        <v>657.44476798848643</v>
      </c>
      <c r="AG168" s="175">
        <f t="shared" si="143"/>
        <v>15291.327221295354</v>
      </c>
      <c r="AH168" s="244">
        <f t="shared" si="93"/>
        <v>4.6028201989275157</v>
      </c>
      <c r="AI168" s="195">
        <f t="shared" si="94"/>
        <v>0.18973874978022698</v>
      </c>
      <c r="AJ168" s="195">
        <f t="shared" si="95"/>
        <v>4.4130814491472883</v>
      </c>
      <c r="AK168" s="197">
        <f t="shared" si="96"/>
        <v>4.4399904823737977</v>
      </c>
      <c r="BH168" s="2"/>
      <c r="BI168" s="2"/>
    </row>
    <row r="169" spans="4:75" ht="13.8">
      <c r="AA169" s="180">
        <f t="shared" si="111"/>
        <v>3486000000</v>
      </c>
      <c r="AB169" s="41">
        <f t="shared" ref="AB169" si="147">AB351</f>
        <v>4150</v>
      </c>
      <c r="AC169" s="21">
        <v>166</v>
      </c>
      <c r="AD169" s="21" t="s">
        <v>283</v>
      </c>
      <c r="AE169" s="41">
        <f t="shared" si="91"/>
        <v>16042.011789413691</v>
      </c>
      <c r="AF169" s="41">
        <f t="shared" si="131"/>
        <v>657.44476798848643</v>
      </c>
      <c r="AG169" s="175">
        <f t="shared" si="143"/>
        <v>15384.567021425204</v>
      </c>
      <c r="AH169" s="244">
        <f t="shared" si="93"/>
        <v>4.6018392970205655</v>
      </c>
      <c r="AI169" s="195">
        <f t="shared" si="94"/>
        <v>0.18859574526347861</v>
      </c>
      <c r="AJ169" s="195">
        <f t="shared" si="95"/>
        <v>4.4132435517570867</v>
      </c>
      <c r="AK169" s="197">
        <f t="shared" si="96"/>
        <v>4.4399904823737977</v>
      </c>
      <c r="BH169" s="2"/>
      <c r="BI169" s="2"/>
    </row>
    <row r="170" spans="4:75" ht="13.8">
      <c r="AA170" s="180">
        <f t="shared" si="111"/>
        <v>3507000000</v>
      </c>
      <c r="AB170" s="41">
        <f t="shared" ref="AB170" si="148">AB352</f>
        <v>4175</v>
      </c>
      <c r="AC170" s="21">
        <v>167</v>
      </c>
      <c r="AD170" s="21" t="s">
        <v>283</v>
      </c>
      <c r="AE170" s="41">
        <f t="shared" si="91"/>
        <v>16135.251589543541</v>
      </c>
      <c r="AF170" s="41">
        <f t="shared" si="131"/>
        <v>657.44476798848643</v>
      </c>
      <c r="AG170" s="175">
        <f t="shared" si="143"/>
        <v>15477.806821555054</v>
      </c>
      <c r="AH170" s="244">
        <f t="shared" si="93"/>
        <v>4.6008701424418419</v>
      </c>
      <c r="AI170" s="195">
        <f t="shared" si="94"/>
        <v>0.18746642942357755</v>
      </c>
      <c r="AJ170" s="195">
        <f t="shared" si="95"/>
        <v>4.4134037130182646</v>
      </c>
      <c r="AK170" s="197">
        <f t="shared" si="96"/>
        <v>4.4399904823737977</v>
      </c>
      <c r="BH170" s="2"/>
      <c r="BI170" s="2"/>
    </row>
    <row r="171" spans="4:75" ht="13.8">
      <c r="AA171" s="180">
        <f t="shared" si="111"/>
        <v>3528000000</v>
      </c>
      <c r="AB171" s="41">
        <f t="shared" ref="AB171" si="149">AB353</f>
        <v>4200</v>
      </c>
      <c r="AC171" s="21">
        <v>168</v>
      </c>
      <c r="AD171" s="21" t="s">
        <v>283</v>
      </c>
      <c r="AE171" s="41">
        <f t="shared" si="91"/>
        <v>16228.491389673391</v>
      </c>
      <c r="AF171" s="41">
        <f t="shared" si="131"/>
        <v>657.44476798848643</v>
      </c>
      <c r="AG171" s="175">
        <f t="shared" si="143"/>
        <v>15571.046621684904</v>
      </c>
      <c r="AH171" s="244">
        <f t="shared" si="93"/>
        <v>4.5999125254176274</v>
      </c>
      <c r="AI171" s="195">
        <f t="shared" si="94"/>
        <v>0.18635055781986579</v>
      </c>
      <c r="AJ171" s="195">
        <f t="shared" si="95"/>
        <v>4.4135619675977615</v>
      </c>
      <c r="AK171" s="197">
        <f t="shared" si="96"/>
        <v>4.4399904823737977</v>
      </c>
      <c r="BH171" s="2"/>
      <c r="BI171" s="2"/>
    </row>
    <row r="172" spans="4:75" ht="13.8">
      <c r="AA172" s="180">
        <f t="shared" si="111"/>
        <v>3549000000</v>
      </c>
      <c r="AB172" s="41">
        <f t="shared" ref="AB172" si="150">AB354</f>
        <v>4225</v>
      </c>
      <c r="AC172" s="21">
        <v>169</v>
      </c>
      <c r="AD172" s="21" t="s">
        <v>283</v>
      </c>
      <c r="AE172" s="41">
        <f t="shared" si="91"/>
        <v>16321.73118980324</v>
      </c>
      <c r="AF172" s="41">
        <f t="shared" si="131"/>
        <v>657.44476798848643</v>
      </c>
      <c r="AG172" s="175">
        <f t="shared" si="143"/>
        <v>15664.286421814753</v>
      </c>
      <c r="AH172" s="244">
        <f t="shared" si="93"/>
        <v>4.5989662411392622</v>
      </c>
      <c r="AI172" s="195">
        <f t="shared" si="94"/>
        <v>0.185247891797263</v>
      </c>
      <c r="AJ172" s="195">
        <f t="shared" si="95"/>
        <v>4.4137183493419991</v>
      </c>
      <c r="AK172" s="197">
        <f t="shared" si="96"/>
        <v>4.4399904823737977</v>
      </c>
      <c r="BH172" s="2"/>
      <c r="BI172" s="2"/>
    </row>
    <row r="173" spans="4:75" ht="13.8">
      <c r="AA173" s="180">
        <f t="shared" si="111"/>
        <v>3570000000</v>
      </c>
      <c r="AB173" s="41">
        <f t="shared" ref="AB173" si="151">AB355</f>
        <v>4250</v>
      </c>
      <c r="AC173" s="21">
        <v>170</v>
      </c>
      <c r="AD173" s="21" t="s">
        <v>283</v>
      </c>
      <c r="AE173" s="41">
        <f t="shared" si="91"/>
        <v>16414.970989933088</v>
      </c>
      <c r="AF173" s="41">
        <f t="shared" si="131"/>
        <v>657.44476798848643</v>
      </c>
      <c r="AG173" s="175">
        <f t="shared" si="143"/>
        <v>15757.526221944603</v>
      </c>
      <c r="AH173" s="244">
        <f t="shared" si="93"/>
        <v>4.5980310896171117</v>
      </c>
      <c r="AI173" s="195">
        <f t="shared" si="94"/>
        <v>0.18415819831610264</v>
      </c>
      <c r="AJ173" s="195">
        <f t="shared" si="95"/>
        <v>4.4138728913010095</v>
      </c>
      <c r="AK173" s="197">
        <f t="shared" si="96"/>
        <v>4.4399904823737115</v>
      </c>
      <c r="BH173" s="2"/>
      <c r="BI173" s="2"/>
    </row>
    <row r="174" spans="4:75" ht="13.8">
      <c r="AA174" s="180">
        <f t="shared" si="111"/>
        <v>3591000000</v>
      </c>
      <c r="AB174" s="41">
        <f t="shared" ref="AB174" si="152">AB356</f>
        <v>4275</v>
      </c>
      <c r="AC174" s="21">
        <v>171</v>
      </c>
      <c r="AD174" s="21" t="s">
        <v>283</v>
      </c>
      <c r="AE174" s="41">
        <f t="shared" si="91"/>
        <v>16508.210790062938</v>
      </c>
      <c r="AF174" s="41">
        <f t="shared" si="131"/>
        <v>657.44476798848643</v>
      </c>
      <c r="AG174" s="175">
        <f t="shared" si="143"/>
        <v>15850.766022074453</v>
      </c>
      <c r="AH174" s="244">
        <f t="shared" si="93"/>
        <v>4.5971068755396658</v>
      </c>
      <c r="AI174" s="195">
        <f t="shared" si="94"/>
        <v>0.1830812497879383</v>
      </c>
      <c r="AJ174" s="195">
        <f t="shared" si="95"/>
        <v>4.4140256257517274</v>
      </c>
      <c r="AK174" s="197">
        <f t="shared" si="96"/>
        <v>4.4399904823737977</v>
      </c>
      <c r="BH174" s="2"/>
      <c r="BI174" s="2"/>
    </row>
    <row r="175" spans="4:75" ht="13.8">
      <c r="AA175" s="180">
        <f t="shared" si="111"/>
        <v>3612000000</v>
      </c>
      <c r="AB175" s="41">
        <f t="shared" ref="AB175" si="153">AB357</f>
        <v>4300</v>
      </c>
      <c r="AC175" s="21">
        <v>172</v>
      </c>
      <c r="AD175" s="21" t="s">
        <v>283</v>
      </c>
      <c r="AE175" s="41">
        <f t="shared" si="91"/>
        <v>16601.450590192788</v>
      </c>
      <c r="AF175" s="41">
        <f t="shared" si="131"/>
        <v>657.44476798848643</v>
      </c>
      <c r="AG175" s="175">
        <f t="shared" si="143"/>
        <v>15944.005822204303</v>
      </c>
      <c r="AH175" s="244">
        <f t="shared" si="93"/>
        <v>4.5961934081375393</v>
      </c>
      <c r="AI175" s="195">
        <f t="shared" si="94"/>
        <v>0.18201682391707821</v>
      </c>
      <c r="AJ175" s="195">
        <f t="shared" si="95"/>
        <v>4.4141765842204608</v>
      </c>
      <c r="AK175" s="197">
        <f t="shared" si="96"/>
        <v>4.4399904823737977</v>
      </c>
      <c r="BH175" s="2"/>
      <c r="BI175" s="2"/>
    </row>
    <row r="176" spans="4:75" ht="13.8">
      <c r="AA176" s="180">
        <f t="shared" si="111"/>
        <v>3633000000</v>
      </c>
      <c r="AB176" s="41">
        <f t="shared" ref="AB176" si="154">AB358</f>
        <v>4325</v>
      </c>
      <c r="AC176" s="21">
        <v>173</v>
      </c>
      <c r="AD176" s="21" t="s">
        <v>283</v>
      </c>
      <c r="AE176" s="41">
        <f t="shared" si="91"/>
        <v>16694.690390322638</v>
      </c>
      <c r="AF176" s="41">
        <f t="shared" si="131"/>
        <v>657.44476798848643</v>
      </c>
      <c r="AG176" s="175">
        <f t="shared" si="143"/>
        <v>16037.245622334152</v>
      </c>
      <c r="AH176" s="244">
        <f t="shared" si="93"/>
        <v>4.5952905010521992</v>
      </c>
      <c r="AI176" s="195">
        <f t="shared" si="94"/>
        <v>0.18096470354761532</v>
      </c>
      <c r="AJ176" s="195">
        <f t="shared" si="95"/>
        <v>4.414325797504584</v>
      </c>
      <c r="AK176" s="197">
        <f t="shared" si="96"/>
        <v>4.4399904823737977</v>
      </c>
      <c r="BH176" s="2"/>
      <c r="BI176" s="2"/>
    </row>
    <row r="177" spans="27:61" ht="13.8">
      <c r="AA177" s="180">
        <f t="shared" si="111"/>
        <v>3654000000</v>
      </c>
      <c r="AB177" s="41">
        <f t="shared" ref="AB177" si="155">AB359</f>
        <v>4350</v>
      </c>
      <c r="AC177" s="21">
        <v>174</v>
      </c>
      <c r="AD177" s="21" t="s">
        <v>283</v>
      </c>
      <c r="AE177" s="41">
        <f t="shared" si="91"/>
        <v>16787.930190452487</v>
      </c>
      <c r="AF177" s="41">
        <f t="shared" si="131"/>
        <v>657.44476798848643</v>
      </c>
      <c r="AG177" s="175">
        <f t="shared" si="143"/>
        <v>16130.485422464002</v>
      </c>
      <c r="AH177" s="244">
        <f t="shared" si="93"/>
        <v>4.5943979722092188</v>
      </c>
      <c r="AI177" s="195">
        <f t="shared" si="94"/>
        <v>0.17992467651573246</v>
      </c>
      <c r="AJ177" s="195">
        <f t="shared" si="95"/>
        <v>4.4144732956934867</v>
      </c>
      <c r="AK177" s="197">
        <f t="shared" si="96"/>
        <v>4.4399904823737977</v>
      </c>
      <c r="AT177" s="2"/>
      <c r="AU177" s="2"/>
      <c r="AV177" s="2"/>
      <c r="AW177" s="2"/>
      <c r="AX177" s="2"/>
      <c r="BH177" s="2"/>
      <c r="BI177" s="2"/>
    </row>
    <row r="178" spans="27:61" ht="13.8">
      <c r="AA178" s="180">
        <f t="shared" si="111"/>
        <v>3675000000</v>
      </c>
      <c r="AB178" s="41">
        <f t="shared" ref="AB178" si="156">AB360</f>
        <v>4375</v>
      </c>
      <c r="AC178" s="21">
        <v>175</v>
      </c>
      <c r="AD178" s="21" t="s">
        <v>283</v>
      </c>
      <c r="AE178" s="41">
        <f t="shared" si="91"/>
        <v>16881.169990582337</v>
      </c>
      <c r="AF178" s="41">
        <f t="shared" si="131"/>
        <v>657.44476798848643</v>
      </c>
      <c r="AG178" s="175">
        <f t="shared" si="143"/>
        <v>16223.725222593852</v>
      </c>
      <c r="AH178" s="244">
        <f t="shared" si="93"/>
        <v>4.5935156436958744</v>
      </c>
      <c r="AI178" s="195">
        <f t="shared" si="94"/>
        <v>0.17889653550707113</v>
      </c>
      <c r="AJ178" s="195">
        <f t="shared" si="95"/>
        <v>4.4146191081888029</v>
      </c>
      <c r="AK178" s="197">
        <f t="shared" si="96"/>
        <v>4.4399904823737977</v>
      </c>
      <c r="AT178" s="2"/>
      <c r="AU178" s="2"/>
      <c r="AV178" s="2"/>
      <c r="AW178" s="2"/>
      <c r="AX178" s="2"/>
      <c r="BH178" s="2"/>
      <c r="BI178" s="2"/>
    </row>
    <row r="179" spans="27:61" ht="13.8">
      <c r="AA179" s="180">
        <f t="shared" si="111"/>
        <v>3696000000</v>
      </c>
      <c r="AB179" s="41">
        <f t="shared" ref="AB179" si="157">AB361</f>
        <v>4400</v>
      </c>
      <c r="AC179" s="21">
        <v>176</v>
      </c>
      <c r="AD179" s="21" t="s">
        <v>283</v>
      </c>
      <c r="AE179" s="41">
        <f t="shared" si="91"/>
        <v>16974.409790712187</v>
      </c>
      <c r="AF179" s="41">
        <f t="shared" si="131"/>
        <v>657.44476798848643</v>
      </c>
      <c r="AG179" s="175">
        <f t="shared" si="143"/>
        <v>16316.965022723702</v>
      </c>
      <c r="AH179" s="244">
        <f t="shared" si="93"/>
        <v>4.5926433416429084</v>
      </c>
      <c r="AI179" s="195">
        <f t="shared" si="94"/>
        <v>0.17788007791896279</v>
      </c>
      <c r="AJ179" s="195">
        <f t="shared" si="95"/>
        <v>4.4147632637239456</v>
      </c>
      <c r="AK179" s="197">
        <f t="shared" si="96"/>
        <v>4.4399904823737977</v>
      </c>
      <c r="AT179" s="2"/>
      <c r="AU179" s="2"/>
      <c r="AV179" s="2"/>
      <c r="AW179" s="2"/>
      <c r="AX179" s="2"/>
      <c r="BH179" s="2"/>
      <c r="BI179" s="2"/>
    </row>
    <row r="180" spans="27:61" thickBot="1">
      <c r="AA180" s="188">
        <f t="shared" si="111"/>
        <v>3717000000</v>
      </c>
      <c r="AB180" s="40">
        <f t="shared" ref="AB180" si="158">AB362</f>
        <v>4425</v>
      </c>
      <c r="AC180" s="81">
        <v>177</v>
      </c>
      <c r="AD180" s="81" t="s">
        <v>283</v>
      </c>
      <c r="AE180" s="40">
        <f t="shared" si="91"/>
        <v>17067.649590842037</v>
      </c>
      <c r="AF180" s="40">
        <f t="shared" si="131"/>
        <v>657.44476798848643</v>
      </c>
      <c r="AG180" s="177">
        <f t="shared" si="143"/>
        <v>16410.20482285355</v>
      </c>
      <c r="AH180" s="245">
        <f t="shared" si="93"/>
        <v>4.591780896110313</v>
      </c>
      <c r="AI180" s="198">
        <f t="shared" si="94"/>
        <v>0.1768751057273302</v>
      </c>
      <c r="AJ180" s="198">
        <f t="shared" si="95"/>
        <v>4.4149057903829831</v>
      </c>
      <c r="AK180" s="199">
        <f t="shared" si="96"/>
        <v>4.4399904823737977</v>
      </c>
      <c r="AT180" s="2"/>
      <c r="AU180" s="2"/>
      <c r="AV180" s="2"/>
      <c r="AW180" s="2"/>
      <c r="AX180" s="2"/>
      <c r="BH180" s="2"/>
      <c r="BI180" s="2"/>
    </row>
    <row r="181" spans="27:61">
      <c r="AA181" s="55"/>
      <c r="AB181" s="18"/>
      <c r="AC181"/>
      <c r="AD181"/>
      <c r="AE181"/>
      <c r="AF181"/>
      <c r="AG181"/>
      <c r="AH181" s="238"/>
      <c r="AI181"/>
      <c r="AJ181"/>
      <c r="AK181"/>
      <c r="AT181" s="2"/>
      <c r="AU181" s="2"/>
      <c r="AV181" s="2"/>
      <c r="AW181" s="2"/>
      <c r="AX181" s="2"/>
      <c r="BH181" s="2"/>
      <c r="BI181" s="2"/>
    </row>
    <row r="182" spans="27:61">
      <c r="AA182" s="55"/>
      <c r="AB182" s="18"/>
      <c r="AC182"/>
      <c r="AD182"/>
      <c r="AE182"/>
      <c r="AF182"/>
      <c r="AG182"/>
      <c r="AH182" s="238"/>
      <c r="AI182"/>
      <c r="AJ182"/>
      <c r="AK182"/>
    </row>
    <row r="183" spans="27:61" ht="16.2" thickBot="1">
      <c r="AA183" s="487" t="s">
        <v>399</v>
      </c>
      <c r="AB183" s="487"/>
      <c r="AC183" s="487"/>
      <c r="AD183" s="487"/>
      <c r="AE183" s="487"/>
      <c r="AF183" s="487"/>
      <c r="AG183" s="487"/>
      <c r="AH183" s="487"/>
      <c r="AI183" s="487"/>
      <c r="AJ183" s="487"/>
      <c r="AK183" s="487"/>
      <c r="AL183" s="191"/>
      <c r="AM183" s="16"/>
      <c r="AS183" s="16"/>
      <c r="AT183" s="93"/>
      <c r="AU183" s="16"/>
      <c r="AV183" s="74"/>
      <c r="AW183" s="13"/>
      <c r="AX183" s="2"/>
    </row>
    <row r="184" spans="27:61">
      <c r="AA184" s="240" t="s">
        <v>261</v>
      </c>
      <c r="AB184" s="210" t="s">
        <v>390</v>
      </c>
      <c r="AC184" s="210" t="s">
        <v>274</v>
      </c>
      <c r="AD184" s="210" t="s">
        <v>242</v>
      </c>
      <c r="AE184" s="210" t="s">
        <v>275</v>
      </c>
      <c r="AF184" s="210" t="s">
        <v>276</v>
      </c>
      <c r="AG184" s="210" t="s">
        <v>301</v>
      </c>
      <c r="AH184" s="243" t="s">
        <v>278</v>
      </c>
      <c r="AI184" s="210" t="s">
        <v>279</v>
      </c>
      <c r="AJ184" s="179" t="s">
        <v>388</v>
      </c>
      <c r="AK184" s="211" t="s">
        <v>389</v>
      </c>
      <c r="AM184" s="16"/>
      <c r="AS184" s="16"/>
      <c r="AT184" s="93"/>
      <c r="AU184" s="16"/>
      <c r="AV184" s="74"/>
      <c r="AW184" s="13"/>
      <c r="AX184" s="2"/>
    </row>
    <row r="185" spans="27:61">
      <c r="AA185" s="180">
        <v>0</v>
      </c>
      <c r="AB185" s="21">
        <v>0</v>
      </c>
      <c r="AC185" s="21">
        <v>0</v>
      </c>
      <c r="AD185" s="21" t="s">
        <v>283</v>
      </c>
      <c r="AE185" s="21">
        <v>0</v>
      </c>
      <c r="AF185" s="21">
        <v>0</v>
      </c>
      <c r="AG185" s="21">
        <v>0</v>
      </c>
      <c r="AH185" s="244">
        <v>0</v>
      </c>
      <c r="AI185" s="21">
        <v>0</v>
      </c>
      <c r="AJ185" s="21">
        <v>0</v>
      </c>
      <c r="AK185" s="200">
        <v>0</v>
      </c>
      <c r="AM185" s="16"/>
      <c r="AS185" s="16"/>
      <c r="AT185" s="93"/>
      <c r="AU185" s="16"/>
      <c r="AV185" s="74"/>
      <c r="AW185" s="13"/>
      <c r="AX185" s="2"/>
    </row>
    <row r="186" spans="27:61">
      <c r="AA186" s="180">
        <f>AA4</f>
        <v>21000000</v>
      </c>
      <c r="AB186" s="41">
        <v>25</v>
      </c>
      <c r="AC186" s="21">
        <v>1</v>
      </c>
      <c r="AD186" s="21" t="s">
        <v>283</v>
      </c>
      <c r="AE186" s="175">
        <f>(AB186-AB185)*4</f>
        <v>100</v>
      </c>
      <c r="AF186" s="175">
        <f>AE186</f>
        <v>100</v>
      </c>
      <c r="AG186" s="183">
        <v>10</v>
      </c>
      <c r="AH186" s="244">
        <f>AG186*10</f>
        <v>100</v>
      </c>
      <c r="AI186" s="183">
        <f>(AB186/100)+2</f>
        <v>2.25</v>
      </c>
      <c r="AJ186" s="41">
        <f t="shared" ref="AJ186:AJ249" si="159">$B$8</f>
        <v>10</v>
      </c>
      <c r="AK186" s="197">
        <v>200</v>
      </c>
      <c r="AM186" s="16"/>
      <c r="AS186" s="16"/>
      <c r="AT186" s="93"/>
      <c r="AU186" s="16"/>
      <c r="AV186" s="74"/>
      <c r="AW186" s="13"/>
      <c r="AX186" s="2"/>
    </row>
    <row r="187" spans="27:61">
      <c r="AA187" s="180">
        <f t="shared" ref="AA187:AA250" si="160">AA5</f>
        <v>42000000</v>
      </c>
      <c r="AB187" s="41">
        <v>50</v>
      </c>
      <c r="AC187" s="21">
        <v>2</v>
      </c>
      <c r="AD187" s="21" t="s">
        <v>283</v>
      </c>
      <c r="AE187" s="175">
        <f>(AB187-AB186)*4</f>
        <v>100</v>
      </c>
      <c r="AF187" s="21">
        <f t="shared" ref="AF187:AF205" si="161">AE187</f>
        <v>100</v>
      </c>
      <c r="AG187" s="83">
        <v>0.79500000000000004</v>
      </c>
      <c r="AH187" s="244">
        <f>AG187*10</f>
        <v>7.95</v>
      </c>
      <c r="AI187" s="21">
        <v>0.13</v>
      </c>
      <c r="AJ187" s="41">
        <f t="shared" si="159"/>
        <v>10</v>
      </c>
      <c r="AK187" s="197">
        <f t="shared" ref="AK187:AK250" si="162">(AB187-AB186)*$D$50</f>
        <v>12.145924930488421</v>
      </c>
      <c r="AM187" s="16"/>
      <c r="AS187" s="16"/>
      <c r="AT187" s="93"/>
      <c r="AU187" s="16"/>
      <c r="AV187" s="74"/>
      <c r="AW187" s="13"/>
      <c r="AX187" s="2"/>
    </row>
    <row r="188" spans="27:61">
      <c r="AA188" s="180">
        <f t="shared" si="160"/>
        <v>63000000</v>
      </c>
      <c r="AB188" s="41">
        <v>75</v>
      </c>
      <c r="AC188" s="21">
        <v>3</v>
      </c>
      <c r="AD188" s="21" t="s">
        <v>283</v>
      </c>
      <c r="AE188" s="175">
        <f>(AB188-AB187)*4</f>
        <v>100</v>
      </c>
      <c r="AF188" s="21">
        <f t="shared" si="161"/>
        <v>100</v>
      </c>
      <c r="AG188" s="83">
        <v>0.79500000000000004</v>
      </c>
      <c r="AH188" s="244">
        <f t="shared" ref="AH188:AH204" si="163">AG188*10</f>
        <v>7.95</v>
      </c>
      <c r="AI188" s="21">
        <v>0.13</v>
      </c>
      <c r="AJ188" s="41">
        <f t="shared" si="159"/>
        <v>10</v>
      </c>
      <c r="AK188" s="197">
        <f t="shared" si="162"/>
        <v>12.145924930488421</v>
      </c>
      <c r="AM188" s="16"/>
      <c r="AS188" s="16"/>
      <c r="AT188" s="93"/>
      <c r="AU188" s="16"/>
      <c r="AV188" s="74"/>
      <c r="AW188" s="13"/>
      <c r="AX188" s="2"/>
    </row>
    <row r="189" spans="27:61">
      <c r="AA189" s="180">
        <f t="shared" si="160"/>
        <v>84000000</v>
      </c>
      <c r="AB189" s="41">
        <v>100</v>
      </c>
      <c r="AC189" s="21">
        <v>4</v>
      </c>
      <c r="AD189" s="21" t="s">
        <v>283</v>
      </c>
      <c r="AE189" s="175">
        <f>(AB189-AB188)*4</f>
        <v>100</v>
      </c>
      <c r="AF189" s="21">
        <f t="shared" si="161"/>
        <v>100</v>
      </c>
      <c r="AG189" s="83">
        <v>0.79500000000000004</v>
      </c>
      <c r="AH189" s="244">
        <f t="shared" si="163"/>
        <v>7.95</v>
      </c>
      <c r="AI189" s="21">
        <v>0.13</v>
      </c>
      <c r="AJ189" s="41">
        <f t="shared" si="159"/>
        <v>10</v>
      </c>
      <c r="AK189" s="197">
        <f t="shared" si="162"/>
        <v>12.145924930488421</v>
      </c>
      <c r="AM189" s="16"/>
      <c r="AS189" s="16"/>
      <c r="AT189" s="93"/>
      <c r="AU189" s="16"/>
      <c r="AV189" s="74"/>
      <c r="AW189" s="13"/>
      <c r="AX189" s="2"/>
    </row>
    <row r="190" spans="27:61">
      <c r="AA190" s="180">
        <f t="shared" si="160"/>
        <v>105000000</v>
      </c>
      <c r="AB190" s="41">
        <v>125</v>
      </c>
      <c r="AC190" s="21">
        <v>5</v>
      </c>
      <c r="AD190" s="21" t="s">
        <v>283</v>
      </c>
      <c r="AE190" s="175">
        <f t="shared" ref="AE190:AE205" si="164">(AB190-AB189)*4</f>
        <v>100</v>
      </c>
      <c r="AF190" s="21">
        <f t="shared" si="161"/>
        <v>100</v>
      </c>
      <c r="AG190" s="83">
        <v>0.79500000000000004</v>
      </c>
      <c r="AH190" s="244">
        <f t="shared" si="163"/>
        <v>7.95</v>
      </c>
      <c r="AI190" s="21">
        <v>0.13</v>
      </c>
      <c r="AJ190" s="41">
        <f t="shared" si="159"/>
        <v>10</v>
      </c>
      <c r="AK190" s="197">
        <f t="shared" si="162"/>
        <v>12.145924930488421</v>
      </c>
      <c r="AM190" s="16"/>
      <c r="AS190" s="16"/>
      <c r="AT190" s="93"/>
      <c r="AU190" s="16"/>
      <c r="AV190" s="74"/>
      <c r="AW190" s="13"/>
      <c r="AX190" s="2"/>
    </row>
    <row r="191" spans="27:61">
      <c r="AA191" s="180">
        <f t="shared" si="160"/>
        <v>126000000</v>
      </c>
      <c r="AB191" s="41">
        <v>150</v>
      </c>
      <c r="AC191" s="21">
        <v>6</v>
      </c>
      <c r="AD191" s="21" t="s">
        <v>283</v>
      </c>
      <c r="AE191" s="175">
        <f t="shared" si="164"/>
        <v>100</v>
      </c>
      <c r="AF191" s="21">
        <f t="shared" si="161"/>
        <v>100</v>
      </c>
      <c r="AG191" s="83">
        <v>0.79500000000000004</v>
      </c>
      <c r="AH191" s="244">
        <f t="shared" si="163"/>
        <v>7.95</v>
      </c>
      <c r="AI191" s="21">
        <v>0.13</v>
      </c>
      <c r="AJ191" s="41">
        <f t="shared" si="159"/>
        <v>10</v>
      </c>
      <c r="AK191" s="197">
        <f t="shared" si="162"/>
        <v>12.145924930488421</v>
      </c>
      <c r="AM191" s="16"/>
      <c r="AS191" s="16"/>
      <c r="AT191" s="93"/>
      <c r="AU191" s="16"/>
      <c r="AV191" s="74"/>
      <c r="AW191" s="13"/>
      <c r="AX191" s="2"/>
    </row>
    <row r="192" spans="27:61">
      <c r="AA192" s="180">
        <f t="shared" si="160"/>
        <v>147000000</v>
      </c>
      <c r="AB192" s="41">
        <v>175</v>
      </c>
      <c r="AC192" s="21">
        <v>7</v>
      </c>
      <c r="AD192" s="21" t="s">
        <v>283</v>
      </c>
      <c r="AE192" s="175">
        <f t="shared" si="164"/>
        <v>100</v>
      </c>
      <c r="AF192" s="21">
        <f t="shared" si="161"/>
        <v>100</v>
      </c>
      <c r="AG192" s="83">
        <v>0.79500000000000004</v>
      </c>
      <c r="AH192" s="244">
        <f t="shared" si="163"/>
        <v>7.95</v>
      </c>
      <c r="AI192" s="21">
        <v>0.13</v>
      </c>
      <c r="AJ192" s="41">
        <f t="shared" si="159"/>
        <v>10</v>
      </c>
      <c r="AK192" s="197">
        <f t="shared" si="162"/>
        <v>12.145924930488421</v>
      </c>
      <c r="AM192" s="16"/>
      <c r="AS192" s="16"/>
      <c r="AT192" s="93"/>
      <c r="AU192" s="16"/>
      <c r="AV192" s="74"/>
      <c r="AW192" s="13"/>
      <c r="AX192" s="2"/>
    </row>
    <row r="193" spans="27:59">
      <c r="AA193" s="180">
        <f t="shared" si="160"/>
        <v>168000000</v>
      </c>
      <c r="AB193" s="41">
        <v>200</v>
      </c>
      <c r="AC193" s="21">
        <v>8</v>
      </c>
      <c r="AD193" s="21" t="s">
        <v>283</v>
      </c>
      <c r="AE193" s="175">
        <f t="shared" si="164"/>
        <v>100</v>
      </c>
      <c r="AF193" s="21">
        <f t="shared" si="161"/>
        <v>100</v>
      </c>
      <c r="AG193" s="83">
        <v>0.79500000000000004</v>
      </c>
      <c r="AH193" s="244">
        <f t="shared" si="163"/>
        <v>7.95</v>
      </c>
      <c r="AI193" s="21">
        <v>0.13</v>
      </c>
      <c r="AJ193" s="41">
        <f t="shared" si="159"/>
        <v>10</v>
      </c>
      <c r="AK193" s="197">
        <f t="shared" si="162"/>
        <v>12.145924930488421</v>
      </c>
      <c r="AM193" s="16"/>
      <c r="AS193" s="16"/>
      <c r="AT193" s="93"/>
      <c r="AU193" s="16"/>
      <c r="AV193" s="74"/>
      <c r="AW193" s="13"/>
      <c r="AX193" s="2"/>
    </row>
    <row r="194" spans="27:59">
      <c r="AA194" s="180">
        <f t="shared" si="160"/>
        <v>189000000</v>
      </c>
      <c r="AB194" s="41">
        <v>225</v>
      </c>
      <c r="AC194" s="21">
        <v>9</v>
      </c>
      <c r="AD194" s="21" t="s">
        <v>283</v>
      </c>
      <c r="AE194" s="175">
        <f t="shared" si="164"/>
        <v>100</v>
      </c>
      <c r="AF194" s="21">
        <f t="shared" si="161"/>
        <v>100</v>
      </c>
      <c r="AG194" s="83">
        <v>0.79500000000000004</v>
      </c>
      <c r="AH194" s="244">
        <f t="shared" si="163"/>
        <v>7.95</v>
      </c>
      <c r="AI194" s="21">
        <v>0.13</v>
      </c>
      <c r="AJ194" s="41">
        <f t="shared" si="159"/>
        <v>10</v>
      </c>
      <c r="AK194" s="197">
        <f t="shared" si="162"/>
        <v>12.145924930488421</v>
      </c>
      <c r="AM194" s="16"/>
    </row>
    <row r="195" spans="27:59">
      <c r="AA195" s="180">
        <f t="shared" si="160"/>
        <v>210000000</v>
      </c>
      <c r="AB195" s="41">
        <v>250</v>
      </c>
      <c r="AC195" s="21">
        <v>10</v>
      </c>
      <c r="AD195" s="21" t="s">
        <v>283</v>
      </c>
      <c r="AE195" s="175">
        <f t="shared" si="164"/>
        <v>100</v>
      </c>
      <c r="AF195" s="21">
        <f t="shared" si="161"/>
        <v>100</v>
      </c>
      <c r="AG195" s="83">
        <v>0.79500000000000004</v>
      </c>
      <c r="AH195" s="244">
        <f t="shared" si="163"/>
        <v>7.95</v>
      </c>
      <c r="AI195" s="21">
        <v>0.13</v>
      </c>
      <c r="AJ195" s="41">
        <f t="shared" si="159"/>
        <v>10</v>
      </c>
      <c r="AK195" s="197">
        <f t="shared" si="162"/>
        <v>12.145924930488421</v>
      </c>
      <c r="AM195" s="16"/>
    </row>
    <row r="196" spans="27:59">
      <c r="AA196" s="180">
        <f t="shared" si="160"/>
        <v>231000000</v>
      </c>
      <c r="AB196" s="41">
        <v>275</v>
      </c>
      <c r="AC196" s="21">
        <v>11</v>
      </c>
      <c r="AD196" s="21" t="s">
        <v>283</v>
      </c>
      <c r="AE196" s="175">
        <f t="shared" si="164"/>
        <v>100</v>
      </c>
      <c r="AF196" s="21">
        <f t="shared" si="161"/>
        <v>100</v>
      </c>
      <c r="AG196" s="83">
        <v>0.79500000000000004</v>
      </c>
      <c r="AH196" s="244">
        <f t="shared" si="163"/>
        <v>7.95</v>
      </c>
      <c r="AI196" s="21">
        <v>0.13</v>
      </c>
      <c r="AJ196" s="41">
        <f t="shared" si="159"/>
        <v>10</v>
      </c>
      <c r="AK196" s="197">
        <f t="shared" si="162"/>
        <v>12.145924930488421</v>
      </c>
      <c r="AM196" s="16"/>
    </row>
    <row r="197" spans="27:59">
      <c r="AA197" s="180">
        <f t="shared" si="160"/>
        <v>252000000</v>
      </c>
      <c r="AB197" s="41">
        <v>300</v>
      </c>
      <c r="AC197" s="21">
        <v>12</v>
      </c>
      <c r="AD197" s="21" t="s">
        <v>283</v>
      </c>
      <c r="AE197" s="175">
        <f t="shared" si="164"/>
        <v>100</v>
      </c>
      <c r="AF197" s="21">
        <f t="shared" si="161"/>
        <v>100</v>
      </c>
      <c r="AG197" s="83">
        <v>0.79500000000000004</v>
      </c>
      <c r="AH197" s="244">
        <f t="shared" si="163"/>
        <v>7.95</v>
      </c>
      <c r="AI197" s="21">
        <v>0.13</v>
      </c>
      <c r="AJ197" s="41">
        <f t="shared" si="159"/>
        <v>10</v>
      </c>
      <c r="AK197" s="197">
        <f t="shared" si="162"/>
        <v>12.145924930488421</v>
      </c>
    </row>
    <row r="198" spans="27:59">
      <c r="AA198" s="180">
        <f t="shared" si="160"/>
        <v>273000000</v>
      </c>
      <c r="AB198" s="41">
        <v>325</v>
      </c>
      <c r="AC198" s="21">
        <v>13</v>
      </c>
      <c r="AD198" s="21" t="s">
        <v>283</v>
      </c>
      <c r="AE198" s="175">
        <f t="shared" si="164"/>
        <v>100</v>
      </c>
      <c r="AF198" s="21">
        <f t="shared" si="161"/>
        <v>100</v>
      </c>
      <c r="AG198" s="83">
        <v>0.79500000000000004</v>
      </c>
      <c r="AH198" s="244">
        <f t="shared" si="163"/>
        <v>7.95</v>
      </c>
      <c r="AI198" s="21">
        <v>0.13</v>
      </c>
      <c r="AJ198" s="41">
        <f t="shared" si="159"/>
        <v>10</v>
      </c>
      <c r="AK198" s="197">
        <f t="shared" si="162"/>
        <v>12.145924930488421</v>
      </c>
    </row>
    <row r="199" spans="27:59">
      <c r="AA199" s="180">
        <f t="shared" si="160"/>
        <v>294000000</v>
      </c>
      <c r="AB199" s="41">
        <v>350</v>
      </c>
      <c r="AC199" s="21">
        <v>14</v>
      </c>
      <c r="AD199" s="21" t="s">
        <v>283</v>
      </c>
      <c r="AE199" s="175">
        <f t="shared" si="164"/>
        <v>100</v>
      </c>
      <c r="AF199" s="21">
        <f t="shared" si="161"/>
        <v>100</v>
      </c>
      <c r="AG199" s="83">
        <v>0.79500000000000004</v>
      </c>
      <c r="AH199" s="244">
        <f t="shared" si="163"/>
        <v>7.95</v>
      </c>
      <c r="AI199" s="21">
        <v>0.13</v>
      </c>
      <c r="AJ199" s="41">
        <f t="shared" si="159"/>
        <v>10</v>
      </c>
      <c r="AK199" s="197">
        <f t="shared" si="162"/>
        <v>12.145924930488421</v>
      </c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</row>
    <row r="200" spans="27:59">
      <c r="AA200" s="180">
        <f t="shared" si="160"/>
        <v>315000000</v>
      </c>
      <c r="AB200" s="41">
        <v>375</v>
      </c>
      <c r="AC200" s="21">
        <v>15</v>
      </c>
      <c r="AD200" s="21" t="s">
        <v>283</v>
      </c>
      <c r="AE200" s="175">
        <f t="shared" si="164"/>
        <v>100</v>
      </c>
      <c r="AF200" s="21">
        <f t="shared" si="161"/>
        <v>100</v>
      </c>
      <c r="AG200" s="83">
        <v>0.79500000000000004</v>
      </c>
      <c r="AH200" s="244">
        <f t="shared" si="163"/>
        <v>7.95</v>
      </c>
      <c r="AI200" s="21">
        <v>0.13</v>
      </c>
      <c r="AJ200" s="41">
        <f t="shared" si="159"/>
        <v>10</v>
      </c>
      <c r="AK200" s="197">
        <f t="shared" si="162"/>
        <v>12.145924930488421</v>
      </c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</row>
    <row r="201" spans="27:59">
      <c r="AA201" s="180">
        <f t="shared" si="160"/>
        <v>336000000</v>
      </c>
      <c r="AB201" s="41">
        <v>400</v>
      </c>
      <c r="AC201" s="21">
        <v>16</v>
      </c>
      <c r="AD201" s="21" t="s">
        <v>283</v>
      </c>
      <c r="AE201" s="175">
        <f t="shared" si="164"/>
        <v>100</v>
      </c>
      <c r="AF201" s="21">
        <f t="shared" si="161"/>
        <v>100</v>
      </c>
      <c r="AG201" s="83">
        <v>0.79500000000000004</v>
      </c>
      <c r="AH201" s="244">
        <f t="shared" si="163"/>
        <v>7.95</v>
      </c>
      <c r="AI201" s="21">
        <v>0.13</v>
      </c>
      <c r="AJ201" s="41">
        <f t="shared" si="159"/>
        <v>10</v>
      </c>
      <c r="AK201" s="197">
        <f t="shared" si="162"/>
        <v>12.145924930488421</v>
      </c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</row>
    <row r="202" spans="27:59">
      <c r="AA202" s="180">
        <f t="shared" si="160"/>
        <v>357000000</v>
      </c>
      <c r="AB202" s="41">
        <v>425</v>
      </c>
      <c r="AC202" s="21">
        <v>17</v>
      </c>
      <c r="AD202" s="21" t="s">
        <v>283</v>
      </c>
      <c r="AE202" s="175">
        <f t="shared" si="164"/>
        <v>100</v>
      </c>
      <c r="AF202" s="21">
        <f t="shared" si="161"/>
        <v>100</v>
      </c>
      <c r="AG202" s="83">
        <v>0.79500000000000004</v>
      </c>
      <c r="AH202" s="244">
        <f t="shared" si="163"/>
        <v>7.95</v>
      </c>
      <c r="AI202" s="21">
        <v>0.13</v>
      </c>
      <c r="AJ202" s="41">
        <f t="shared" si="159"/>
        <v>10</v>
      </c>
      <c r="AK202" s="197">
        <f t="shared" si="162"/>
        <v>12.145924930488421</v>
      </c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</row>
    <row r="203" spans="27:59">
      <c r="AA203" s="180">
        <f t="shared" si="160"/>
        <v>378000000</v>
      </c>
      <c r="AB203" s="41">
        <v>450</v>
      </c>
      <c r="AC203" s="21">
        <v>18</v>
      </c>
      <c r="AD203" s="21" t="s">
        <v>283</v>
      </c>
      <c r="AE203" s="175">
        <f t="shared" si="164"/>
        <v>100</v>
      </c>
      <c r="AF203" s="21">
        <f t="shared" si="161"/>
        <v>100</v>
      </c>
      <c r="AG203" s="83">
        <v>0.79500000000000004</v>
      </c>
      <c r="AH203" s="244">
        <f t="shared" si="163"/>
        <v>7.95</v>
      </c>
      <c r="AI203" s="21">
        <v>0.13</v>
      </c>
      <c r="AJ203" s="41">
        <f t="shared" si="159"/>
        <v>10</v>
      </c>
      <c r="AK203" s="197">
        <f t="shared" si="162"/>
        <v>12.145924930488421</v>
      </c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</row>
    <row r="204" spans="27:59">
      <c r="AA204" s="180">
        <f t="shared" si="160"/>
        <v>399000000</v>
      </c>
      <c r="AB204" s="41">
        <v>475</v>
      </c>
      <c r="AC204" s="21">
        <v>19</v>
      </c>
      <c r="AD204" s="21" t="s">
        <v>283</v>
      </c>
      <c r="AE204" s="175">
        <f t="shared" si="164"/>
        <v>100</v>
      </c>
      <c r="AF204" s="21">
        <f t="shared" si="161"/>
        <v>100</v>
      </c>
      <c r="AG204" s="83">
        <v>0.79500000000000004</v>
      </c>
      <c r="AH204" s="244">
        <f t="shared" si="163"/>
        <v>7.95</v>
      </c>
      <c r="AI204" s="21">
        <v>0.13</v>
      </c>
      <c r="AJ204" s="41">
        <f t="shared" si="159"/>
        <v>10</v>
      </c>
      <c r="AK204" s="197">
        <f t="shared" si="162"/>
        <v>12.145924930488421</v>
      </c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</row>
    <row r="205" spans="27:59">
      <c r="AA205" s="180">
        <f t="shared" si="160"/>
        <v>420000000</v>
      </c>
      <c r="AB205" s="41">
        <v>500</v>
      </c>
      <c r="AC205" s="21">
        <v>20</v>
      </c>
      <c r="AD205" s="21" t="s">
        <v>283</v>
      </c>
      <c r="AE205" s="175">
        <f t="shared" si="164"/>
        <v>100</v>
      </c>
      <c r="AF205" s="21">
        <f t="shared" si="161"/>
        <v>100</v>
      </c>
      <c r="AG205" s="83">
        <v>0.79500000000000004</v>
      </c>
      <c r="AH205" s="244">
        <f>AG205*10</f>
        <v>7.95</v>
      </c>
      <c r="AI205" s="21">
        <v>0.13</v>
      </c>
      <c r="AJ205" s="41">
        <f t="shared" si="159"/>
        <v>10</v>
      </c>
      <c r="AK205" s="197">
        <f t="shared" si="162"/>
        <v>12.145924930488421</v>
      </c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</row>
    <row r="206" spans="27:59">
      <c r="AA206" s="180">
        <f t="shared" si="160"/>
        <v>441000000</v>
      </c>
      <c r="AB206" s="41">
        <v>525</v>
      </c>
      <c r="AC206" s="21">
        <v>20</v>
      </c>
      <c r="AD206" s="21" t="s">
        <v>283</v>
      </c>
      <c r="AE206" s="175">
        <f t="shared" ref="AE206:AE269" si="165">(AB206-AB205)*4</f>
        <v>100</v>
      </c>
      <c r="AF206" s="21">
        <f t="shared" ref="AF206:AF269" si="166">AE206</f>
        <v>100</v>
      </c>
      <c r="AG206" s="83">
        <v>0.79500000000000004</v>
      </c>
      <c r="AH206" s="244">
        <f t="shared" ref="AH206:AH269" si="167">AG206*10</f>
        <v>7.95</v>
      </c>
      <c r="AI206" s="21">
        <v>0.13</v>
      </c>
      <c r="AJ206" s="41">
        <f t="shared" si="159"/>
        <v>10</v>
      </c>
      <c r="AK206" s="197">
        <f t="shared" si="162"/>
        <v>12.145924930488421</v>
      </c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</row>
    <row r="207" spans="27:59">
      <c r="AA207" s="180">
        <f t="shared" si="160"/>
        <v>462000000</v>
      </c>
      <c r="AB207" s="41">
        <v>550</v>
      </c>
      <c r="AC207" s="21">
        <v>20</v>
      </c>
      <c r="AD207" s="21" t="s">
        <v>283</v>
      </c>
      <c r="AE207" s="175">
        <f t="shared" si="165"/>
        <v>100</v>
      </c>
      <c r="AF207" s="21">
        <f t="shared" si="166"/>
        <v>100</v>
      </c>
      <c r="AG207" s="83">
        <v>0.79500000000000004</v>
      </c>
      <c r="AH207" s="244">
        <f t="shared" si="167"/>
        <v>7.95</v>
      </c>
      <c r="AI207" s="21">
        <v>0.13</v>
      </c>
      <c r="AJ207" s="41">
        <f t="shared" si="159"/>
        <v>10</v>
      </c>
      <c r="AK207" s="197">
        <f t="shared" si="162"/>
        <v>12.145924930488421</v>
      </c>
    </row>
    <row r="208" spans="27:59">
      <c r="AA208" s="180">
        <f t="shared" si="160"/>
        <v>483000000</v>
      </c>
      <c r="AB208" s="41">
        <v>575</v>
      </c>
      <c r="AC208" s="21">
        <v>20</v>
      </c>
      <c r="AD208" s="21" t="s">
        <v>283</v>
      </c>
      <c r="AE208" s="175">
        <f t="shared" si="165"/>
        <v>100</v>
      </c>
      <c r="AF208" s="21">
        <f t="shared" si="166"/>
        <v>100</v>
      </c>
      <c r="AG208" s="83">
        <v>0.79500000000000004</v>
      </c>
      <c r="AH208" s="244">
        <f t="shared" si="167"/>
        <v>7.95</v>
      </c>
      <c r="AI208" s="21">
        <v>0.13</v>
      </c>
      <c r="AJ208" s="41">
        <f t="shared" si="159"/>
        <v>10</v>
      </c>
      <c r="AK208" s="197">
        <f t="shared" si="162"/>
        <v>12.145924930488421</v>
      </c>
    </row>
    <row r="209" spans="27:37">
      <c r="AA209" s="180">
        <f t="shared" si="160"/>
        <v>504000000</v>
      </c>
      <c r="AB209" s="41">
        <v>600</v>
      </c>
      <c r="AC209" s="21">
        <v>20</v>
      </c>
      <c r="AD209" s="21" t="s">
        <v>283</v>
      </c>
      <c r="AE209" s="175">
        <f t="shared" si="165"/>
        <v>100</v>
      </c>
      <c r="AF209" s="21">
        <f t="shared" si="166"/>
        <v>100</v>
      </c>
      <c r="AG209" s="83">
        <v>0.79500000000000004</v>
      </c>
      <c r="AH209" s="244">
        <f t="shared" si="167"/>
        <v>7.95</v>
      </c>
      <c r="AI209" s="21">
        <v>0.13</v>
      </c>
      <c r="AJ209" s="41">
        <f t="shared" si="159"/>
        <v>10</v>
      </c>
      <c r="AK209" s="197">
        <f t="shared" si="162"/>
        <v>12.145924930488421</v>
      </c>
    </row>
    <row r="210" spans="27:37">
      <c r="AA210" s="180">
        <f t="shared" si="160"/>
        <v>525000000</v>
      </c>
      <c r="AB210" s="41">
        <v>625</v>
      </c>
      <c r="AC210" s="21">
        <v>20</v>
      </c>
      <c r="AD210" s="21" t="s">
        <v>283</v>
      </c>
      <c r="AE210" s="175">
        <f t="shared" si="165"/>
        <v>100</v>
      </c>
      <c r="AF210" s="21">
        <f t="shared" si="166"/>
        <v>100</v>
      </c>
      <c r="AG210" s="83">
        <v>0.79500000000000004</v>
      </c>
      <c r="AH210" s="244">
        <f t="shared" si="167"/>
        <v>7.95</v>
      </c>
      <c r="AI210" s="21">
        <v>0.13</v>
      </c>
      <c r="AJ210" s="41">
        <f t="shared" si="159"/>
        <v>10</v>
      </c>
      <c r="AK210" s="197">
        <f t="shared" si="162"/>
        <v>12.145924930488421</v>
      </c>
    </row>
    <row r="211" spans="27:37">
      <c r="AA211" s="180">
        <f t="shared" si="160"/>
        <v>546000000</v>
      </c>
      <c r="AB211" s="41">
        <v>650</v>
      </c>
      <c r="AC211" s="21">
        <v>20</v>
      </c>
      <c r="AD211" s="21" t="s">
        <v>283</v>
      </c>
      <c r="AE211" s="175">
        <f t="shared" si="165"/>
        <v>100</v>
      </c>
      <c r="AF211" s="21">
        <f t="shared" si="166"/>
        <v>100</v>
      </c>
      <c r="AG211" s="83">
        <v>0.79500000000000004</v>
      </c>
      <c r="AH211" s="244">
        <f t="shared" si="167"/>
        <v>7.95</v>
      </c>
      <c r="AI211" s="21">
        <v>0.13</v>
      </c>
      <c r="AJ211" s="41">
        <f t="shared" si="159"/>
        <v>10</v>
      </c>
      <c r="AK211" s="197">
        <f t="shared" si="162"/>
        <v>12.145924930488421</v>
      </c>
    </row>
    <row r="212" spans="27:37">
      <c r="AA212" s="180">
        <f t="shared" si="160"/>
        <v>567000000</v>
      </c>
      <c r="AB212" s="41">
        <v>675</v>
      </c>
      <c r="AC212" s="21">
        <v>20</v>
      </c>
      <c r="AD212" s="21" t="s">
        <v>283</v>
      </c>
      <c r="AE212" s="175">
        <f t="shared" si="165"/>
        <v>100</v>
      </c>
      <c r="AF212" s="21">
        <f t="shared" si="166"/>
        <v>100</v>
      </c>
      <c r="AG212" s="83">
        <v>0.79500000000000004</v>
      </c>
      <c r="AH212" s="244">
        <f t="shared" si="167"/>
        <v>7.95</v>
      </c>
      <c r="AI212" s="21">
        <v>0.13</v>
      </c>
      <c r="AJ212" s="41">
        <f t="shared" si="159"/>
        <v>10</v>
      </c>
      <c r="AK212" s="197">
        <f t="shared" si="162"/>
        <v>12.145924930488421</v>
      </c>
    </row>
    <row r="213" spans="27:37">
      <c r="AA213" s="180">
        <f t="shared" si="160"/>
        <v>588000000</v>
      </c>
      <c r="AB213" s="41">
        <v>700</v>
      </c>
      <c r="AC213" s="21">
        <v>20</v>
      </c>
      <c r="AD213" s="21" t="s">
        <v>283</v>
      </c>
      <c r="AE213" s="175">
        <f t="shared" si="165"/>
        <v>100</v>
      </c>
      <c r="AF213" s="21">
        <f t="shared" si="166"/>
        <v>100</v>
      </c>
      <c r="AG213" s="83">
        <v>0.79500000000000004</v>
      </c>
      <c r="AH213" s="244">
        <f t="shared" si="167"/>
        <v>7.95</v>
      </c>
      <c r="AI213" s="21">
        <v>0.13</v>
      </c>
      <c r="AJ213" s="41">
        <f t="shared" si="159"/>
        <v>10</v>
      </c>
      <c r="AK213" s="197">
        <f t="shared" si="162"/>
        <v>12.145924930488421</v>
      </c>
    </row>
    <row r="214" spans="27:37">
      <c r="AA214" s="180">
        <f t="shared" si="160"/>
        <v>609000000</v>
      </c>
      <c r="AB214" s="41">
        <v>725</v>
      </c>
      <c r="AC214" s="21">
        <v>20</v>
      </c>
      <c r="AD214" s="21" t="s">
        <v>283</v>
      </c>
      <c r="AE214" s="175">
        <f t="shared" si="165"/>
        <v>100</v>
      </c>
      <c r="AF214" s="21">
        <f t="shared" si="166"/>
        <v>100</v>
      </c>
      <c r="AG214" s="83">
        <v>0.79500000000000004</v>
      </c>
      <c r="AH214" s="244">
        <f t="shared" si="167"/>
        <v>7.95</v>
      </c>
      <c r="AI214" s="21">
        <v>0.13</v>
      </c>
      <c r="AJ214" s="41">
        <f t="shared" si="159"/>
        <v>10</v>
      </c>
      <c r="AK214" s="197">
        <f t="shared" si="162"/>
        <v>12.145924930488421</v>
      </c>
    </row>
    <row r="215" spans="27:37">
      <c r="AA215" s="180">
        <f t="shared" si="160"/>
        <v>630000000</v>
      </c>
      <c r="AB215" s="41">
        <v>750</v>
      </c>
      <c r="AC215" s="21">
        <v>20</v>
      </c>
      <c r="AD215" s="21" t="s">
        <v>283</v>
      </c>
      <c r="AE215" s="175">
        <f t="shared" si="165"/>
        <v>100</v>
      </c>
      <c r="AF215" s="21">
        <f t="shared" si="166"/>
        <v>100</v>
      </c>
      <c r="AG215" s="83">
        <v>0.79500000000000004</v>
      </c>
      <c r="AH215" s="244">
        <f t="shared" si="167"/>
        <v>7.95</v>
      </c>
      <c r="AI215" s="21">
        <v>0.13</v>
      </c>
      <c r="AJ215" s="41">
        <f t="shared" si="159"/>
        <v>10</v>
      </c>
      <c r="AK215" s="197">
        <f t="shared" si="162"/>
        <v>12.145924930488421</v>
      </c>
    </row>
    <row r="216" spans="27:37">
      <c r="AA216" s="180">
        <f t="shared" si="160"/>
        <v>651000000</v>
      </c>
      <c r="AB216" s="41">
        <v>775</v>
      </c>
      <c r="AC216" s="21">
        <v>20</v>
      </c>
      <c r="AD216" s="21" t="s">
        <v>283</v>
      </c>
      <c r="AE216" s="175">
        <f t="shared" si="165"/>
        <v>100</v>
      </c>
      <c r="AF216" s="21">
        <f t="shared" si="166"/>
        <v>100</v>
      </c>
      <c r="AG216" s="83">
        <v>0.79500000000000004</v>
      </c>
      <c r="AH216" s="244">
        <f t="shared" si="167"/>
        <v>7.95</v>
      </c>
      <c r="AI216" s="21">
        <v>0.13</v>
      </c>
      <c r="AJ216" s="41">
        <f t="shared" si="159"/>
        <v>10</v>
      </c>
      <c r="AK216" s="197">
        <f t="shared" si="162"/>
        <v>12.145924930488421</v>
      </c>
    </row>
    <row r="217" spans="27:37">
      <c r="AA217" s="180">
        <f t="shared" si="160"/>
        <v>672000000</v>
      </c>
      <c r="AB217" s="41">
        <v>800</v>
      </c>
      <c r="AC217" s="21">
        <v>20</v>
      </c>
      <c r="AD217" s="21" t="s">
        <v>283</v>
      </c>
      <c r="AE217" s="175">
        <f t="shared" si="165"/>
        <v>100</v>
      </c>
      <c r="AF217" s="21">
        <f t="shared" si="166"/>
        <v>100</v>
      </c>
      <c r="AG217" s="83">
        <v>0.79500000000000004</v>
      </c>
      <c r="AH217" s="244">
        <f t="shared" si="167"/>
        <v>7.95</v>
      </c>
      <c r="AI217" s="21">
        <v>0.13</v>
      </c>
      <c r="AJ217" s="41">
        <f t="shared" si="159"/>
        <v>10</v>
      </c>
      <c r="AK217" s="197">
        <f t="shared" si="162"/>
        <v>12.145924930488421</v>
      </c>
    </row>
    <row r="218" spans="27:37">
      <c r="AA218" s="180">
        <f t="shared" si="160"/>
        <v>693000000</v>
      </c>
      <c r="AB218" s="41">
        <v>825</v>
      </c>
      <c r="AC218" s="21">
        <v>20</v>
      </c>
      <c r="AD218" s="21" t="s">
        <v>283</v>
      </c>
      <c r="AE218" s="175">
        <f t="shared" si="165"/>
        <v>100</v>
      </c>
      <c r="AF218" s="21">
        <f t="shared" si="166"/>
        <v>100</v>
      </c>
      <c r="AG218" s="83">
        <v>0.79500000000000004</v>
      </c>
      <c r="AH218" s="244">
        <f t="shared" si="167"/>
        <v>7.95</v>
      </c>
      <c r="AI218" s="21">
        <v>0.13</v>
      </c>
      <c r="AJ218" s="41">
        <f t="shared" si="159"/>
        <v>10</v>
      </c>
      <c r="AK218" s="197">
        <f t="shared" si="162"/>
        <v>12.145924930488421</v>
      </c>
    </row>
    <row r="219" spans="27:37">
      <c r="AA219" s="180">
        <f t="shared" si="160"/>
        <v>714000000</v>
      </c>
      <c r="AB219" s="41">
        <v>850</v>
      </c>
      <c r="AC219" s="21">
        <v>20</v>
      </c>
      <c r="AD219" s="21" t="s">
        <v>283</v>
      </c>
      <c r="AE219" s="175">
        <f t="shared" si="165"/>
        <v>100</v>
      </c>
      <c r="AF219" s="21">
        <f t="shared" si="166"/>
        <v>100</v>
      </c>
      <c r="AG219" s="83">
        <v>0.79500000000000004</v>
      </c>
      <c r="AH219" s="244">
        <f t="shared" si="167"/>
        <v>7.95</v>
      </c>
      <c r="AI219" s="21">
        <v>0.13</v>
      </c>
      <c r="AJ219" s="41">
        <f t="shared" si="159"/>
        <v>10</v>
      </c>
      <c r="AK219" s="197">
        <f t="shared" si="162"/>
        <v>12.145924930488421</v>
      </c>
    </row>
    <row r="220" spans="27:37">
      <c r="AA220" s="180">
        <f t="shared" si="160"/>
        <v>735000000</v>
      </c>
      <c r="AB220" s="41">
        <v>875</v>
      </c>
      <c r="AC220" s="21">
        <v>20</v>
      </c>
      <c r="AD220" s="21" t="s">
        <v>283</v>
      </c>
      <c r="AE220" s="175">
        <f t="shared" si="165"/>
        <v>100</v>
      </c>
      <c r="AF220" s="21">
        <f t="shared" si="166"/>
        <v>100</v>
      </c>
      <c r="AG220" s="83">
        <v>0.79500000000000004</v>
      </c>
      <c r="AH220" s="244">
        <f t="shared" si="167"/>
        <v>7.95</v>
      </c>
      <c r="AI220" s="21">
        <v>0.13</v>
      </c>
      <c r="AJ220" s="41">
        <f t="shared" si="159"/>
        <v>10</v>
      </c>
      <c r="AK220" s="197">
        <f t="shared" si="162"/>
        <v>12.145924930488421</v>
      </c>
    </row>
    <row r="221" spans="27:37">
      <c r="AA221" s="180">
        <f t="shared" si="160"/>
        <v>756000000</v>
      </c>
      <c r="AB221" s="41">
        <v>900</v>
      </c>
      <c r="AC221" s="21">
        <v>20</v>
      </c>
      <c r="AD221" s="21" t="s">
        <v>283</v>
      </c>
      <c r="AE221" s="175">
        <f t="shared" si="165"/>
        <v>100</v>
      </c>
      <c r="AF221" s="21">
        <f t="shared" si="166"/>
        <v>100</v>
      </c>
      <c r="AG221" s="83">
        <v>0.79500000000000004</v>
      </c>
      <c r="AH221" s="244">
        <f t="shared" si="167"/>
        <v>7.95</v>
      </c>
      <c r="AI221" s="21">
        <v>0.13</v>
      </c>
      <c r="AJ221" s="41">
        <f t="shared" si="159"/>
        <v>10</v>
      </c>
      <c r="AK221" s="197">
        <f t="shared" si="162"/>
        <v>12.145924930488421</v>
      </c>
    </row>
    <row r="222" spans="27:37">
      <c r="AA222" s="180">
        <f t="shared" si="160"/>
        <v>777000000</v>
      </c>
      <c r="AB222" s="41">
        <v>925</v>
      </c>
      <c r="AC222" s="21">
        <v>20</v>
      </c>
      <c r="AD222" s="21" t="s">
        <v>283</v>
      </c>
      <c r="AE222" s="175">
        <f t="shared" si="165"/>
        <v>100</v>
      </c>
      <c r="AF222" s="21">
        <f t="shared" si="166"/>
        <v>100</v>
      </c>
      <c r="AG222" s="83">
        <v>0.79500000000000004</v>
      </c>
      <c r="AH222" s="244">
        <f t="shared" si="167"/>
        <v>7.95</v>
      </c>
      <c r="AI222" s="21">
        <v>0.13</v>
      </c>
      <c r="AJ222" s="41">
        <f t="shared" si="159"/>
        <v>10</v>
      </c>
      <c r="AK222" s="197">
        <f t="shared" si="162"/>
        <v>12.145924930488421</v>
      </c>
    </row>
    <row r="223" spans="27:37">
      <c r="AA223" s="180">
        <f t="shared" si="160"/>
        <v>798000000</v>
      </c>
      <c r="AB223" s="41">
        <v>950</v>
      </c>
      <c r="AC223" s="21">
        <v>20</v>
      </c>
      <c r="AD223" s="21" t="s">
        <v>283</v>
      </c>
      <c r="AE223" s="175">
        <f t="shared" si="165"/>
        <v>100</v>
      </c>
      <c r="AF223" s="21">
        <f t="shared" si="166"/>
        <v>100</v>
      </c>
      <c r="AG223" s="83">
        <v>0.79500000000000004</v>
      </c>
      <c r="AH223" s="244">
        <f t="shared" si="167"/>
        <v>7.95</v>
      </c>
      <c r="AI223" s="21">
        <v>0.13</v>
      </c>
      <c r="AJ223" s="41">
        <f t="shared" si="159"/>
        <v>10</v>
      </c>
      <c r="AK223" s="197">
        <f t="shared" si="162"/>
        <v>12.145924930488421</v>
      </c>
    </row>
    <row r="224" spans="27:37">
      <c r="AA224" s="180">
        <f t="shared" si="160"/>
        <v>819000000</v>
      </c>
      <c r="AB224" s="41">
        <v>975</v>
      </c>
      <c r="AC224" s="21">
        <v>20</v>
      </c>
      <c r="AD224" s="21" t="s">
        <v>283</v>
      </c>
      <c r="AE224" s="175">
        <f t="shared" si="165"/>
        <v>100</v>
      </c>
      <c r="AF224" s="21">
        <f t="shared" si="166"/>
        <v>100</v>
      </c>
      <c r="AG224" s="83">
        <v>0.79500000000000004</v>
      </c>
      <c r="AH224" s="244">
        <f t="shared" si="167"/>
        <v>7.95</v>
      </c>
      <c r="AI224" s="21">
        <v>0.13</v>
      </c>
      <c r="AJ224" s="41">
        <f t="shared" si="159"/>
        <v>10</v>
      </c>
      <c r="AK224" s="197">
        <f t="shared" si="162"/>
        <v>12.145924930488421</v>
      </c>
    </row>
    <row r="225" spans="27:59">
      <c r="AA225" s="180">
        <f t="shared" si="160"/>
        <v>840000000</v>
      </c>
      <c r="AB225" s="41">
        <v>1000</v>
      </c>
      <c r="AC225" s="21">
        <v>20</v>
      </c>
      <c r="AD225" s="21" t="s">
        <v>283</v>
      </c>
      <c r="AE225" s="175">
        <f t="shared" si="165"/>
        <v>100</v>
      </c>
      <c r="AF225" s="21">
        <f t="shared" si="166"/>
        <v>100</v>
      </c>
      <c r="AG225" s="83">
        <v>0.79500000000000004</v>
      </c>
      <c r="AH225" s="244">
        <f t="shared" si="167"/>
        <v>7.95</v>
      </c>
      <c r="AI225" s="21">
        <v>0.13</v>
      </c>
      <c r="AJ225" s="41">
        <f t="shared" si="159"/>
        <v>10</v>
      </c>
      <c r="AK225" s="197">
        <f t="shared" si="162"/>
        <v>12.145924930488421</v>
      </c>
    </row>
    <row r="226" spans="27:59">
      <c r="AA226" s="180">
        <f t="shared" si="160"/>
        <v>861000000</v>
      </c>
      <c r="AB226" s="41">
        <v>1025</v>
      </c>
      <c r="AC226" s="21">
        <v>20</v>
      </c>
      <c r="AD226" s="21" t="s">
        <v>283</v>
      </c>
      <c r="AE226" s="175">
        <f t="shared" si="165"/>
        <v>100</v>
      </c>
      <c r="AF226" s="21">
        <f t="shared" si="166"/>
        <v>100</v>
      </c>
      <c r="AG226" s="83">
        <v>0.79500000000000004</v>
      </c>
      <c r="AH226" s="244">
        <f t="shared" si="167"/>
        <v>7.95</v>
      </c>
      <c r="AI226" s="21">
        <v>0.13</v>
      </c>
      <c r="AJ226" s="41">
        <f t="shared" si="159"/>
        <v>10</v>
      </c>
      <c r="AK226" s="197">
        <f t="shared" si="162"/>
        <v>12.145924930488421</v>
      </c>
    </row>
    <row r="227" spans="27:59">
      <c r="AA227" s="180">
        <f t="shared" si="160"/>
        <v>882000000</v>
      </c>
      <c r="AB227" s="41">
        <v>1050</v>
      </c>
      <c r="AC227" s="21">
        <v>20</v>
      </c>
      <c r="AD227" s="21" t="s">
        <v>283</v>
      </c>
      <c r="AE227" s="175">
        <f t="shared" si="165"/>
        <v>100</v>
      </c>
      <c r="AF227" s="21">
        <f t="shared" si="166"/>
        <v>100</v>
      </c>
      <c r="AG227" s="83">
        <v>0.79500000000000004</v>
      </c>
      <c r="AH227" s="244">
        <f t="shared" si="167"/>
        <v>7.95</v>
      </c>
      <c r="AI227" s="21">
        <v>0.13</v>
      </c>
      <c r="AJ227" s="41">
        <f t="shared" si="159"/>
        <v>10</v>
      </c>
      <c r="AK227" s="197">
        <f t="shared" si="162"/>
        <v>12.145924930488421</v>
      </c>
    </row>
    <row r="228" spans="27:59">
      <c r="AA228" s="180">
        <f t="shared" si="160"/>
        <v>903000000</v>
      </c>
      <c r="AB228" s="41">
        <v>1075</v>
      </c>
      <c r="AC228" s="21">
        <v>20</v>
      </c>
      <c r="AD228" s="21" t="s">
        <v>283</v>
      </c>
      <c r="AE228" s="175">
        <f t="shared" si="165"/>
        <v>100</v>
      </c>
      <c r="AF228" s="21">
        <f t="shared" si="166"/>
        <v>100</v>
      </c>
      <c r="AG228" s="83">
        <v>0.79500000000000004</v>
      </c>
      <c r="AH228" s="244">
        <f t="shared" si="167"/>
        <v>7.95</v>
      </c>
      <c r="AI228" s="21">
        <v>0.13</v>
      </c>
      <c r="AJ228" s="41">
        <f t="shared" si="159"/>
        <v>10</v>
      </c>
      <c r="AK228" s="197">
        <f t="shared" si="162"/>
        <v>12.145924930488421</v>
      </c>
    </row>
    <row r="229" spans="27:59">
      <c r="AA229" s="180">
        <f t="shared" si="160"/>
        <v>924000000</v>
      </c>
      <c r="AB229" s="41">
        <v>1100</v>
      </c>
      <c r="AC229" s="21">
        <v>20</v>
      </c>
      <c r="AD229" s="21" t="s">
        <v>283</v>
      </c>
      <c r="AE229" s="175">
        <f t="shared" si="165"/>
        <v>100</v>
      </c>
      <c r="AF229" s="21">
        <f t="shared" si="166"/>
        <v>100</v>
      </c>
      <c r="AG229" s="83">
        <v>0.79500000000000004</v>
      </c>
      <c r="AH229" s="244">
        <f t="shared" si="167"/>
        <v>7.95</v>
      </c>
      <c r="AI229" s="21">
        <v>0.13</v>
      </c>
      <c r="AJ229" s="41">
        <f t="shared" si="159"/>
        <v>10</v>
      </c>
      <c r="AK229" s="197">
        <f t="shared" si="162"/>
        <v>12.145924930488421</v>
      </c>
    </row>
    <row r="230" spans="27:59">
      <c r="AA230" s="180">
        <f t="shared" si="160"/>
        <v>945000000</v>
      </c>
      <c r="AB230" s="41">
        <v>1125</v>
      </c>
      <c r="AC230" s="21">
        <v>20</v>
      </c>
      <c r="AD230" s="21" t="s">
        <v>283</v>
      </c>
      <c r="AE230" s="175">
        <f t="shared" si="165"/>
        <v>100</v>
      </c>
      <c r="AF230" s="21">
        <f t="shared" si="166"/>
        <v>100</v>
      </c>
      <c r="AG230" s="83">
        <v>0.79500000000000004</v>
      </c>
      <c r="AH230" s="244">
        <f t="shared" si="167"/>
        <v>7.95</v>
      </c>
      <c r="AI230" s="21">
        <v>0.13</v>
      </c>
      <c r="AJ230" s="41">
        <f t="shared" si="159"/>
        <v>10</v>
      </c>
      <c r="AK230" s="197">
        <f t="shared" si="162"/>
        <v>12.145924930488421</v>
      </c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</row>
    <row r="231" spans="27:59">
      <c r="AA231" s="180">
        <f t="shared" si="160"/>
        <v>966000000</v>
      </c>
      <c r="AB231" s="41">
        <v>1150</v>
      </c>
      <c r="AC231" s="21">
        <v>20</v>
      </c>
      <c r="AD231" s="21" t="s">
        <v>283</v>
      </c>
      <c r="AE231" s="175">
        <f t="shared" si="165"/>
        <v>100</v>
      </c>
      <c r="AF231" s="21">
        <f t="shared" si="166"/>
        <v>100</v>
      </c>
      <c r="AG231" s="83">
        <v>0.79500000000000004</v>
      </c>
      <c r="AH231" s="244">
        <f t="shared" si="167"/>
        <v>7.95</v>
      </c>
      <c r="AI231" s="21">
        <v>0.13</v>
      </c>
      <c r="AJ231" s="41">
        <f t="shared" si="159"/>
        <v>10</v>
      </c>
      <c r="AK231" s="197">
        <f t="shared" si="162"/>
        <v>12.145924930488421</v>
      </c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</row>
    <row r="232" spans="27:59">
      <c r="AA232" s="180">
        <f t="shared" si="160"/>
        <v>987000000</v>
      </c>
      <c r="AB232" s="41">
        <v>1175</v>
      </c>
      <c r="AC232" s="21">
        <v>20</v>
      </c>
      <c r="AD232" s="21" t="s">
        <v>283</v>
      </c>
      <c r="AE232" s="175">
        <f t="shared" si="165"/>
        <v>100</v>
      </c>
      <c r="AF232" s="21">
        <f t="shared" si="166"/>
        <v>100</v>
      </c>
      <c r="AG232" s="83">
        <v>0.79500000000000004</v>
      </c>
      <c r="AH232" s="244">
        <f t="shared" si="167"/>
        <v>7.95</v>
      </c>
      <c r="AI232" s="21">
        <v>0.13</v>
      </c>
      <c r="AJ232" s="41">
        <f t="shared" si="159"/>
        <v>10</v>
      </c>
      <c r="AK232" s="197">
        <f t="shared" si="162"/>
        <v>12.145924930488421</v>
      </c>
    </row>
    <row r="233" spans="27:59">
      <c r="AA233" s="180">
        <f t="shared" si="160"/>
        <v>1008000000</v>
      </c>
      <c r="AB233" s="41">
        <v>1200</v>
      </c>
      <c r="AC233" s="21">
        <v>20</v>
      </c>
      <c r="AD233" s="21" t="s">
        <v>283</v>
      </c>
      <c r="AE233" s="175">
        <f t="shared" si="165"/>
        <v>100</v>
      </c>
      <c r="AF233" s="21">
        <f t="shared" si="166"/>
        <v>100</v>
      </c>
      <c r="AG233" s="83">
        <v>0.79500000000000004</v>
      </c>
      <c r="AH233" s="244">
        <f t="shared" si="167"/>
        <v>7.95</v>
      </c>
      <c r="AI233" s="21">
        <v>0.13</v>
      </c>
      <c r="AJ233" s="41">
        <f t="shared" si="159"/>
        <v>10</v>
      </c>
      <c r="AK233" s="197">
        <f t="shared" si="162"/>
        <v>12.145924930488421</v>
      </c>
    </row>
    <row r="234" spans="27:59">
      <c r="AA234" s="180">
        <f t="shared" si="160"/>
        <v>1029000000</v>
      </c>
      <c r="AB234" s="41">
        <v>1225</v>
      </c>
      <c r="AC234" s="21">
        <v>20</v>
      </c>
      <c r="AD234" s="21" t="s">
        <v>283</v>
      </c>
      <c r="AE234" s="175">
        <f t="shared" si="165"/>
        <v>100</v>
      </c>
      <c r="AF234" s="21">
        <f t="shared" si="166"/>
        <v>100</v>
      </c>
      <c r="AG234" s="83">
        <v>0.79500000000000004</v>
      </c>
      <c r="AH234" s="244">
        <f t="shared" si="167"/>
        <v>7.95</v>
      </c>
      <c r="AI234" s="21">
        <v>0.13</v>
      </c>
      <c r="AJ234" s="41">
        <f t="shared" si="159"/>
        <v>10</v>
      </c>
      <c r="AK234" s="197">
        <f t="shared" si="162"/>
        <v>12.145924930488421</v>
      </c>
    </row>
    <row r="235" spans="27:59">
      <c r="AA235" s="180">
        <f t="shared" si="160"/>
        <v>1050000000</v>
      </c>
      <c r="AB235" s="41">
        <v>1250</v>
      </c>
      <c r="AC235" s="21">
        <v>20</v>
      </c>
      <c r="AD235" s="21" t="s">
        <v>283</v>
      </c>
      <c r="AE235" s="175">
        <f t="shared" si="165"/>
        <v>100</v>
      </c>
      <c r="AF235" s="21">
        <f t="shared" si="166"/>
        <v>100</v>
      </c>
      <c r="AG235" s="83">
        <v>0.79500000000000004</v>
      </c>
      <c r="AH235" s="244">
        <f t="shared" si="167"/>
        <v>7.95</v>
      </c>
      <c r="AI235" s="21">
        <v>0.13</v>
      </c>
      <c r="AJ235" s="41">
        <f t="shared" si="159"/>
        <v>10</v>
      </c>
      <c r="AK235" s="197">
        <f t="shared" si="162"/>
        <v>12.145924930488421</v>
      </c>
    </row>
    <row r="236" spans="27:59">
      <c r="AA236" s="180">
        <f t="shared" si="160"/>
        <v>1071000000</v>
      </c>
      <c r="AB236" s="41">
        <v>1275</v>
      </c>
      <c r="AC236" s="21">
        <v>20</v>
      </c>
      <c r="AD236" s="21" t="s">
        <v>283</v>
      </c>
      <c r="AE236" s="175">
        <f t="shared" si="165"/>
        <v>100</v>
      </c>
      <c r="AF236" s="21">
        <f t="shared" si="166"/>
        <v>100</v>
      </c>
      <c r="AG236" s="83">
        <v>0.79500000000000004</v>
      </c>
      <c r="AH236" s="244">
        <f t="shared" si="167"/>
        <v>7.95</v>
      </c>
      <c r="AI236" s="21">
        <v>0.13</v>
      </c>
      <c r="AJ236" s="41">
        <f t="shared" si="159"/>
        <v>10</v>
      </c>
      <c r="AK236" s="197">
        <f t="shared" si="162"/>
        <v>12.145924930488421</v>
      </c>
    </row>
    <row r="237" spans="27:59">
      <c r="AA237" s="180">
        <f t="shared" si="160"/>
        <v>1092000000</v>
      </c>
      <c r="AB237" s="41">
        <v>1300</v>
      </c>
      <c r="AC237" s="21">
        <v>20</v>
      </c>
      <c r="AD237" s="21" t="s">
        <v>283</v>
      </c>
      <c r="AE237" s="175">
        <f t="shared" si="165"/>
        <v>100</v>
      </c>
      <c r="AF237" s="21">
        <f t="shared" si="166"/>
        <v>100</v>
      </c>
      <c r="AG237" s="83">
        <v>0.79500000000000004</v>
      </c>
      <c r="AH237" s="244">
        <f t="shared" si="167"/>
        <v>7.95</v>
      </c>
      <c r="AI237" s="21">
        <v>0.13</v>
      </c>
      <c r="AJ237" s="41">
        <f t="shared" si="159"/>
        <v>10</v>
      </c>
      <c r="AK237" s="197">
        <f t="shared" si="162"/>
        <v>12.145924930488421</v>
      </c>
    </row>
    <row r="238" spans="27:59">
      <c r="AA238" s="180">
        <f t="shared" si="160"/>
        <v>1113000000</v>
      </c>
      <c r="AB238" s="41">
        <v>1325</v>
      </c>
      <c r="AC238" s="21">
        <v>20</v>
      </c>
      <c r="AD238" s="21" t="s">
        <v>283</v>
      </c>
      <c r="AE238" s="175">
        <f t="shared" si="165"/>
        <v>100</v>
      </c>
      <c r="AF238" s="21">
        <f t="shared" si="166"/>
        <v>100</v>
      </c>
      <c r="AG238" s="83">
        <v>0.79500000000000004</v>
      </c>
      <c r="AH238" s="244">
        <f t="shared" si="167"/>
        <v>7.95</v>
      </c>
      <c r="AI238" s="21">
        <v>0.13</v>
      </c>
      <c r="AJ238" s="41">
        <f t="shared" si="159"/>
        <v>10</v>
      </c>
      <c r="AK238" s="197">
        <f t="shared" si="162"/>
        <v>12.145924930488421</v>
      </c>
    </row>
    <row r="239" spans="27:59">
      <c r="AA239" s="180">
        <f t="shared" si="160"/>
        <v>1134000000</v>
      </c>
      <c r="AB239" s="41">
        <v>1350</v>
      </c>
      <c r="AC239" s="21">
        <v>20</v>
      </c>
      <c r="AD239" s="21" t="s">
        <v>283</v>
      </c>
      <c r="AE239" s="175">
        <f t="shared" si="165"/>
        <v>100</v>
      </c>
      <c r="AF239" s="21">
        <f t="shared" si="166"/>
        <v>100</v>
      </c>
      <c r="AG239" s="83">
        <v>0.79500000000000004</v>
      </c>
      <c r="AH239" s="244">
        <f t="shared" si="167"/>
        <v>7.95</v>
      </c>
      <c r="AI239" s="21">
        <v>0.13</v>
      </c>
      <c r="AJ239" s="41">
        <f t="shared" si="159"/>
        <v>10</v>
      </c>
      <c r="AK239" s="197">
        <f t="shared" si="162"/>
        <v>12.145924930488421</v>
      </c>
    </row>
    <row r="240" spans="27:59">
      <c r="AA240" s="180">
        <f t="shared" si="160"/>
        <v>1155000000</v>
      </c>
      <c r="AB240" s="41">
        <v>1375</v>
      </c>
      <c r="AC240" s="21">
        <v>20</v>
      </c>
      <c r="AD240" s="21" t="s">
        <v>283</v>
      </c>
      <c r="AE240" s="175">
        <f t="shared" si="165"/>
        <v>100</v>
      </c>
      <c r="AF240" s="21">
        <f t="shared" si="166"/>
        <v>100</v>
      </c>
      <c r="AG240" s="83">
        <v>0.79500000000000004</v>
      </c>
      <c r="AH240" s="244">
        <f t="shared" si="167"/>
        <v>7.95</v>
      </c>
      <c r="AI240" s="21">
        <v>0.13</v>
      </c>
      <c r="AJ240" s="41">
        <f t="shared" si="159"/>
        <v>10</v>
      </c>
      <c r="AK240" s="197">
        <f t="shared" si="162"/>
        <v>12.145924930488421</v>
      </c>
    </row>
    <row r="241" spans="27:59">
      <c r="AA241" s="180">
        <f t="shared" si="160"/>
        <v>1176000000</v>
      </c>
      <c r="AB241" s="41">
        <v>1400</v>
      </c>
      <c r="AC241" s="21">
        <v>20</v>
      </c>
      <c r="AD241" s="21" t="s">
        <v>283</v>
      </c>
      <c r="AE241" s="175">
        <f t="shared" si="165"/>
        <v>100</v>
      </c>
      <c r="AF241" s="21">
        <f t="shared" si="166"/>
        <v>100</v>
      </c>
      <c r="AG241" s="83">
        <v>0.79500000000000004</v>
      </c>
      <c r="AH241" s="244">
        <f t="shared" si="167"/>
        <v>7.95</v>
      </c>
      <c r="AI241" s="21">
        <v>0.13</v>
      </c>
      <c r="AJ241" s="41">
        <f t="shared" si="159"/>
        <v>10</v>
      </c>
      <c r="AK241" s="197">
        <f t="shared" si="162"/>
        <v>12.145924930488421</v>
      </c>
    </row>
    <row r="242" spans="27:59">
      <c r="AA242" s="180">
        <f t="shared" si="160"/>
        <v>1197000000</v>
      </c>
      <c r="AB242" s="41">
        <v>1425</v>
      </c>
      <c r="AC242" s="21">
        <v>20</v>
      </c>
      <c r="AD242" s="21" t="s">
        <v>283</v>
      </c>
      <c r="AE242" s="175">
        <f t="shared" si="165"/>
        <v>100</v>
      </c>
      <c r="AF242" s="21">
        <f t="shared" si="166"/>
        <v>100</v>
      </c>
      <c r="AG242" s="83">
        <v>0.79500000000000004</v>
      </c>
      <c r="AH242" s="244">
        <f t="shared" si="167"/>
        <v>7.95</v>
      </c>
      <c r="AI242" s="21">
        <v>0.13</v>
      </c>
      <c r="AJ242" s="41">
        <f t="shared" si="159"/>
        <v>10</v>
      </c>
      <c r="AK242" s="197">
        <f t="shared" si="162"/>
        <v>12.145924930488421</v>
      </c>
    </row>
    <row r="243" spans="27:59">
      <c r="AA243" s="180">
        <f t="shared" si="160"/>
        <v>1218000000</v>
      </c>
      <c r="AB243" s="41">
        <v>1450</v>
      </c>
      <c r="AC243" s="21">
        <v>20</v>
      </c>
      <c r="AD243" s="21" t="s">
        <v>283</v>
      </c>
      <c r="AE243" s="175">
        <f t="shared" si="165"/>
        <v>100</v>
      </c>
      <c r="AF243" s="21">
        <f t="shared" si="166"/>
        <v>100</v>
      </c>
      <c r="AG243" s="83">
        <v>0.79500000000000004</v>
      </c>
      <c r="AH243" s="244">
        <f t="shared" si="167"/>
        <v>7.95</v>
      </c>
      <c r="AI243" s="21">
        <v>0.13</v>
      </c>
      <c r="AJ243" s="41">
        <f t="shared" si="159"/>
        <v>10</v>
      </c>
      <c r="AK243" s="197">
        <f t="shared" si="162"/>
        <v>12.145924930488421</v>
      </c>
    </row>
    <row r="244" spans="27:59">
      <c r="AA244" s="180">
        <f t="shared" si="160"/>
        <v>1239000000</v>
      </c>
      <c r="AB244" s="41">
        <v>1475</v>
      </c>
      <c r="AC244" s="21">
        <v>20</v>
      </c>
      <c r="AD244" s="21" t="s">
        <v>283</v>
      </c>
      <c r="AE244" s="175">
        <f t="shared" si="165"/>
        <v>100</v>
      </c>
      <c r="AF244" s="21">
        <f t="shared" si="166"/>
        <v>100</v>
      </c>
      <c r="AG244" s="83">
        <v>0.79500000000000004</v>
      </c>
      <c r="AH244" s="244">
        <f t="shared" si="167"/>
        <v>7.95</v>
      </c>
      <c r="AI244" s="21">
        <v>0.13</v>
      </c>
      <c r="AJ244" s="41">
        <f t="shared" si="159"/>
        <v>10</v>
      </c>
      <c r="AK244" s="197">
        <f t="shared" si="162"/>
        <v>12.145924930488421</v>
      </c>
    </row>
    <row r="245" spans="27:59">
      <c r="AA245" s="180">
        <f t="shared" si="160"/>
        <v>1260000000</v>
      </c>
      <c r="AB245" s="41">
        <v>1500</v>
      </c>
      <c r="AC245" s="21">
        <v>20</v>
      </c>
      <c r="AD245" s="21" t="s">
        <v>283</v>
      </c>
      <c r="AE245" s="175">
        <f t="shared" si="165"/>
        <v>100</v>
      </c>
      <c r="AF245" s="21">
        <f t="shared" si="166"/>
        <v>100</v>
      </c>
      <c r="AG245" s="83">
        <v>0.79500000000000004</v>
      </c>
      <c r="AH245" s="244">
        <f t="shared" si="167"/>
        <v>7.95</v>
      </c>
      <c r="AI245" s="21">
        <v>0.13</v>
      </c>
      <c r="AJ245" s="41">
        <f t="shared" si="159"/>
        <v>10</v>
      </c>
      <c r="AK245" s="197">
        <f t="shared" si="162"/>
        <v>12.145924930488421</v>
      </c>
    </row>
    <row r="246" spans="27:59">
      <c r="AA246" s="180">
        <f t="shared" si="160"/>
        <v>1281000000</v>
      </c>
      <c r="AB246" s="41">
        <v>1525</v>
      </c>
      <c r="AC246" s="21">
        <v>20</v>
      </c>
      <c r="AD246" s="21" t="s">
        <v>283</v>
      </c>
      <c r="AE246" s="175">
        <f t="shared" si="165"/>
        <v>100</v>
      </c>
      <c r="AF246" s="21">
        <f t="shared" si="166"/>
        <v>100</v>
      </c>
      <c r="AG246" s="83">
        <v>0.79500000000000004</v>
      </c>
      <c r="AH246" s="244">
        <f t="shared" si="167"/>
        <v>7.95</v>
      </c>
      <c r="AI246" s="21">
        <v>0.13</v>
      </c>
      <c r="AJ246" s="41">
        <f t="shared" si="159"/>
        <v>10</v>
      </c>
      <c r="AK246" s="197">
        <f t="shared" si="162"/>
        <v>12.145924930488421</v>
      </c>
    </row>
    <row r="247" spans="27:59">
      <c r="AA247" s="180">
        <f t="shared" si="160"/>
        <v>1302000000</v>
      </c>
      <c r="AB247" s="41">
        <v>1550</v>
      </c>
      <c r="AC247" s="21">
        <v>20</v>
      </c>
      <c r="AD247" s="21" t="s">
        <v>283</v>
      </c>
      <c r="AE247" s="175">
        <f t="shared" si="165"/>
        <v>100</v>
      </c>
      <c r="AF247" s="21">
        <f t="shared" si="166"/>
        <v>100</v>
      </c>
      <c r="AG247" s="83">
        <v>0.79500000000000004</v>
      </c>
      <c r="AH247" s="244">
        <f t="shared" si="167"/>
        <v>7.95</v>
      </c>
      <c r="AI247" s="21">
        <v>0.13</v>
      </c>
      <c r="AJ247" s="41">
        <f t="shared" si="159"/>
        <v>10</v>
      </c>
      <c r="AK247" s="197">
        <f t="shared" si="162"/>
        <v>12.145924930488421</v>
      </c>
    </row>
    <row r="248" spans="27:59">
      <c r="AA248" s="180">
        <f t="shared" si="160"/>
        <v>1323000000</v>
      </c>
      <c r="AB248" s="41">
        <v>1575</v>
      </c>
      <c r="AC248" s="21">
        <v>20</v>
      </c>
      <c r="AD248" s="21" t="s">
        <v>283</v>
      </c>
      <c r="AE248" s="175">
        <f t="shared" si="165"/>
        <v>100</v>
      </c>
      <c r="AF248" s="21">
        <f t="shared" si="166"/>
        <v>100</v>
      </c>
      <c r="AG248" s="83">
        <v>0.79500000000000004</v>
      </c>
      <c r="AH248" s="244">
        <f t="shared" si="167"/>
        <v>7.95</v>
      </c>
      <c r="AI248" s="21">
        <v>0.13</v>
      </c>
      <c r="AJ248" s="41">
        <f t="shared" si="159"/>
        <v>10</v>
      </c>
      <c r="AK248" s="197">
        <f t="shared" si="162"/>
        <v>12.145924930488421</v>
      </c>
    </row>
    <row r="249" spans="27:59">
      <c r="AA249" s="180">
        <f t="shared" si="160"/>
        <v>1344000000</v>
      </c>
      <c r="AB249" s="41">
        <v>1600</v>
      </c>
      <c r="AC249" s="21">
        <v>20</v>
      </c>
      <c r="AD249" s="21" t="s">
        <v>283</v>
      </c>
      <c r="AE249" s="175">
        <f t="shared" si="165"/>
        <v>100</v>
      </c>
      <c r="AF249" s="21">
        <f t="shared" si="166"/>
        <v>100</v>
      </c>
      <c r="AG249" s="83">
        <v>0.79500000000000004</v>
      </c>
      <c r="AH249" s="244">
        <f t="shared" si="167"/>
        <v>7.95</v>
      </c>
      <c r="AI249" s="21">
        <v>0.13</v>
      </c>
      <c r="AJ249" s="41">
        <f t="shared" si="159"/>
        <v>10</v>
      </c>
      <c r="AK249" s="197">
        <f t="shared" si="162"/>
        <v>12.145924930488421</v>
      </c>
    </row>
    <row r="250" spans="27:59">
      <c r="AA250" s="180">
        <f t="shared" si="160"/>
        <v>1365000000</v>
      </c>
      <c r="AB250" s="41">
        <v>1625</v>
      </c>
      <c r="AC250" s="21">
        <v>20</v>
      </c>
      <c r="AD250" s="21" t="s">
        <v>283</v>
      </c>
      <c r="AE250" s="175">
        <f t="shared" si="165"/>
        <v>100</v>
      </c>
      <c r="AF250" s="21">
        <f t="shared" si="166"/>
        <v>100</v>
      </c>
      <c r="AG250" s="83">
        <v>0.79500000000000004</v>
      </c>
      <c r="AH250" s="244">
        <f t="shared" si="167"/>
        <v>7.95</v>
      </c>
      <c r="AI250" s="21">
        <v>0.13</v>
      </c>
      <c r="AJ250" s="41">
        <f t="shared" ref="AJ250:AJ313" si="168">$B$8</f>
        <v>10</v>
      </c>
      <c r="AK250" s="197">
        <f t="shared" si="162"/>
        <v>12.145924930488421</v>
      </c>
    </row>
    <row r="251" spans="27:59">
      <c r="AA251" s="180">
        <f t="shared" ref="AA251:AA314" si="169">AA69</f>
        <v>1386000000</v>
      </c>
      <c r="AB251" s="41">
        <v>1650</v>
      </c>
      <c r="AC251" s="21">
        <v>20</v>
      </c>
      <c r="AD251" s="21" t="s">
        <v>283</v>
      </c>
      <c r="AE251" s="175">
        <f t="shared" si="165"/>
        <v>100</v>
      </c>
      <c r="AF251" s="21">
        <f t="shared" si="166"/>
        <v>100</v>
      </c>
      <c r="AG251" s="83">
        <v>0.79500000000000004</v>
      </c>
      <c r="AH251" s="244">
        <f t="shared" si="167"/>
        <v>7.95</v>
      </c>
      <c r="AI251" s="21">
        <v>0.13</v>
      </c>
      <c r="AJ251" s="41">
        <f t="shared" si="168"/>
        <v>10</v>
      </c>
      <c r="AK251" s="197">
        <f t="shared" ref="AK251:AK307" si="170">(AB251-AB250)*$D$50</f>
        <v>12.145924930488421</v>
      </c>
    </row>
    <row r="252" spans="27:59">
      <c r="AA252" s="180">
        <f t="shared" si="169"/>
        <v>1407000000</v>
      </c>
      <c r="AB252" s="41">
        <v>1675</v>
      </c>
      <c r="AC252" s="21">
        <v>20</v>
      </c>
      <c r="AD252" s="21" t="s">
        <v>283</v>
      </c>
      <c r="AE252" s="175">
        <f t="shared" si="165"/>
        <v>100</v>
      </c>
      <c r="AF252" s="21">
        <f t="shared" si="166"/>
        <v>100</v>
      </c>
      <c r="AG252" s="83">
        <v>0.79500000000000004</v>
      </c>
      <c r="AH252" s="244">
        <f t="shared" si="167"/>
        <v>7.95</v>
      </c>
      <c r="AI252" s="21">
        <v>0.13</v>
      </c>
      <c r="AJ252" s="41">
        <f t="shared" si="168"/>
        <v>10</v>
      </c>
      <c r="AK252" s="197">
        <f t="shared" si="170"/>
        <v>12.145924930488421</v>
      </c>
    </row>
    <row r="253" spans="27:59">
      <c r="AA253" s="180">
        <f t="shared" si="169"/>
        <v>1428000000</v>
      </c>
      <c r="AB253" s="41">
        <v>1700</v>
      </c>
      <c r="AC253" s="21">
        <v>20</v>
      </c>
      <c r="AD253" s="21" t="s">
        <v>283</v>
      </c>
      <c r="AE253" s="175">
        <f t="shared" si="165"/>
        <v>100</v>
      </c>
      <c r="AF253" s="21">
        <f t="shared" si="166"/>
        <v>100</v>
      </c>
      <c r="AG253" s="83">
        <v>0.79500000000000004</v>
      </c>
      <c r="AH253" s="244">
        <f t="shared" si="167"/>
        <v>7.95</v>
      </c>
      <c r="AI253" s="21">
        <v>0.13</v>
      </c>
      <c r="AJ253" s="41">
        <f t="shared" si="168"/>
        <v>10</v>
      </c>
      <c r="AK253" s="197">
        <f t="shared" si="170"/>
        <v>12.145924930488421</v>
      </c>
    </row>
    <row r="254" spans="27:59">
      <c r="AA254" s="180">
        <f t="shared" si="169"/>
        <v>1449000000</v>
      </c>
      <c r="AB254" s="41">
        <v>1725</v>
      </c>
      <c r="AC254" s="21">
        <v>20</v>
      </c>
      <c r="AD254" s="21" t="s">
        <v>283</v>
      </c>
      <c r="AE254" s="175">
        <f t="shared" si="165"/>
        <v>100</v>
      </c>
      <c r="AF254" s="21">
        <f t="shared" si="166"/>
        <v>100</v>
      </c>
      <c r="AG254" s="83">
        <v>0.79500000000000004</v>
      </c>
      <c r="AH254" s="244">
        <f t="shared" si="167"/>
        <v>7.95</v>
      </c>
      <c r="AI254" s="21">
        <v>0.13</v>
      </c>
      <c r="AJ254" s="41">
        <f t="shared" si="168"/>
        <v>10</v>
      </c>
      <c r="AK254" s="197">
        <f t="shared" si="170"/>
        <v>12.145924930488421</v>
      </c>
    </row>
    <row r="255" spans="27:59">
      <c r="AA255" s="180">
        <f t="shared" si="169"/>
        <v>1470000000</v>
      </c>
      <c r="AB255" s="41">
        <v>1750</v>
      </c>
      <c r="AC255" s="21">
        <v>20</v>
      </c>
      <c r="AD255" s="21" t="s">
        <v>283</v>
      </c>
      <c r="AE255" s="175">
        <f t="shared" si="165"/>
        <v>100</v>
      </c>
      <c r="AF255" s="21">
        <f t="shared" si="166"/>
        <v>100</v>
      </c>
      <c r="AG255" s="83">
        <v>0.79500000000000004</v>
      </c>
      <c r="AH255" s="244">
        <f t="shared" si="167"/>
        <v>7.95</v>
      </c>
      <c r="AI255" s="21">
        <v>0.13</v>
      </c>
      <c r="AJ255" s="41">
        <f t="shared" si="168"/>
        <v>10</v>
      </c>
      <c r="AK255" s="197">
        <f t="shared" si="170"/>
        <v>12.145924930488421</v>
      </c>
    </row>
    <row r="256" spans="27:59">
      <c r="AA256" s="180">
        <f t="shared" si="169"/>
        <v>1491000000</v>
      </c>
      <c r="AB256" s="41">
        <v>1775</v>
      </c>
      <c r="AC256" s="21">
        <v>20</v>
      </c>
      <c r="AD256" s="21" t="s">
        <v>283</v>
      </c>
      <c r="AE256" s="175">
        <f t="shared" si="165"/>
        <v>100</v>
      </c>
      <c r="AF256" s="21">
        <f t="shared" si="166"/>
        <v>100</v>
      </c>
      <c r="AG256" s="83">
        <v>0.79500000000000004</v>
      </c>
      <c r="AH256" s="244">
        <f t="shared" si="167"/>
        <v>7.95</v>
      </c>
      <c r="AI256" s="21">
        <v>0.13</v>
      </c>
      <c r="AJ256" s="41">
        <f t="shared" si="168"/>
        <v>10</v>
      </c>
      <c r="AK256" s="197">
        <f t="shared" si="170"/>
        <v>12.145924930488421</v>
      </c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</row>
    <row r="257" spans="27:59">
      <c r="AA257" s="180">
        <f t="shared" si="169"/>
        <v>1512000000</v>
      </c>
      <c r="AB257" s="41">
        <v>1800</v>
      </c>
      <c r="AC257" s="21">
        <v>20</v>
      </c>
      <c r="AD257" s="21" t="s">
        <v>283</v>
      </c>
      <c r="AE257" s="175">
        <f t="shared" si="165"/>
        <v>100</v>
      </c>
      <c r="AF257" s="21">
        <f t="shared" si="166"/>
        <v>100</v>
      </c>
      <c r="AG257" s="83">
        <v>0.79500000000000004</v>
      </c>
      <c r="AH257" s="244">
        <f t="shared" si="167"/>
        <v>7.95</v>
      </c>
      <c r="AI257" s="21">
        <v>0.13</v>
      </c>
      <c r="AJ257" s="41">
        <f t="shared" si="168"/>
        <v>10</v>
      </c>
      <c r="AK257" s="197">
        <f t="shared" si="170"/>
        <v>12.145924930488421</v>
      </c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</row>
    <row r="258" spans="27:59">
      <c r="AA258" s="180">
        <f t="shared" si="169"/>
        <v>1533000000</v>
      </c>
      <c r="AB258" s="41">
        <v>1825</v>
      </c>
      <c r="AC258" s="21">
        <v>20</v>
      </c>
      <c r="AD258" s="21" t="s">
        <v>283</v>
      </c>
      <c r="AE258" s="175">
        <f t="shared" si="165"/>
        <v>100</v>
      </c>
      <c r="AF258" s="21">
        <f t="shared" si="166"/>
        <v>100</v>
      </c>
      <c r="AG258" s="83">
        <v>0.79500000000000004</v>
      </c>
      <c r="AH258" s="244">
        <f t="shared" si="167"/>
        <v>7.95</v>
      </c>
      <c r="AI258" s="21">
        <v>0.13</v>
      </c>
      <c r="AJ258" s="41">
        <f t="shared" si="168"/>
        <v>10</v>
      </c>
      <c r="AK258" s="197">
        <f t="shared" si="170"/>
        <v>12.145924930488421</v>
      </c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</row>
    <row r="259" spans="27:59">
      <c r="AA259" s="180">
        <f t="shared" si="169"/>
        <v>1554000000</v>
      </c>
      <c r="AB259" s="41">
        <v>1850</v>
      </c>
      <c r="AC259" s="21">
        <v>20</v>
      </c>
      <c r="AD259" s="21" t="s">
        <v>283</v>
      </c>
      <c r="AE259" s="175">
        <f t="shared" si="165"/>
        <v>100</v>
      </c>
      <c r="AF259" s="21">
        <f t="shared" si="166"/>
        <v>100</v>
      </c>
      <c r="AG259" s="83">
        <v>0.79500000000000004</v>
      </c>
      <c r="AH259" s="244">
        <f t="shared" si="167"/>
        <v>7.95</v>
      </c>
      <c r="AI259" s="21">
        <v>0.13</v>
      </c>
      <c r="AJ259" s="41">
        <f t="shared" si="168"/>
        <v>10</v>
      </c>
      <c r="AK259" s="197">
        <f t="shared" si="170"/>
        <v>12.145924930488421</v>
      </c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</row>
    <row r="260" spans="27:59">
      <c r="AA260" s="180">
        <f t="shared" si="169"/>
        <v>1575000000</v>
      </c>
      <c r="AB260" s="41">
        <v>1875</v>
      </c>
      <c r="AC260" s="21">
        <v>20</v>
      </c>
      <c r="AD260" s="21" t="s">
        <v>283</v>
      </c>
      <c r="AE260" s="175">
        <f t="shared" si="165"/>
        <v>100</v>
      </c>
      <c r="AF260" s="21">
        <f t="shared" si="166"/>
        <v>100</v>
      </c>
      <c r="AG260" s="83">
        <v>0.79500000000000004</v>
      </c>
      <c r="AH260" s="244">
        <f t="shared" si="167"/>
        <v>7.95</v>
      </c>
      <c r="AI260" s="21">
        <v>0.13</v>
      </c>
      <c r="AJ260" s="41">
        <f t="shared" si="168"/>
        <v>10</v>
      </c>
      <c r="AK260" s="197">
        <f t="shared" si="170"/>
        <v>12.145924930488421</v>
      </c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</row>
    <row r="261" spans="27:59">
      <c r="AA261" s="180">
        <f t="shared" si="169"/>
        <v>1596000000</v>
      </c>
      <c r="AB261" s="41">
        <v>1900</v>
      </c>
      <c r="AC261" s="21">
        <v>20</v>
      </c>
      <c r="AD261" s="21" t="s">
        <v>283</v>
      </c>
      <c r="AE261" s="175">
        <f t="shared" si="165"/>
        <v>100</v>
      </c>
      <c r="AF261" s="21">
        <f t="shared" si="166"/>
        <v>100</v>
      </c>
      <c r="AG261" s="83">
        <v>0.79500000000000004</v>
      </c>
      <c r="AH261" s="244">
        <f t="shared" si="167"/>
        <v>7.95</v>
      </c>
      <c r="AI261" s="21">
        <v>0.13</v>
      </c>
      <c r="AJ261" s="41">
        <f t="shared" si="168"/>
        <v>10</v>
      </c>
      <c r="AK261" s="197">
        <f t="shared" si="170"/>
        <v>12.145924930488421</v>
      </c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</row>
    <row r="262" spans="27:59">
      <c r="AA262" s="180">
        <f t="shared" si="169"/>
        <v>1617000000</v>
      </c>
      <c r="AB262" s="41">
        <v>1925</v>
      </c>
      <c r="AC262" s="21">
        <v>20</v>
      </c>
      <c r="AD262" s="21" t="s">
        <v>283</v>
      </c>
      <c r="AE262" s="175">
        <f t="shared" si="165"/>
        <v>100</v>
      </c>
      <c r="AF262" s="21">
        <f t="shared" si="166"/>
        <v>100</v>
      </c>
      <c r="AG262" s="83">
        <v>0.79500000000000004</v>
      </c>
      <c r="AH262" s="244">
        <f t="shared" si="167"/>
        <v>7.95</v>
      </c>
      <c r="AI262" s="21">
        <v>0.13</v>
      </c>
      <c r="AJ262" s="41">
        <f t="shared" si="168"/>
        <v>10</v>
      </c>
      <c r="AK262" s="197">
        <f t="shared" si="170"/>
        <v>12.145924930488421</v>
      </c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</row>
    <row r="263" spans="27:59">
      <c r="AA263" s="180">
        <f t="shared" si="169"/>
        <v>1638000000</v>
      </c>
      <c r="AB263" s="41">
        <v>1950</v>
      </c>
      <c r="AC263" s="21">
        <v>20</v>
      </c>
      <c r="AD263" s="21" t="s">
        <v>283</v>
      </c>
      <c r="AE263" s="175">
        <f t="shared" si="165"/>
        <v>100</v>
      </c>
      <c r="AF263" s="21">
        <f t="shared" si="166"/>
        <v>100</v>
      </c>
      <c r="AG263" s="83">
        <v>0.79500000000000004</v>
      </c>
      <c r="AH263" s="244">
        <f t="shared" si="167"/>
        <v>7.95</v>
      </c>
      <c r="AI263" s="21">
        <v>0.13</v>
      </c>
      <c r="AJ263" s="41">
        <f t="shared" si="168"/>
        <v>10</v>
      </c>
      <c r="AK263" s="197">
        <f t="shared" si="170"/>
        <v>12.145924930488421</v>
      </c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</row>
    <row r="264" spans="27:59">
      <c r="AA264" s="180">
        <f t="shared" si="169"/>
        <v>1659000000</v>
      </c>
      <c r="AB264" s="41">
        <v>1975</v>
      </c>
      <c r="AC264" s="21">
        <v>20</v>
      </c>
      <c r="AD264" s="21" t="s">
        <v>283</v>
      </c>
      <c r="AE264" s="175">
        <f t="shared" si="165"/>
        <v>100</v>
      </c>
      <c r="AF264" s="21">
        <f t="shared" si="166"/>
        <v>100</v>
      </c>
      <c r="AG264" s="83">
        <v>0.79500000000000004</v>
      </c>
      <c r="AH264" s="244">
        <f t="shared" si="167"/>
        <v>7.95</v>
      </c>
      <c r="AI264" s="21">
        <v>0.13</v>
      </c>
      <c r="AJ264" s="41">
        <f t="shared" si="168"/>
        <v>10</v>
      </c>
      <c r="AK264" s="197">
        <f t="shared" si="170"/>
        <v>12.145924930488421</v>
      </c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</row>
    <row r="265" spans="27:59">
      <c r="AA265" s="180">
        <f t="shared" si="169"/>
        <v>1680000000</v>
      </c>
      <c r="AB265" s="41">
        <v>2000</v>
      </c>
      <c r="AC265" s="21">
        <v>20</v>
      </c>
      <c r="AD265" s="21" t="s">
        <v>283</v>
      </c>
      <c r="AE265" s="175">
        <f t="shared" si="165"/>
        <v>100</v>
      </c>
      <c r="AF265" s="21">
        <f t="shared" si="166"/>
        <v>100</v>
      </c>
      <c r="AG265" s="83">
        <v>0.79500000000000004</v>
      </c>
      <c r="AH265" s="244">
        <f t="shared" si="167"/>
        <v>7.95</v>
      </c>
      <c r="AI265" s="21">
        <v>0.13</v>
      </c>
      <c r="AJ265" s="41">
        <f t="shared" si="168"/>
        <v>10</v>
      </c>
      <c r="AK265" s="197">
        <f t="shared" si="170"/>
        <v>12.145924930488421</v>
      </c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</row>
    <row r="266" spans="27:59">
      <c r="AA266" s="180">
        <f t="shared" si="169"/>
        <v>1701000000</v>
      </c>
      <c r="AB266" s="41">
        <v>2025</v>
      </c>
      <c r="AC266" s="21">
        <v>20</v>
      </c>
      <c r="AD266" s="21" t="s">
        <v>283</v>
      </c>
      <c r="AE266" s="175">
        <f t="shared" si="165"/>
        <v>100</v>
      </c>
      <c r="AF266" s="21">
        <f t="shared" si="166"/>
        <v>100</v>
      </c>
      <c r="AG266" s="83">
        <v>0.79500000000000004</v>
      </c>
      <c r="AH266" s="244">
        <f t="shared" si="167"/>
        <v>7.95</v>
      </c>
      <c r="AI266" s="21">
        <v>0.13</v>
      </c>
      <c r="AJ266" s="41">
        <f t="shared" si="168"/>
        <v>10</v>
      </c>
      <c r="AK266" s="197">
        <f t="shared" si="170"/>
        <v>12.145924930488421</v>
      </c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</row>
    <row r="267" spans="27:59">
      <c r="AA267" s="180">
        <f t="shared" si="169"/>
        <v>1722000000</v>
      </c>
      <c r="AB267" s="41">
        <v>2050</v>
      </c>
      <c r="AC267" s="21">
        <v>20</v>
      </c>
      <c r="AD267" s="21" t="s">
        <v>283</v>
      </c>
      <c r="AE267" s="175">
        <f t="shared" si="165"/>
        <v>100</v>
      </c>
      <c r="AF267" s="21">
        <f t="shared" si="166"/>
        <v>100</v>
      </c>
      <c r="AG267" s="83">
        <v>0.79500000000000004</v>
      </c>
      <c r="AH267" s="244">
        <f t="shared" si="167"/>
        <v>7.95</v>
      </c>
      <c r="AI267" s="21">
        <v>0.13</v>
      </c>
      <c r="AJ267" s="41">
        <f t="shared" si="168"/>
        <v>10</v>
      </c>
      <c r="AK267" s="197">
        <f t="shared" si="170"/>
        <v>12.145924930488421</v>
      </c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</row>
    <row r="268" spans="27:59">
      <c r="AA268" s="180">
        <f t="shared" si="169"/>
        <v>1743000000</v>
      </c>
      <c r="AB268" s="41">
        <v>2075</v>
      </c>
      <c r="AC268" s="21">
        <v>20</v>
      </c>
      <c r="AD268" s="21" t="s">
        <v>283</v>
      </c>
      <c r="AE268" s="175">
        <f t="shared" si="165"/>
        <v>100</v>
      </c>
      <c r="AF268" s="21">
        <f t="shared" si="166"/>
        <v>100</v>
      </c>
      <c r="AG268" s="83">
        <v>0.79500000000000004</v>
      </c>
      <c r="AH268" s="244">
        <f t="shared" si="167"/>
        <v>7.95</v>
      </c>
      <c r="AI268" s="21">
        <v>0.13</v>
      </c>
      <c r="AJ268" s="41">
        <f t="shared" si="168"/>
        <v>10</v>
      </c>
      <c r="AK268" s="197">
        <f t="shared" si="170"/>
        <v>12.145924930488421</v>
      </c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</row>
    <row r="269" spans="27:59">
      <c r="AA269" s="180">
        <f t="shared" si="169"/>
        <v>1764000000</v>
      </c>
      <c r="AB269" s="41">
        <v>2100</v>
      </c>
      <c r="AC269" s="21">
        <v>20</v>
      </c>
      <c r="AD269" s="21" t="s">
        <v>283</v>
      </c>
      <c r="AE269" s="175">
        <f t="shared" si="165"/>
        <v>100</v>
      </c>
      <c r="AF269" s="21">
        <f t="shared" si="166"/>
        <v>100</v>
      </c>
      <c r="AG269" s="83">
        <v>0.79500000000000004</v>
      </c>
      <c r="AH269" s="244">
        <f t="shared" si="167"/>
        <v>7.95</v>
      </c>
      <c r="AI269" s="21">
        <v>0.13</v>
      </c>
      <c r="AJ269" s="41">
        <f t="shared" si="168"/>
        <v>10</v>
      </c>
      <c r="AK269" s="197">
        <f t="shared" si="170"/>
        <v>12.145924930488421</v>
      </c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</row>
    <row r="270" spans="27:59">
      <c r="AA270" s="180">
        <f t="shared" si="169"/>
        <v>1785000000</v>
      </c>
      <c r="AB270" s="41">
        <v>2125</v>
      </c>
      <c r="AC270" s="21">
        <v>20</v>
      </c>
      <c r="AD270" s="21" t="s">
        <v>283</v>
      </c>
      <c r="AE270" s="175">
        <f t="shared" ref="AE270:AE307" si="171">(AB270-AB269)*4</f>
        <v>100</v>
      </c>
      <c r="AF270" s="21">
        <f t="shared" ref="AF270:AF307" si="172">AE270</f>
        <v>100</v>
      </c>
      <c r="AG270" s="83">
        <v>0.79500000000000004</v>
      </c>
      <c r="AH270" s="244">
        <f t="shared" ref="AH270:AH333" si="173">AG270*10</f>
        <v>7.95</v>
      </c>
      <c r="AI270" s="21">
        <v>0.13</v>
      </c>
      <c r="AJ270" s="41">
        <f t="shared" si="168"/>
        <v>10</v>
      </c>
      <c r="AK270" s="197">
        <f t="shared" si="170"/>
        <v>12.145924930488421</v>
      </c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</row>
    <row r="271" spans="27:59">
      <c r="AA271" s="180">
        <f t="shared" si="169"/>
        <v>1806000000</v>
      </c>
      <c r="AB271" s="41">
        <v>2150</v>
      </c>
      <c r="AC271" s="21">
        <v>20</v>
      </c>
      <c r="AD271" s="21" t="s">
        <v>283</v>
      </c>
      <c r="AE271" s="175">
        <f t="shared" si="171"/>
        <v>100</v>
      </c>
      <c r="AF271" s="21">
        <f t="shared" si="172"/>
        <v>100</v>
      </c>
      <c r="AG271" s="83">
        <v>0.79500000000000004</v>
      </c>
      <c r="AH271" s="244">
        <f t="shared" si="173"/>
        <v>7.95</v>
      </c>
      <c r="AI271" s="21">
        <v>0.13</v>
      </c>
      <c r="AJ271" s="41">
        <f t="shared" si="168"/>
        <v>10</v>
      </c>
      <c r="AK271" s="197">
        <f t="shared" si="170"/>
        <v>12.145924930488421</v>
      </c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</row>
    <row r="272" spans="27:59">
      <c r="AA272" s="180">
        <f t="shared" si="169"/>
        <v>1827000000</v>
      </c>
      <c r="AB272" s="41">
        <v>2175</v>
      </c>
      <c r="AC272" s="21">
        <v>20</v>
      </c>
      <c r="AD272" s="21" t="s">
        <v>283</v>
      </c>
      <c r="AE272" s="175">
        <f t="shared" si="171"/>
        <v>100</v>
      </c>
      <c r="AF272" s="21">
        <f t="shared" si="172"/>
        <v>100</v>
      </c>
      <c r="AG272" s="83">
        <v>0.79500000000000004</v>
      </c>
      <c r="AH272" s="244">
        <f t="shared" si="173"/>
        <v>7.95</v>
      </c>
      <c r="AI272" s="21">
        <v>0.13</v>
      </c>
      <c r="AJ272" s="41">
        <f t="shared" si="168"/>
        <v>10</v>
      </c>
      <c r="AK272" s="197">
        <f t="shared" si="170"/>
        <v>12.145924930488421</v>
      </c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</row>
    <row r="273" spans="27:59">
      <c r="AA273" s="180">
        <f t="shared" si="169"/>
        <v>1848000000</v>
      </c>
      <c r="AB273" s="41">
        <v>2200</v>
      </c>
      <c r="AC273" s="21">
        <v>20</v>
      </c>
      <c r="AD273" s="21" t="s">
        <v>283</v>
      </c>
      <c r="AE273" s="175">
        <f t="shared" si="171"/>
        <v>100</v>
      </c>
      <c r="AF273" s="21">
        <f t="shared" si="172"/>
        <v>100</v>
      </c>
      <c r="AG273" s="83">
        <v>0.79500000000000004</v>
      </c>
      <c r="AH273" s="244">
        <f t="shared" si="173"/>
        <v>7.95</v>
      </c>
      <c r="AI273" s="21">
        <v>0.13</v>
      </c>
      <c r="AJ273" s="41">
        <f t="shared" si="168"/>
        <v>10</v>
      </c>
      <c r="AK273" s="197">
        <f t="shared" si="170"/>
        <v>12.145924930488421</v>
      </c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</row>
    <row r="274" spans="27:59">
      <c r="AA274" s="180">
        <f t="shared" si="169"/>
        <v>1869000000</v>
      </c>
      <c r="AB274" s="41">
        <v>2225</v>
      </c>
      <c r="AC274" s="21">
        <v>20</v>
      </c>
      <c r="AD274" s="21" t="s">
        <v>283</v>
      </c>
      <c r="AE274" s="175">
        <f t="shared" si="171"/>
        <v>100</v>
      </c>
      <c r="AF274" s="21">
        <f t="shared" si="172"/>
        <v>100</v>
      </c>
      <c r="AG274" s="83">
        <v>0.79500000000000004</v>
      </c>
      <c r="AH274" s="244">
        <f t="shared" si="173"/>
        <v>7.95</v>
      </c>
      <c r="AI274" s="21">
        <v>0.13</v>
      </c>
      <c r="AJ274" s="41">
        <f t="shared" si="168"/>
        <v>10</v>
      </c>
      <c r="AK274" s="197">
        <f t="shared" si="170"/>
        <v>12.145924930488421</v>
      </c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</row>
    <row r="275" spans="27:59">
      <c r="AA275" s="180">
        <f t="shared" si="169"/>
        <v>1890000000</v>
      </c>
      <c r="AB275" s="41">
        <v>2250</v>
      </c>
      <c r="AC275" s="21">
        <v>20</v>
      </c>
      <c r="AD275" s="21" t="s">
        <v>283</v>
      </c>
      <c r="AE275" s="175">
        <f t="shared" si="171"/>
        <v>100</v>
      </c>
      <c r="AF275" s="21">
        <f t="shared" si="172"/>
        <v>100</v>
      </c>
      <c r="AG275" s="83">
        <v>0.79500000000000004</v>
      </c>
      <c r="AH275" s="244">
        <f t="shared" si="173"/>
        <v>7.95</v>
      </c>
      <c r="AI275" s="21">
        <v>0.13</v>
      </c>
      <c r="AJ275" s="41">
        <f t="shared" si="168"/>
        <v>10</v>
      </c>
      <c r="AK275" s="197">
        <f t="shared" si="170"/>
        <v>12.145924930488421</v>
      </c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</row>
    <row r="276" spans="27:59">
      <c r="AA276" s="180">
        <f t="shared" si="169"/>
        <v>1911000000</v>
      </c>
      <c r="AB276" s="41">
        <v>2275</v>
      </c>
      <c r="AC276" s="21">
        <v>20</v>
      </c>
      <c r="AD276" s="21" t="s">
        <v>283</v>
      </c>
      <c r="AE276" s="175">
        <f t="shared" si="171"/>
        <v>100</v>
      </c>
      <c r="AF276" s="21">
        <f t="shared" si="172"/>
        <v>100</v>
      </c>
      <c r="AG276" s="83">
        <v>0.79500000000000004</v>
      </c>
      <c r="AH276" s="244">
        <f t="shared" si="173"/>
        <v>7.95</v>
      </c>
      <c r="AI276" s="21">
        <v>0.13</v>
      </c>
      <c r="AJ276" s="41">
        <f t="shared" si="168"/>
        <v>10</v>
      </c>
      <c r="AK276" s="197">
        <f t="shared" si="170"/>
        <v>12.145924930488421</v>
      </c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</row>
    <row r="277" spans="27:59">
      <c r="AA277" s="180">
        <f t="shared" si="169"/>
        <v>1932000000</v>
      </c>
      <c r="AB277" s="41">
        <v>2300</v>
      </c>
      <c r="AC277" s="21">
        <v>20</v>
      </c>
      <c r="AD277" s="21" t="s">
        <v>283</v>
      </c>
      <c r="AE277" s="175">
        <f t="shared" si="171"/>
        <v>100</v>
      </c>
      <c r="AF277" s="21">
        <f t="shared" si="172"/>
        <v>100</v>
      </c>
      <c r="AG277" s="83">
        <v>0.79500000000000004</v>
      </c>
      <c r="AH277" s="244">
        <f t="shared" si="173"/>
        <v>7.95</v>
      </c>
      <c r="AI277" s="21">
        <v>0.13</v>
      </c>
      <c r="AJ277" s="41">
        <f t="shared" si="168"/>
        <v>10</v>
      </c>
      <c r="AK277" s="197">
        <f t="shared" si="170"/>
        <v>12.145924930488421</v>
      </c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</row>
    <row r="278" spans="27:59">
      <c r="AA278" s="180">
        <f t="shared" si="169"/>
        <v>1953000000</v>
      </c>
      <c r="AB278" s="41">
        <v>2325</v>
      </c>
      <c r="AC278" s="21">
        <v>20</v>
      </c>
      <c r="AD278" s="21" t="s">
        <v>283</v>
      </c>
      <c r="AE278" s="175">
        <f t="shared" si="171"/>
        <v>100</v>
      </c>
      <c r="AF278" s="21">
        <f t="shared" si="172"/>
        <v>100</v>
      </c>
      <c r="AG278" s="83">
        <v>0.79500000000000004</v>
      </c>
      <c r="AH278" s="244">
        <f t="shared" si="173"/>
        <v>7.95</v>
      </c>
      <c r="AI278" s="21">
        <v>0.13</v>
      </c>
      <c r="AJ278" s="41">
        <f t="shared" si="168"/>
        <v>10</v>
      </c>
      <c r="AK278" s="197">
        <f t="shared" si="170"/>
        <v>12.145924930488421</v>
      </c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</row>
    <row r="279" spans="27:59">
      <c r="AA279" s="180">
        <f t="shared" si="169"/>
        <v>1974000000</v>
      </c>
      <c r="AB279" s="41">
        <v>2350</v>
      </c>
      <c r="AC279" s="21">
        <v>20</v>
      </c>
      <c r="AD279" s="21" t="s">
        <v>283</v>
      </c>
      <c r="AE279" s="175">
        <f t="shared" si="171"/>
        <v>100</v>
      </c>
      <c r="AF279" s="21">
        <f t="shared" si="172"/>
        <v>100</v>
      </c>
      <c r="AG279" s="83">
        <v>0.79500000000000004</v>
      </c>
      <c r="AH279" s="244">
        <f t="shared" si="173"/>
        <v>7.95</v>
      </c>
      <c r="AI279" s="21">
        <v>0.13</v>
      </c>
      <c r="AJ279" s="41">
        <f t="shared" si="168"/>
        <v>10</v>
      </c>
      <c r="AK279" s="197">
        <f t="shared" si="170"/>
        <v>12.145924930488421</v>
      </c>
    </row>
    <row r="280" spans="27:59">
      <c r="AA280" s="180">
        <f t="shared" si="169"/>
        <v>1995000000</v>
      </c>
      <c r="AB280" s="41">
        <v>2375</v>
      </c>
      <c r="AC280" s="21">
        <v>20</v>
      </c>
      <c r="AD280" s="21" t="s">
        <v>283</v>
      </c>
      <c r="AE280" s="175">
        <f t="shared" si="171"/>
        <v>100</v>
      </c>
      <c r="AF280" s="21">
        <f t="shared" si="172"/>
        <v>100</v>
      </c>
      <c r="AG280" s="83">
        <v>0.79500000000000004</v>
      </c>
      <c r="AH280" s="244">
        <f t="shared" si="173"/>
        <v>7.95</v>
      </c>
      <c r="AI280" s="21">
        <v>0.13</v>
      </c>
      <c r="AJ280" s="41">
        <f t="shared" si="168"/>
        <v>10</v>
      </c>
      <c r="AK280" s="197">
        <f t="shared" si="170"/>
        <v>12.145924930488421</v>
      </c>
    </row>
    <row r="281" spans="27:59">
      <c r="AA281" s="180">
        <f t="shared" si="169"/>
        <v>2016000000</v>
      </c>
      <c r="AB281" s="41">
        <v>2400</v>
      </c>
      <c r="AC281" s="21">
        <v>20</v>
      </c>
      <c r="AD281" s="21" t="s">
        <v>283</v>
      </c>
      <c r="AE281" s="175">
        <f t="shared" si="171"/>
        <v>100</v>
      </c>
      <c r="AF281" s="21">
        <f t="shared" si="172"/>
        <v>100</v>
      </c>
      <c r="AG281" s="83">
        <v>0.79500000000000004</v>
      </c>
      <c r="AH281" s="244">
        <f t="shared" si="173"/>
        <v>7.95</v>
      </c>
      <c r="AI281" s="21">
        <v>0.13</v>
      </c>
      <c r="AJ281" s="41">
        <f t="shared" si="168"/>
        <v>10</v>
      </c>
      <c r="AK281" s="197">
        <f t="shared" si="170"/>
        <v>12.145924930488421</v>
      </c>
    </row>
    <row r="282" spans="27:59">
      <c r="AA282" s="180">
        <f t="shared" si="169"/>
        <v>2037000000</v>
      </c>
      <c r="AB282" s="41">
        <v>2425</v>
      </c>
      <c r="AC282" s="21">
        <v>20</v>
      </c>
      <c r="AD282" s="21" t="s">
        <v>283</v>
      </c>
      <c r="AE282" s="175">
        <f t="shared" si="171"/>
        <v>100</v>
      </c>
      <c r="AF282" s="21">
        <f t="shared" si="172"/>
        <v>100</v>
      </c>
      <c r="AG282" s="83">
        <v>0.79500000000000004</v>
      </c>
      <c r="AH282" s="244">
        <f t="shared" si="173"/>
        <v>7.95</v>
      </c>
      <c r="AI282" s="21">
        <v>0.13</v>
      </c>
      <c r="AJ282" s="41">
        <f t="shared" si="168"/>
        <v>10</v>
      </c>
      <c r="AK282" s="197">
        <f t="shared" si="170"/>
        <v>12.145924930488421</v>
      </c>
    </row>
    <row r="283" spans="27:59">
      <c r="AA283" s="180">
        <f t="shared" si="169"/>
        <v>2058000000</v>
      </c>
      <c r="AB283" s="41">
        <v>2450</v>
      </c>
      <c r="AC283" s="21">
        <v>20</v>
      </c>
      <c r="AD283" s="21" t="s">
        <v>283</v>
      </c>
      <c r="AE283" s="175">
        <f t="shared" si="171"/>
        <v>100</v>
      </c>
      <c r="AF283" s="21">
        <f t="shared" si="172"/>
        <v>100</v>
      </c>
      <c r="AG283" s="83">
        <v>0.79500000000000004</v>
      </c>
      <c r="AH283" s="244">
        <f t="shared" si="173"/>
        <v>7.95</v>
      </c>
      <c r="AI283" s="21">
        <v>0.13</v>
      </c>
      <c r="AJ283" s="41">
        <f t="shared" si="168"/>
        <v>10</v>
      </c>
      <c r="AK283" s="197">
        <f t="shared" si="170"/>
        <v>12.145924930488421</v>
      </c>
    </row>
    <row r="284" spans="27:59">
      <c r="AA284" s="180">
        <f t="shared" si="169"/>
        <v>2079000000</v>
      </c>
      <c r="AB284" s="41">
        <v>2475</v>
      </c>
      <c r="AC284" s="21">
        <v>20</v>
      </c>
      <c r="AD284" s="21" t="s">
        <v>283</v>
      </c>
      <c r="AE284" s="175">
        <f t="shared" si="171"/>
        <v>100</v>
      </c>
      <c r="AF284" s="21">
        <f t="shared" si="172"/>
        <v>100</v>
      </c>
      <c r="AG284" s="83">
        <v>0.79500000000000004</v>
      </c>
      <c r="AH284" s="244">
        <f t="shared" si="173"/>
        <v>7.95</v>
      </c>
      <c r="AI284" s="21">
        <v>0.13</v>
      </c>
      <c r="AJ284" s="41">
        <f t="shared" si="168"/>
        <v>10</v>
      </c>
      <c r="AK284" s="197">
        <f t="shared" si="170"/>
        <v>12.145924930488421</v>
      </c>
    </row>
    <row r="285" spans="27:59">
      <c r="AA285" s="180">
        <f t="shared" si="169"/>
        <v>2100000000</v>
      </c>
      <c r="AB285" s="41">
        <v>2500</v>
      </c>
      <c r="AC285" s="21">
        <v>20</v>
      </c>
      <c r="AD285" s="21" t="s">
        <v>283</v>
      </c>
      <c r="AE285" s="175">
        <f t="shared" si="171"/>
        <v>100</v>
      </c>
      <c r="AF285" s="21">
        <f t="shared" si="172"/>
        <v>100</v>
      </c>
      <c r="AG285" s="83">
        <v>0.79500000000000004</v>
      </c>
      <c r="AH285" s="244">
        <f t="shared" si="173"/>
        <v>7.95</v>
      </c>
      <c r="AI285" s="21">
        <v>0.13</v>
      </c>
      <c r="AJ285" s="41">
        <f t="shared" si="168"/>
        <v>10</v>
      </c>
      <c r="AK285" s="197">
        <f t="shared" si="170"/>
        <v>12.145924930488421</v>
      </c>
    </row>
    <row r="286" spans="27:59">
      <c r="AA286" s="180">
        <f t="shared" si="169"/>
        <v>2121000000</v>
      </c>
      <c r="AB286" s="41">
        <v>2525</v>
      </c>
      <c r="AC286" s="21">
        <v>20</v>
      </c>
      <c r="AD286" s="21" t="s">
        <v>283</v>
      </c>
      <c r="AE286" s="175">
        <f t="shared" si="171"/>
        <v>100</v>
      </c>
      <c r="AF286" s="21">
        <f t="shared" si="172"/>
        <v>100</v>
      </c>
      <c r="AG286" s="83">
        <v>0.79500000000000004</v>
      </c>
      <c r="AH286" s="244">
        <f t="shared" si="173"/>
        <v>7.95</v>
      </c>
      <c r="AI286" s="21">
        <v>0.13</v>
      </c>
      <c r="AJ286" s="41">
        <f t="shared" si="168"/>
        <v>10</v>
      </c>
      <c r="AK286" s="197">
        <f t="shared" si="170"/>
        <v>12.145924930488421</v>
      </c>
    </row>
    <row r="287" spans="27:59">
      <c r="AA287" s="180">
        <f t="shared" si="169"/>
        <v>2142000000</v>
      </c>
      <c r="AB287" s="41">
        <v>2550</v>
      </c>
      <c r="AC287" s="21">
        <v>20</v>
      </c>
      <c r="AD287" s="21" t="s">
        <v>283</v>
      </c>
      <c r="AE287" s="175">
        <f t="shared" si="171"/>
        <v>100</v>
      </c>
      <c r="AF287" s="21">
        <f t="shared" si="172"/>
        <v>100</v>
      </c>
      <c r="AG287" s="83">
        <v>0.79500000000000004</v>
      </c>
      <c r="AH287" s="244">
        <f t="shared" si="173"/>
        <v>7.95</v>
      </c>
      <c r="AI287" s="21">
        <v>0.13</v>
      </c>
      <c r="AJ287" s="41">
        <f t="shared" si="168"/>
        <v>10</v>
      </c>
      <c r="AK287" s="197">
        <f t="shared" si="170"/>
        <v>12.145924930488421</v>
      </c>
    </row>
    <row r="288" spans="27:59">
      <c r="AA288" s="180">
        <f t="shared" si="169"/>
        <v>2163000000</v>
      </c>
      <c r="AB288" s="41">
        <v>2575</v>
      </c>
      <c r="AC288" s="21">
        <v>20</v>
      </c>
      <c r="AD288" s="21" t="s">
        <v>283</v>
      </c>
      <c r="AE288" s="175">
        <f t="shared" si="171"/>
        <v>100</v>
      </c>
      <c r="AF288" s="21">
        <f t="shared" si="172"/>
        <v>100</v>
      </c>
      <c r="AG288" s="83">
        <v>0.79500000000000004</v>
      </c>
      <c r="AH288" s="244">
        <f t="shared" si="173"/>
        <v>7.95</v>
      </c>
      <c r="AI288" s="21">
        <v>0.13</v>
      </c>
      <c r="AJ288" s="41">
        <f t="shared" si="168"/>
        <v>10</v>
      </c>
      <c r="AK288" s="197">
        <f t="shared" si="170"/>
        <v>12.145924930488421</v>
      </c>
    </row>
    <row r="289" spans="27:37">
      <c r="AA289" s="180">
        <f t="shared" si="169"/>
        <v>2184000000</v>
      </c>
      <c r="AB289" s="41">
        <v>2600</v>
      </c>
      <c r="AC289" s="21">
        <v>20</v>
      </c>
      <c r="AD289" s="21" t="s">
        <v>283</v>
      </c>
      <c r="AE289" s="175">
        <f t="shared" si="171"/>
        <v>100</v>
      </c>
      <c r="AF289" s="21">
        <f t="shared" si="172"/>
        <v>100</v>
      </c>
      <c r="AG289" s="83">
        <v>0.79500000000000004</v>
      </c>
      <c r="AH289" s="244">
        <f t="shared" si="173"/>
        <v>7.95</v>
      </c>
      <c r="AI289" s="21">
        <v>0.13</v>
      </c>
      <c r="AJ289" s="41">
        <f t="shared" si="168"/>
        <v>10</v>
      </c>
      <c r="AK289" s="197">
        <f t="shared" si="170"/>
        <v>12.145924930488421</v>
      </c>
    </row>
    <row r="290" spans="27:37">
      <c r="AA290" s="180">
        <f t="shared" si="169"/>
        <v>2205000000</v>
      </c>
      <c r="AB290" s="41">
        <v>2625</v>
      </c>
      <c r="AC290" s="21">
        <v>20</v>
      </c>
      <c r="AD290" s="21" t="s">
        <v>283</v>
      </c>
      <c r="AE290" s="175">
        <f t="shared" si="171"/>
        <v>100</v>
      </c>
      <c r="AF290" s="21">
        <f t="shared" si="172"/>
        <v>100</v>
      </c>
      <c r="AG290" s="83">
        <v>0.79500000000000004</v>
      </c>
      <c r="AH290" s="244">
        <f t="shared" si="173"/>
        <v>7.95</v>
      </c>
      <c r="AI290" s="21">
        <v>0.13</v>
      </c>
      <c r="AJ290" s="41">
        <f t="shared" si="168"/>
        <v>10</v>
      </c>
      <c r="AK290" s="197">
        <f t="shared" si="170"/>
        <v>12.145924930488421</v>
      </c>
    </row>
    <row r="291" spans="27:37">
      <c r="AA291" s="180">
        <f t="shared" si="169"/>
        <v>2226000000</v>
      </c>
      <c r="AB291" s="41">
        <v>2650</v>
      </c>
      <c r="AC291" s="21">
        <v>20</v>
      </c>
      <c r="AD291" s="21" t="s">
        <v>283</v>
      </c>
      <c r="AE291" s="175">
        <f t="shared" si="171"/>
        <v>100</v>
      </c>
      <c r="AF291" s="21">
        <f t="shared" si="172"/>
        <v>100</v>
      </c>
      <c r="AG291" s="83">
        <v>0.79500000000000004</v>
      </c>
      <c r="AH291" s="244">
        <f t="shared" si="173"/>
        <v>7.95</v>
      </c>
      <c r="AI291" s="21">
        <v>0.13</v>
      </c>
      <c r="AJ291" s="41">
        <f t="shared" si="168"/>
        <v>10</v>
      </c>
      <c r="AK291" s="197">
        <f t="shared" si="170"/>
        <v>12.145924930488421</v>
      </c>
    </row>
    <row r="292" spans="27:37">
      <c r="AA292" s="180">
        <f t="shared" si="169"/>
        <v>2247000000</v>
      </c>
      <c r="AB292" s="41">
        <v>2675</v>
      </c>
      <c r="AC292" s="21">
        <v>20</v>
      </c>
      <c r="AD292" s="21" t="s">
        <v>283</v>
      </c>
      <c r="AE292" s="175">
        <f t="shared" si="171"/>
        <v>100</v>
      </c>
      <c r="AF292" s="21">
        <f t="shared" si="172"/>
        <v>100</v>
      </c>
      <c r="AG292" s="83">
        <v>0.79500000000000004</v>
      </c>
      <c r="AH292" s="244">
        <f t="shared" si="173"/>
        <v>7.95</v>
      </c>
      <c r="AI292" s="21">
        <v>0.13</v>
      </c>
      <c r="AJ292" s="41">
        <f t="shared" si="168"/>
        <v>10</v>
      </c>
      <c r="AK292" s="197">
        <f t="shared" si="170"/>
        <v>12.145924930488421</v>
      </c>
    </row>
    <row r="293" spans="27:37">
      <c r="AA293" s="180">
        <f t="shared" si="169"/>
        <v>2268000000</v>
      </c>
      <c r="AB293" s="41">
        <v>2700</v>
      </c>
      <c r="AC293" s="21">
        <v>20</v>
      </c>
      <c r="AD293" s="21" t="s">
        <v>283</v>
      </c>
      <c r="AE293" s="175">
        <f t="shared" si="171"/>
        <v>100</v>
      </c>
      <c r="AF293" s="21">
        <f t="shared" si="172"/>
        <v>100</v>
      </c>
      <c r="AG293" s="83">
        <v>0.79500000000000004</v>
      </c>
      <c r="AH293" s="244">
        <f t="shared" si="173"/>
        <v>7.95</v>
      </c>
      <c r="AI293" s="21">
        <v>0.13</v>
      </c>
      <c r="AJ293" s="41">
        <f t="shared" si="168"/>
        <v>10</v>
      </c>
      <c r="AK293" s="197">
        <f t="shared" si="170"/>
        <v>12.145924930488421</v>
      </c>
    </row>
    <row r="294" spans="27:37">
      <c r="AA294" s="180">
        <f t="shared" si="169"/>
        <v>2289000000</v>
      </c>
      <c r="AB294" s="41">
        <v>2725</v>
      </c>
      <c r="AC294" s="21">
        <v>20</v>
      </c>
      <c r="AD294" s="21" t="s">
        <v>283</v>
      </c>
      <c r="AE294" s="175">
        <f t="shared" si="171"/>
        <v>100</v>
      </c>
      <c r="AF294" s="21">
        <f t="shared" si="172"/>
        <v>100</v>
      </c>
      <c r="AG294" s="83">
        <v>0.79500000000000004</v>
      </c>
      <c r="AH294" s="244">
        <f t="shared" si="173"/>
        <v>7.95</v>
      </c>
      <c r="AI294" s="21">
        <v>0.13</v>
      </c>
      <c r="AJ294" s="41">
        <f t="shared" si="168"/>
        <v>10</v>
      </c>
      <c r="AK294" s="197">
        <f t="shared" si="170"/>
        <v>12.145924930488421</v>
      </c>
    </row>
    <row r="295" spans="27:37">
      <c r="AA295" s="180">
        <f t="shared" si="169"/>
        <v>2310000000</v>
      </c>
      <c r="AB295" s="41">
        <v>2750</v>
      </c>
      <c r="AC295" s="21">
        <v>20</v>
      </c>
      <c r="AD295" s="21" t="s">
        <v>283</v>
      </c>
      <c r="AE295" s="175">
        <f t="shared" si="171"/>
        <v>100</v>
      </c>
      <c r="AF295" s="21">
        <f t="shared" si="172"/>
        <v>100</v>
      </c>
      <c r="AG295" s="83">
        <v>0.79500000000000004</v>
      </c>
      <c r="AH295" s="244">
        <f t="shared" si="173"/>
        <v>7.95</v>
      </c>
      <c r="AI295" s="21">
        <v>0.13</v>
      </c>
      <c r="AJ295" s="41">
        <f t="shared" si="168"/>
        <v>10</v>
      </c>
      <c r="AK295" s="197">
        <f t="shared" si="170"/>
        <v>12.145924930488421</v>
      </c>
    </row>
    <row r="296" spans="27:37">
      <c r="AA296" s="180">
        <f t="shared" si="169"/>
        <v>2331000000</v>
      </c>
      <c r="AB296" s="41">
        <v>2775</v>
      </c>
      <c r="AC296" s="21">
        <v>20</v>
      </c>
      <c r="AD296" s="21" t="s">
        <v>283</v>
      </c>
      <c r="AE296" s="175">
        <f t="shared" si="171"/>
        <v>100</v>
      </c>
      <c r="AF296" s="21">
        <f t="shared" si="172"/>
        <v>100</v>
      </c>
      <c r="AG296" s="83">
        <v>0.79500000000000004</v>
      </c>
      <c r="AH296" s="244">
        <f t="shared" si="173"/>
        <v>7.95</v>
      </c>
      <c r="AI296" s="21">
        <v>0.13</v>
      </c>
      <c r="AJ296" s="41">
        <f t="shared" si="168"/>
        <v>10</v>
      </c>
      <c r="AK296" s="197">
        <f t="shared" si="170"/>
        <v>12.145924930488421</v>
      </c>
    </row>
    <row r="297" spans="27:37">
      <c r="AA297" s="180">
        <f t="shared" si="169"/>
        <v>2352000000</v>
      </c>
      <c r="AB297" s="41">
        <v>2800</v>
      </c>
      <c r="AC297" s="21">
        <v>20</v>
      </c>
      <c r="AD297" s="21" t="s">
        <v>283</v>
      </c>
      <c r="AE297" s="175">
        <f t="shared" si="171"/>
        <v>100</v>
      </c>
      <c r="AF297" s="21">
        <f t="shared" si="172"/>
        <v>100</v>
      </c>
      <c r="AG297" s="83">
        <v>0.79500000000000004</v>
      </c>
      <c r="AH297" s="244">
        <f t="shared" si="173"/>
        <v>7.95</v>
      </c>
      <c r="AI297" s="21">
        <v>0.13</v>
      </c>
      <c r="AJ297" s="41">
        <f t="shared" si="168"/>
        <v>10</v>
      </c>
      <c r="AK297" s="197">
        <f t="shared" si="170"/>
        <v>12.145924930488421</v>
      </c>
    </row>
    <row r="298" spans="27:37">
      <c r="AA298" s="180">
        <f t="shared" si="169"/>
        <v>2373000000</v>
      </c>
      <c r="AB298" s="41">
        <v>2825</v>
      </c>
      <c r="AC298" s="21">
        <v>20</v>
      </c>
      <c r="AD298" s="21" t="s">
        <v>283</v>
      </c>
      <c r="AE298" s="175">
        <f t="shared" si="171"/>
        <v>100</v>
      </c>
      <c r="AF298" s="21">
        <f t="shared" si="172"/>
        <v>100</v>
      </c>
      <c r="AG298" s="83">
        <v>0.79500000000000004</v>
      </c>
      <c r="AH298" s="244">
        <f t="shared" si="173"/>
        <v>7.95</v>
      </c>
      <c r="AI298" s="21">
        <v>0.13</v>
      </c>
      <c r="AJ298" s="41">
        <f t="shared" si="168"/>
        <v>10</v>
      </c>
      <c r="AK298" s="197">
        <f t="shared" si="170"/>
        <v>12.145924930488421</v>
      </c>
    </row>
    <row r="299" spans="27:37">
      <c r="AA299" s="180">
        <f t="shared" si="169"/>
        <v>2394000000</v>
      </c>
      <c r="AB299" s="41">
        <v>2850</v>
      </c>
      <c r="AC299" s="21">
        <v>20</v>
      </c>
      <c r="AD299" s="21" t="s">
        <v>283</v>
      </c>
      <c r="AE299" s="175">
        <f t="shared" si="171"/>
        <v>100</v>
      </c>
      <c r="AF299" s="21">
        <f t="shared" si="172"/>
        <v>100</v>
      </c>
      <c r="AG299" s="83">
        <v>0.79500000000000004</v>
      </c>
      <c r="AH299" s="244">
        <f t="shared" si="173"/>
        <v>7.95</v>
      </c>
      <c r="AI299" s="21">
        <v>0.13</v>
      </c>
      <c r="AJ299" s="41">
        <f t="shared" si="168"/>
        <v>10</v>
      </c>
      <c r="AK299" s="197">
        <f t="shared" si="170"/>
        <v>12.145924930488421</v>
      </c>
    </row>
    <row r="300" spans="27:37">
      <c r="AA300" s="180">
        <f t="shared" si="169"/>
        <v>2415000000</v>
      </c>
      <c r="AB300" s="41">
        <v>2875</v>
      </c>
      <c r="AC300" s="21">
        <v>20</v>
      </c>
      <c r="AD300" s="21" t="s">
        <v>283</v>
      </c>
      <c r="AE300" s="175">
        <f t="shared" si="171"/>
        <v>100</v>
      </c>
      <c r="AF300" s="21">
        <f t="shared" si="172"/>
        <v>100</v>
      </c>
      <c r="AG300" s="83">
        <v>0.79500000000000004</v>
      </c>
      <c r="AH300" s="244">
        <f t="shared" si="173"/>
        <v>7.95</v>
      </c>
      <c r="AI300" s="21">
        <v>0.13</v>
      </c>
      <c r="AJ300" s="41">
        <f t="shared" si="168"/>
        <v>10</v>
      </c>
      <c r="AK300" s="197">
        <f t="shared" si="170"/>
        <v>12.145924930488421</v>
      </c>
    </row>
    <row r="301" spans="27:37">
      <c r="AA301" s="180">
        <f t="shared" si="169"/>
        <v>2436000000</v>
      </c>
      <c r="AB301" s="41">
        <v>2900</v>
      </c>
      <c r="AC301" s="21">
        <v>20</v>
      </c>
      <c r="AD301" s="21" t="s">
        <v>283</v>
      </c>
      <c r="AE301" s="175">
        <f t="shared" si="171"/>
        <v>100</v>
      </c>
      <c r="AF301" s="21">
        <f t="shared" si="172"/>
        <v>100</v>
      </c>
      <c r="AG301" s="83">
        <v>0.79500000000000004</v>
      </c>
      <c r="AH301" s="244">
        <f t="shared" si="173"/>
        <v>7.95</v>
      </c>
      <c r="AI301" s="21">
        <v>0.13</v>
      </c>
      <c r="AJ301" s="41">
        <f t="shared" si="168"/>
        <v>10</v>
      </c>
      <c r="AK301" s="197">
        <f t="shared" si="170"/>
        <v>12.145924930488421</v>
      </c>
    </row>
    <row r="302" spans="27:37">
      <c r="AA302" s="180">
        <f t="shared" si="169"/>
        <v>2457000000</v>
      </c>
      <c r="AB302" s="41">
        <v>2925</v>
      </c>
      <c r="AC302" s="21">
        <v>20</v>
      </c>
      <c r="AD302" s="21" t="s">
        <v>283</v>
      </c>
      <c r="AE302" s="175">
        <f t="shared" si="171"/>
        <v>100</v>
      </c>
      <c r="AF302" s="21">
        <f t="shared" si="172"/>
        <v>100</v>
      </c>
      <c r="AG302" s="83">
        <v>0.79500000000000004</v>
      </c>
      <c r="AH302" s="244">
        <f t="shared" si="173"/>
        <v>7.95</v>
      </c>
      <c r="AI302" s="21">
        <v>0.13</v>
      </c>
      <c r="AJ302" s="41">
        <f t="shared" si="168"/>
        <v>10</v>
      </c>
      <c r="AK302" s="197">
        <f t="shared" si="170"/>
        <v>12.145924930488421</v>
      </c>
    </row>
    <row r="303" spans="27:37">
      <c r="AA303" s="180">
        <f t="shared" si="169"/>
        <v>2478000000</v>
      </c>
      <c r="AB303" s="41">
        <v>2950</v>
      </c>
      <c r="AC303" s="21">
        <v>20</v>
      </c>
      <c r="AD303" s="21" t="s">
        <v>283</v>
      </c>
      <c r="AE303" s="175">
        <f t="shared" si="171"/>
        <v>100</v>
      </c>
      <c r="AF303" s="21">
        <f t="shared" si="172"/>
        <v>100</v>
      </c>
      <c r="AG303" s="83">
        <v>0.79500000000000004</v>
      </c>
      <c r="AH303" s="244">
        <f t="shared" si="173"/>
        <v>7.95</v>
      </c>
      <c r="AI303" s="21">
        <v>0.13</v>
      </c>
      <c r="AJ303" s="41">
        <f t="shared" si="168"/>
        <v>10</v>
      </c>
      <c r="AK303" s="197">
        <f t="shared" si="170"/>
        <v>12.145924930488421</v>
      </c>
    </row>
    <row r="304" spans="27:37">
      <c r="AA304" s="180">
        <f t="shared" si="169"/>
        <v>2499000000</v>
      </c>
      <c r="AB304" s="41">
        <v>2975</v>
      </c>
      <c r="AC304" s="21">
        <v>20</v>
      </c>
      <c r="AD304" s="21" t="s">
        <v>283</v>
      </c>
      <c r="AE304" s="175">
        <f t="shared" si="171"/>
        <v>100</v>
      </c>
      <c r="AF304" s="21">
        <f t="shared" si="172"/>
        <v>100</v>
      </c>
      <c r="AG304" s="83">
        <v>0.79500000000000004</v>
      </c>
      <c r="AH304" s="244">
        <f t="shared" si="173"/>
        <v>7.95</v>
      </c>
      <c r="AI304" s="21">
        <v>0.13</v>
      </c>
      <c r="AJ304" s="41">
        <f t="shared" si="168"/>
        <v>10</v>
      </c>
      <c r="AK304" s="197">
        <f t="shared" si="170"/>
        <v>12.145924930488421</v>
      </c>
    </row>
    <row r="305" spans="27:37">
      <c r="AA305" s="180">
        <f t="shared" si="169"/>
        <v>2520000000</v>
      </c>
      <c r="AB305" s="41">
        <v>3000</v>
      </c>
      <c r="AC305" s="21">
        <v>20</v>
      </c>
      <c r="AD305" s="21" t="s">
        <v>283</v>
      </c>
      <c r="AE305" s="175">
        <f t="shared" si="171"/>
        <v>100</v>
      </c>
      <c r="AF305" s="21">
        <f t="shared" si="172"/>
        <v>100</v>
      </c>
      <c r="AG305" s="83">
        <v>0.79500000000000004</v>
      </c>
      <c r="AH305" s="244">
        <f t="shared" si="173"/>
        <v>7.95</v>
      </c>
      <c r="AI305" s="21">
        <v>0.13</v>
      </c>
      <c r="AJ305" s="41">
        <f t="shared" si="168"/>
        <v>10</v>
      </c>
      <c r="AK305" s="197">
        <f t="shared" si="170"/>
        <v>12.145924930488421</v>
      </c>
    </row>
    <row r="306" spans="27:37">
      <c r="AA306" s="180">
        <f t="shared" si="169"/>
        <v>2541000000</v>
      </c>
      <c r="AB306" s="41">
        <v>3025</v>
      </c>
      <c r="AC306" s="21">
        <v>20</v>
      </c>
      <c r="AD306" s="21" t="s">
        <v>283</v>
      </c>
      <c r="AE306" s="175">
        <f t="shared" si="171"/>
        <v>100</v>
      </c>
      <c r="AF306" s="21">
        <f t="shared" si="172"/>
        <v>100</v>
      </c>
      <c r="AG306" s="83">
        <v>0.79500000000000004</v>
      </c>
      <c r="AH306" s="244">
        <f t="shared" si="173"/>
        <v>7.95</v>
      </c>
      <c r="AI306" s="21">
        <v>0.13</v>
      </c>
      <c r="AJ306" s="41">
        <f t="shared" si="168"/>
        <v>10</v>
      </c>
      <c r="AK306" s="197">
        <f t="shared" si="170"/>
        <v>12.145924930488421</v>
      </c>
    </row>
    <row r="307" spans="27:37">
      <c r="AA307" s="180">
        <f t="shared" si="169"/>
        <v>2562000000</v>
      </c>
      <c r="AB307" s="41">
        <v>3050</v>
      </c>
      <c r="AC307" s="21">
        <v>20</v>
      </c>
      <c r="AD307" s="21" t="s">
        <v>283</v>
      </c>
      <c r="AE307" s="175">
        <f t="shared" si="171"/>
        <v>100</v>
      </c>
      <c r="AF307" s="21">
        <f t="shared" si="172"/>
        <v>100</v>
      </c>
      <c r="AG307" s="83">
        <v>0.79500000000000004</v>
      </c>
      <c r="AH307" s="244">
        <f t="shared" si="173"/>
        <v>7.95</v>
      </c>
      <c r="AI307" s="21">
        <v>0.13</v>
      </c>
      <c r="AJ307" s="41">
        <f t="shared" si="168"/>
        <v>10</v>
      </c>
      <c r="AK307" s="197">
        <f t="shared" si="170"/>
        <v>12.145924930488421</v>
      </c>
    </row>
    <row r="308" spans="27:37">
      <c r="AA308" s="180">
        <f t="shared" si="169"/>
        <v>2583000000</v>
      </c>
      <c r="AB308" s="41">
        <v>3075</v>
      </c>
      <c r="AC308" s="21">
        <v>20</v>
      </c>
      <c r="AD308" s="21" t="s">
        <v>283</v>
      </c>
      <c r="AE308" s="175">
        <f t="shared" ref="AE308:AE354" si="174">(AB308-AB307)*4</f>
        <v>100</v>
      </c>
      <c r="AF308" s="21">
        <f t="shared" ref="AF308:AF354" si="175">AE308</f>
        <v>100</v>
      </c>
      <c r="AG308" s="83">
        <v>0.79500000000000004</v>
      </c>
      <c r="AH308" s="244">
        <f t="shared" si="173"/>
        <v>7.95</v>
      </c>
      <c r="AI308" s="21">
        <v>0.13</v>
      </c>
      <c r="AJ308" s="41">
        <f t="shared" si="168"/>
        <v>10</v>
      </c>
      <c r="AK308" s="197">
        <f t="shared" ref="AK308:AK354" si="176">(AB308-AB307)*$D$50</f>
        <v>12.145924930488421</v>
      </c>
    </row>
    <row r="309" spans="27:37">
      <c r="AA309" s="180">
        <f t="shared" si="169"/>
        <v>2604000000</v>
      </c>
      <c r="AB309" s="41">
        <v>3100</v>
      </c>
      <c r="AC309" s="21">
        <v>20</v>
      </c>
      <c r="AD309" s="21" t="s">
        <v>283</v>
      </c>
      <c r="AE309" s="175">
        <f t="shared" si="174"/>
        <v>100</v>
      </c>
      <c r="AF309" s="21">
        <f t="shared" si="175"/>
        <v>100</v>
      </c>
      <c r="AG309" s="83">
        <v>0.79500000000000004</v>
      </c>
      <c r="AH309" s="244">
        <f t="shared" si="173"/>
        <v>7.95</v>
      </c>
      <c r="AI309" s="21">
        <v>0.13</v>
      </c>
      <c r="AJ309" s="41">
        <f t="shared" si="168"/>
        <v>10</v>
      </c>
      <c r="AK309" s="197">
        <f t="shared" si="176"/>
        <v>12.145924930488421</v>
      </c>
    </row>
    <row r="310" spans="27:37">
      <c r="AA310" s="180">
        <f t="shared" si="169"/>
        <v>2625000000</v>
      </c>
      <c r="AB310" s="41">
        <v>3125</v>
      </c>
      <c r="AC310" s="21">
        <v>20</v>
      </c>
      <c r="AD310" s="21" t="s">
        <v>283</v>
      </c>
      <c r="AE310" s="175">
        <f t="shared" si="174"/>
        <v>100</v>
      </c>
      <c r="AF310" s="21">
        <f t="shared" si="175"/>
        <v>100</v>
      </c>
      <c r="AG310" s="83">
        <v>0.79500000000000004</v>
      </c>
      <c r="AH310" s="244">
        <f t="shared" si="173"/>
        <v>7.95</v>
      </c>
      <c r="AI310" s="21">
        <v>0.13</v>
      </c>
      <c r="AJ310" s="41">
        <f t="shared" si="168"/>
        <v>10</v>
      </c>
      <c r="AK310" s="197">
        <f t="shared" si="176"/>
        <v>12.145924930488421</v>
      </c>
    </row>
    <row r="311" spans="27:37">
      <c r="AA311" s="180">
        <f t="shared" si="169"/>
        <v>2646000000</v>
      </c>
      <c r="AB311" s="41">
        <v>3150</v>
      </c>
      <c r="AC311" s="21">
        <v>20</v>
      </c>
      <c r="AD311" s="21" t="s">
        <v>283</v>
      </c>
      <c r="AE311" s="175">
        <f t="shared" si="174"/>
        <v>100</v>
      </c>
      <c r="AF311" s="21">
        <f t="shared" si="175"/>
        <v>100</v>
      </c>
      <c r="AG311" s="83">
        <v>0.79500000000000004</v>
      </c>
      <c r="AH311" s="244">
        <f t="shared" si="173"/>
        <v>7.95</v>
      </c>
      <c r="AI311" s="21">
        <v>0.13</v>
      </c>
      <c r="AJ311" s="41">
        <f t="shared" si="168"/>
        <v>10</v>
      </c>
      <c r="AK311" s="197">
        <f t="shared" si="176"/>
        <v>12.145924930488421</v>
      </c>
    </row>
    <row r="312" spans="27:37">
      <c r="AA312" s="180">
        <f t="shared" si="169"/>
        <v>2667000000</v>
      </c>
      <c r="AB312" s="41">
        <v>3175</v>
      </c>
      <c r="AC312" s="21">
        <v>20</v>
      </c>
      <c r="AD312" s="21" t="s">
        <v>283</v>
      </c>
      <c r="AE312" s="175">
        <f t="shared" si="174"/>
        <v>100</v>
      </c>
      <c r="AF312" s="21">
        <f t="shared" si="175"/>
        <v>100</v>
      </c>
      <c r="AG312" s="83">
        <v>0.79500000000000004</v>
      </c>
      <c r="AH312" s="244">
        <f t="shared" si="173"/>
        <v>7.95</v>
      </c>
      <c r="AI312" s="21">
        <v>0.13</v>
      </c>
      <c r="AJ312" s="41">
        <f t="shared" si="168"/>
        <v>10</v>
      </c>
      <c r="AK312" s="197">
        <f t="shared" si="176"/>
        <v>12.145924930488421</v>
      </c>
    </row>
    <row r="313" spans="27:37">
      <c r="AA313" s="180">
        <f t="shared" si="169"/>
        <v>2688000000</v>
      </c>
      <c r="AB313" s="41">
        <v>3200</v>
      </c>
      <c r="AC313" s="21">
        <v>20</v>
      </c>
      <c r="AD313" s="21" t="s">
        <v>283</v>
      </c>
      <c r="AE313" s="175">
        <f t="shared" si="174"/>
        <v>100</v>
      </c>
      <c r="AF313" s="21">
        <f t="shared" si="175"/>
        <v>100</v>
      </c>
      <c r="AG313" s="83">
        <v>0.79500000000000004</v>
      </c>
      <c r="AH313" s="244">
        <f t="shared" si="173"/>
        <v>7.95</v>
      </c>
      <c r="AI313" s="21">
        <v>0.13</v>
      </c>
      <c r="AJ313" s="41">
        <f t="shared" si="168"/>
        <v>10</v>
      </c>
      <c r="AK313" s="197">
        <f t="shared" si="176"/>
        <v>12.145924930488421</v>
      </c>
    </row>
    <row r="314" spans="27:37">
      <c r="AA314" s="180">
        <f t="shared" si="169"/>
        <v>2709000000</v>
      </c>
      <c r="AB314" s="41">
        <v>3225</v>
      </c>
      <c r="AC314" s="21">
        <v>20</v>
      </c>
      <c r="AD314" s="21" t="s">
        <v>283</v>
      </c>
      <c r="AE314" s="175">
        <f t="shared" si="174"/>
        <v>100</v>
      </c>
      <c r="AF314" s="21">
        <f t="shared" si="175"/>
        <v>100</v>
      </c>
      <c r="AG314" s="83">
        <v>0.79500000000000004</v>
      </c>
      <c r="AH314" s="244">
        <f t="shared" si="173"/>
        <v>7.95</v>
      </c>
      <c r="AI314" s="21">
        <v>0.13</v>
      </c>
      <c r="AJ314" s="41">
        <f t="shared" ref="AJ314:AJ362" si="177">$B$8</f>
        <v>10</v>
      </c>
      <c r="AK314" s="197">
        <f t="shared" si="176"/>
        <v>12.145924930488421</v>
      </c>
    </row>
    <row r="315" spans="27:37">
      <c r="AA315" s="180">
        <f t="shared" ref="AA315:AA362" si="178">AA133</f>
        <v>2730000000</v>
      </c>
      <c r="AB315" s="41">
        <v>3250</v>
      </c>
      <c r="AC315" s="21">
        <v>20</v>
      </c>
      <c r="AD315" s="21" t="s">
        <v>283</v>
      </c>
      <c r="AE315" s="175">
        <f t="shared" si="174"/>
        <v>100</v>
      </c>
      <c r="AF315" s="21">
        <f t="shared" si="175"/>
        <v>100</v>
      </c>
      <c r="AG315" s="83">
        <v>0.79500000000000004</v>
      </c>
      <c r="AH315" s="244">
        <f t="shared" si="173"/>
        <v>7.95</v>
      </c>
      <c r="AI315" s="21">
        <v>0.13</v>
      </c>
      <c r="AJ315" s="41">
        <f t="shared" si="177"/>
        <v>10</v>
      </c>
      <c r="AK315" s="197">
        <f t="shared" si="176"/>
        <v>12.145924930488421</v>
      </c>
    </row>
    <row r="316" spans="27:37">
      <c r="AA316" s="180">
        <f t="shared" si="178"/>
        <v>2751000000</v>
      </c>
      <c r="AB316" s="41">
        <v>3275</v>
      </c>
      <c r="AC316" s="21">
        <v>20</v>
      </c>
      <c r="AD316" s="21" t="s">
        <v>283</v>
      </c>
      <c r="AE316" s="175">
        <f t="shared" si="174"/>
        <v>100</v>
      </c>
      <c r="AF316" s="21">
        <f t="shared" si="175"/>
        <v>100</v>
      </c>
      <c r="AG316" s="83">
        <v>0.79500000000000004</v>
      </c>
      <c r="AH316" s="244">
        <f t="shared" si="173"/>
        <v>7.95</v>
      </c>
      <c r="AI316" s="21">
        <v>0.13</v>
      </c>
      <c r="AJ316" s="41">
        <f t="shared" si="177"/>
        <v>10</v>
      </c>
      <c r="AK316" s="197">
        <f t="shared" si="176"/>
        <v>12.145924930488421</v>
      </c>
    </row>
    <row r="317" spans="27:37">
      <c r="AA317" s="180">
        <f t="shared" si="178"/>
        <v>2772000000</v>
      </c>
      <c r="AB317" s="41">
        <v>3300</v>
      </c>
      <c r="AC317" s="21">
        <v>20</v>
      </c>
      <c r="AD317" s="21" t="s">
        <v>283</v>
      </c>
      <c r="AE317" s="175">
        <f t="shared" si="174"/>
        <v>100</v>
      </c>
      <c r="AF317" s="21">
        <f t="shared" si="175"/>
        <v>100</v>
      </c>
      <c r="AG317" s="83">
        <v>0.79500000000000004</v>
      </c>
      <c r="AH317" s="244">
        <f t="shared" si="173"/>
        <v>7.95</v>
      </c>
      <c r="AI317" s="21">
        <v>0.13</v>
      </c>
      <c r="AJ317" s="41">
        <f t="shared" si="177"/>
        <v>10</v>
      </c>
      <c r="AK317" s="197">
        <f t="shared" si="176"/>
        <v>12.145924930488421</v>
      </c>
    </row>
    <row r="318" spans="27:37">
      <c r="AA318" s="180">
        <f t="shared" si="178"/>
        <v>2793000000</v>
      </c>
      <c r="AB318" s="41">
        <v>3325</v>
      </c>
      <c r="AC318" s="21">
        <v>20</v>
      </c>
      <c r="AD318" s="21" t="s">
        <v>283</v>
      </c>
      <c r="AE318" s="175">
        <f t="shared" si="174"/>
        <v>100</v>
      </c>
      <c r="AF318" s="21">
        <f t="shared" si="175"/>
        <v>100</v>
      </c>
      <c r="AG318" s="83">
        <v>0.79500000000000004</v>
      </c>
      <c r="AH318" s="244">
        <f t="shared" si="173"/>
        <v>7.95</v>
      </c>
      <c r="AI318" s="21">
        <v>0.13</v>
      </c>
      <c r="AJ318" s="41">
        <f t="shared" si="177"/>
        <v>10</v>
      </c>
      <c r="AK318" s="197">
        <f t="shared" si="176"/>
        <v>12.145924930488421</v>
      </c>
    </row>
    <row r="319" spans="27:37">
      <c r="AA319" s="180">
        <f t="shared" si="178"/>
        <v>2814000000</v>
      </c>
      <c r="AB319" s="41">
        <v>3350</v>
      </c>
      <c r="AC319" s="21">
        <v>20</v>
      </c>
      <c r="AD319" s="21" t="s">
        <v>283</v>
      </c>
      <c r="AE319" s="175">
        <f t="shared" si="174"/>
        <v>100</v>
      </c>
      <c r="AF319" s="21">
        <f t="shared" si="175"/>
        <v>100</v>
      </c>
      <c r="AG319" s="83">
        <v>0.79500000000000004</v>
      </c>
      <c r="AH319" s="244">
        <f t="shared" si="173"/>
        <v>7.95</v>
      </c>
      <c r="AI319" s="21">
        <v>0.13</v>
      </c>
      <c r="AJ319" s="41">
        <f t="shared" si="177"/>
        <v>10</v>
      </c>
      <c r="AK319" s="197">
        <f t="shared" si="176"/>
        <v>12.145924930488421</v>
      </c>
    </row>
    <row r="320" spans="27:37">
      <c r="AA320" s="180">
        <f t="shared" si="178"/>
        <v>2835000000</v>
      </c>
      <c r="AB320" s="41">
        <v>3375</v>
      </c>
      <c r="AC320" s="21">
        <v>20</v>
      </c>
      <c r="AD320" s="21" t="s">
        <v>283</v>
      </c>
      <c r="AE320" s="175">
        <f t="shared" si="174"/>
        <v>100</v>
      </c>
      <c r="AF320" s="21">
        <f t="shared" si="175"/>
        <v>100</v>
      </c>
      <c r="AG320" s="83">
        <v>0.79500000000000004</v>
      </c>
      <c r="AH320" s="244">
        <f t="shared" si="173"/>
        <v>7.95</v>
      </c>
      <c r="AI320" s="21">
        <v>0.13</v>
      </c>
      <c r="AJ320" s="41">
        <f t="shared" si="177"/>
        <v>10</v>
      </c>
      <c r="AK320" s="197">
        <f t="shared" si="176"/>
        <v>12.145924930488421</v>
      </c>
    </row>
    <row r="321" spans="27:37">
      <c r="AA321" s="180">
        <f t="shared" si="178"/>
        <v>2856000000</v>
      </c>
      <c r="AB321" s="41">
        <v>3400</v>
      </c>
      <c r="AC321" s="21">
        <v>20</v>
      </c>
      <c r="AD321" s="21" t="s">
        <v>283</v>
      </c>
      <c r="AE321" s="175">
        <f t="shared" si="174"/>
        <v>100</v>
      </c>
      <c r="AF321" s="21">
        <f t="shared" si="175"/>
        <v>100</v>
      </c>
      <c r="AG321" s="83">
        <v>0.79500000000000004</v>
      </c>
      <c r="AH321" s="244">
        <f t="shared" si="173"/>
        <v>7.95</v>
      </c>
      <c r="AI321" s="21">
        <v>0.13</v>
      </c>
      <c r="AJ321" s="41">
        <f t="shared" si="177"/>
        <v>10</v>
      </c>
      <c r="AK321" s="197">
        <f t="shared" si="176"/>
        <v>12.145924930488421</v>
      </c>
    </row>
    <row r="322" spans="27:37">
      <c r="AA322" s="180">
        <f t="shared" si="178"/>
        <v>2877000000</v>
      </c>
      <c r="AB322" s="41">
        <v>3425</v>
      </c>
      <c r="AC322" s="21">
        <v>20</v>
      </c>
      <c r="AD322" s="21" t="s">
        <v>283</v>
      </c>
      <c r="AE322" s="175">
        <f t="shared" si="174"/>
        <v>100</v>
      </c>
      <c r="AF322" s="21">
        <f t="shared" si="175"/>
        <v>100</v>
      </c>
      <c r="AG322" s="83">
        <v>0.79500000000000004</v>
      </c>
      <c r="AH322" s="244">
        <f t="shared" si="173"/>
        <v>7.95</v>
      </c>
      <c r="AI322" s="21">
        <v>0.13</v>
      </c>
      <c r="AJ322" s="41">
        <f t="shared" si="177"/>
        <v>10</v>
      </c>
      <c r="AK322" s="197">
        <f t="shared" si="176"/>
        <v>12.145924930488421</v>
      </c>
    </row>
    <row r="323" spans="27:37">
      <c r="AA323" s="180">
        <f t="shared" si="178"/>
        <v>2898000000</v>
      </c>
      <c r="AB323" s="41">
        <v>3450</v>
      </c>
      <c r="AC323" s="21">
        <v>20</v>
      </c>
      <c r="AD323" s="21" t="s">
        <v>283</v>
      </c>
      <c r="AE323" s="175">
        <f t="shared" si="174"/>
        <v>100</v>
      </c>
      <c r="AF323" s="21">
        <f t="shared" si="175"/>
        <v>100</v>
      </c>
      <c r="AG323" s="83">
        <v>0.79500000000000004</v>
      </c>
      <c r="AH323" s="244">
        <f t="shared" si="173"/>
        <v>7.95</v>
      </c>
      <c r="AI323" s="21">
        <v>0.13</v>
      </c>
      <c r="AJ323" s="41">
        <f t="shared" si="177"/>
        <v>10</v>
      </c>
      <c r="AK323" s="197">
        <f t="shared" si="176"/>
        <v>12.145924930488421</v>
      </c>
    </row>
    <row r="324" spans="27:37">
      <c r="AA324" s="180">
        <f t="shared" si="178"/>
        <v>2919000000</v>
      </c>
      <c r="AB324" s="41">
        <v>3475</v>
      </c>
      <c r="AC324" s="21">
        <v>20</v>
      </c>
      <c r="AD324" s="21" t="s">
        <v>283</v>
      </c>
      <c r="AE324" s="175">
        <f t="shared" si="174"/>
        <v>100</v>
      </c>
      <c r="AF324" s="21">
        <f t="shared" si="175"/>
        <v>100</v>
      </c>
      <c r="AG324" s="83">
        <v>0.79500000000000004</v>
      </c>
      <c r="AH324" s="244">
        <f t="shared" si="173"/>
        <v>7.95</v>
      </c>
      <c r="AI324" s="21">
        <v>0.13</v>
      </c>
      <c r="AJ324" s="41">
        <f t="shared" si="177"/>
        <v>10</v>
      </c>
      <c r="AK324" s="197">
        <f t="shared" si="176"/>
        <v>12.145924930488421</v>
      </c>
    </row>
    <row r="325" spans="27:37">
      <c r="AA325" s="180">
        <f t="shared" si="178"/>
        <v>2940000000</v>
      </c>
      <c r="AB325" s="41">
        <v>3500</v>
      </c>
      <c r="AC325" s="21">
        <v>20</v>
      </c>
      <c r="AD325" s="21" t="s">
        <v>283</v>
      </c>
      <c r="AE325" s="175">
        <f t="shared" si="174"/>
        <v>100</v>
      </c>
      <c r="AF325" s="21">
        <f t="shared" si="175"/>
        <v>100</v>
      </c>
      <c r="AG325" s="83">
        <v>0.79500000000000004</v>
      </c>
      <c r="AH325" s="244">
        <f t="shared" si="173"/>
        <v>7.95</v>
      </c>
      <c r="AI325" s="21">
        <v>0.13</v>
      </c>
      <c r="AJ325" s="41">
        <f t="shared" si="177"/>
        <v>10</v>
      </c>
      <c r="AK325" s="197">
        <f t="shared" si="176"/>
        <v>12.145924930488421</v>
      </c>
    </row>
    <row r="326" spans="27:37">
      <c r="AA326" s="180">
        <f t="shared" si="178"/>
        <v>2961000000</v>
      </c>
      <c r="AB326" s="41">
        <v>3525</v>
      </c>
      <c r="AC326" s="21">
        <v>20</v>
      </c>
      <c r="AD326" s="21" t="s">
        <v>283</v>
      </c>
      <c r="AE326" s="175">
        <f t="shared" si="174"/>
        <v>100</v>
      </c>
      <c r="AF326" s="21">
        <f t="shared" si="175"/>
        <v>100</v>
      </c>
      <c r="AG326" s="83">
        <v>0.79500000000000004</v>
      </c>
      <c r="AH326" s="244">
        <f t="shared" si="173"/>
        <v>7.95</v>
      </c>
      <c r="AI326" s="21">
        <v>0.13</v>
      </c>
      <c r="AJ326" s="41">
        <f t="shared" si="177"/>
        <v>10</v>
      </c>
      <c r="AK326" s="197">
        <f t="shared" si="176"/>
        <v>12.145924930488421</v>
      </c>
    </row>
    <row r="327" spans="27:37">
      <c r="AA327" s="180">
        <f t="shared" si="178"/>
        <v>2982000000</v>
      </c>
      <c r="AB327" s="41">
        <v>3550</v>
      </c>
      <c r="AC327" s="21">
        <v>20</v>
      </c>
      <c r="AD327" s="21" t="s">
        <v>283</v>
      </c>
      <c r="AE327" s="175">
        <f t="shared" si="174"/>
        <v>100</v>
      </c>
      <c r="AF327" s="21">
        <f t="shared" si="175"/>
        <v>100</v>
      </c>
      <c r="AG327" s="83">
        <v>0.79500000000000004</v>
      </c>
      <c r="AH327" s="244">
        <f t="shared" si="173"/>
        <v>7.95</v>
      </c>
      <c r="AI327" s="21">
        <v>0.13</v>
      </c>
      <c r="AJ327" s="41">
        <f t="shared" si="177"/>
        <v>10</v>
      </c>
      <c r="AK327" s="197">
        <f t="shared" si="176"/>
        <v>12.145924930488421</v>
      </c>
    </row>
    <row r="328" spans="27:37">
      <c r="AA328" s="180">
        <f t="shared" si="178"/>
        <v>3003000000</v>
      </c>
      <c r="AB328" s="41">
        <v>3575</v>
      </c>
      <c r="AC328" s="21">
        <v>20</v>
      </c>
      <c r="AD328" s="21" t="s">
        <v>283</v>
      </c>
      <c r="AE328" s="175">
        <f t="shared" si="174"/>
        <v>100</v>
      </c>
      <c r="AF328" s="21">
        <f t="shared" si="175"/>
        <v>100</v>
      </c>
      <c r="AG328" s="83">
        <v>0.79500000000000004</v>
      </c>
      <c r="AH328" s="244">
        <f t="shared" si="173"/>
        <v>7.95</v>
      </c>
      <c r="AI328" s="21">
        <v>0.13</v>
      </c>
      <c r="AJ328" s="41">
        <f t="shared" si="177"/>
        <v>10</v>
      </c>
      <c r="AK328" s="197">
        <f t="shared" si="176"/>
        <v>12.145924930488421</v>
      </c>
    </row>
    <row r="329" spans="27:37">
      <c r="AA329" s="180">
        <f t="shared" si="178"/>
        <v>3024000000</v>
      </c>
      <c r="AB329" s="41">
        <v>3600</v>
      </c>
      <c r="AC329" s="21">
        <v>20</v>
      </c>
      <c r="AD329" s="21" t="s">
        <v>283</v>
      </c>
      <c r="AE329" s="175">
        <f t="shared" si="174"/>
        <v>100</v>
      </c>
      <c r="AF329" s="21">
        <f t="shared" si="175"/>
        <v>100</v>
      </c>
      <c r="AG329" s="83">
        <v>0.79500000000000004</v>
      </c>
      <c r="AH329" s="244">
        <f t="shared" si="173"/>
        <v>7.95</v>
      </c>
      <c r="AI329" s="21">
        <v>0.13</v>
      </c>
      <c r="AJ329" s="41">
        <f t="shared" si="177"/>
        <v>10</v>
      </c>
      <c r="AK329" s="197">
        <f t="shared" si="176"/>
        <v>12.145924930488421</v>
      </c>
    </row>
    <row r="330" spans="27:37">
      <c r="AA330" s="180">
        <f t="shared" si="178"/>
        <v>3045000000</v>
      </c>
      <c r="AB330" s="41">
        <v>3625</v>
      </c>
      <c r="AC330" s="21">
        <v>20</v>
      </c>
      <c r="AD330" s="21" t="s">
        <v>283</v>
      </c>
      <c r="AE330" s="175">
        <f t="shared" si="174"/>
        <v>100</v>
      </c>
      <c r="AF330" s="21">
        <f t="shared" si="175"/>
        <v>100</v>
      </c>
      <c r="AG330" s="83">
        <v>0.79500000000000004</v>
      </c>
      <c r="AH330" s="244">
        <f t="shared" si="173"/>
        <v>7.95</v>
      </c>
      <c r="AI330" s="21">
        <v>0.13</v>
      </c>
      <c r="AJ330" s="41">
        <f t="shared" si="177"/>
        <v>10</v>
      </c>
      <c r="AK330" s="197">
        <f t="shared" si="176"/>
        <v>12.145924930488421</v>
      </c>
    </row>
    <row r="331" spans="27:37">
      <c r="AA331" s="180">
        <f t="shared" si="178"/>
        <v>3066000000</v>
      </c>
      <c r="AB331" s="41">
        <v>3650</v>
      </c>
      <c r="AC331" s="21">
        <v>20</v>
      </c>
      <c r="AD331" s="21" t="s">
        <v>283</v>
      </c>
      <c r="AE331" s="175">
        <f t="shared" si="174"/>
        <v>100</v>
      </c>
      <c r="AF331" s="21">
        <f t="shared" si="175"/>
        <v>100</v>
      </c>
      <c r="AG331" s="83">
        <v>0.79500000000000004</v>
      </c>
      <c r="AH331" s="244">
        <f t="shared" si="173"/>
        <v>7.95</v>
      </c>
      <c r="AI331" s="21">
        <v>0.13</v>
      </c>
      <c r="AJ331" s="41">
        <f t="shared" si="177"/>
        <v>10</v>
      </c>
      <c r="AK331" s="197">
        <f t="shared" si="176"/>
        <v>12.145924930488421</v>
      </c>
    </row>
    <row r="332" spans="27:37">
      <c r="AA332" s="180">
        <f t="shared" si="178"/>
        <v>3087000000</v>
      </c>
      <c r="AB332" s="41">
        <v>3675</v>
      </c>
      <c r="AC332" s="21">
        <v>20</v>
      </c>
      <c r="AD332" s="21" t="s">
        <v>283</v>
      </c>
      <c r="AE332" s="175">
        <f t="shared" si="174"/>
        <v>100</v>
      </c>
      <c r="AF332" s="21">
        <f t="shared" si="175"/>
        <v>100</v>
      </c>
      <c r="AG332" s="83">
        <v>0.79500000000000004</v>
      </c>
      <c r="AH332" s="244">
        <f t="shared" si="173"/>
        <v>7.95</v>
      </c>
      <c r="AI332" s="21">
        <v>0.13</v>
      </c>
      <c r="AJ332" s="41">
        <f t="shared" si="177"/>
        <v>10</v>
      </c>
      <c r="AK332" s="197">
        <f t="shared" si="176"/>
        <v>12.145924930488421</v>
      </c>
    </row>
    <row r="333" spans="27:37">
      <c r="AA333" s="180">
        <f t="shared" si="178"/>
        <v>3108000000</v>
      </c>
      <c r="AB333" s="41">
        <v>3700</v>
      </c>
      <c r="AC333" s="21">
        <v>20</v>
      </c>
      <c r="AD333" s="21" t="s">
        <v>283</v>
      </c>
      <c r="AE333" s="175">
        <f t="shared" si="174"/>
        <v>100</v>
      </c>
      <c r="AF333" s="21">
        <f t="shared" si="175"/>
        <v>100</v>
      </c>
      <c r="AG333" s="83">
        <v>0.79500000000000004</v>
      </c>
      <c r="AH333" s="244">
        <f t="shared" si="173"/>
        <v>7.95</v>
      </c>
      <c r="AI333" s="21">
        <v>0.13</v>
      </c>
      <c r="AJ333" s="41">
        <f t="shared" si="177"/>
        <v>10</v>
      </c>
      <c r="AK333" s="197">
        <f t="shared" si="176"/>
        <v>12.145924930488421</v>
      </c>
    </row>
    <row r="334" spans="27:37">
      <c r="AA334" s="180">
        <f t="shared" si="178"/>
        <v>3129000000</v>
      </c>
      <c r="AB334" s="41">
        <v>3725</v>
      </c>
      <c r="AC334" s="21">
        <v>20</v>
      </c>
      <c r="AD334" s="21" t="s">
        <v>283</v>
      </c>
      <c r="AE334" s="175">
        <f t="shared" si="174"/>
        <v>100</v>
      </c>
      <c r="AF334" s="21">
        <f t="shared" si="175"/>
        <v>100</v>
      </c>
      <c r="AG334" s="83">
        <v>0.79500000000000004</v>
      </c>
      <c r="AH334" s="244">
        <f t="shared" ref="AH334:AH362" si="179">AG334*10</f>
        <v>7.95</v>
      </c>
      <c r="AI334" s="21">
        <v>0.13</v>
      </c>
      <c r="AJ334" s="41">
        <f t="shared" si="177"/>
        <v>10</v>
      </c>
      <c r="AK334" s="197">
        <f t="shared" si="176"/>
        <v>12.145924930488421</v>
      </c>
    </row>
    <row r="335" spans="27:37">
      <c r="AA335" s="180">
        <f t="shared" si="178"/>
        <v>3150000000</v>
      </c>
      <c r="AB335" s="41">
        <v>3750</v>
      </c>
      <c r="AC335" s="21">
        <v>20</v>
      </c>
      <c r="AD335" s="21" t="s">
        <v>283</v>
      </c>
      <c r="AE335" s="175">
        <f t="shared" si="174"/>
        <v>100</v>
      </c>
      <c r="AF335" s="21">
        <f t="shared" si="175"/>
        <v>100</v>
      </c>
      <c r="AG335" s="83">
        <v>0.79500000000000004</v>
      </c>
      <c r="AH335" s="244">
        <f t="shared" si="179"/>
        <v>7.95</v>
      </c>
      <c r="AI335" s="21">
        <v>0.13</v>
      </c>
      <c r="AJ335" s="41">
        <f t="shared" si="177"/>
        <v>10</v>
      </c>
      <c r="AK335" s="197">
        <f t="shared" si="176"/>
        <v>12.145924930488421</v>
      </c>
    </row>
    <row r="336" spans="27:37">
      <c r="AA336" s="180">
        <f t="shared" si="178"/>
        <v>3171000000</v>
      </c>
      <c r="AB336" s="41">
        <v>3775</v>
      </c>
      <c r="AC336" s="21">
        <v>20</v>
      </c>
      <c r="AD336" s="21" t="s">
        <v>283</v>
      </c>
      <c r="AE336" s="175">
        <f t="shared" si="174"/>
        <v>100</v>
      </c>
      <c r="AF336" s="21">
        <f t="shared" si="175"/>
        <v>100</v>
      </c>
      <c r="AG336" s="83">
        <v>0.79500000000000004</v>
      </c>
      <c r="AH336" s="244">
        <f t="shared" si="179"/>
        <v>7.95</v>
      </c>
      <c r="AI336" s="21">
        <v>0.13</v>
      </c>
      <c r="AJ336" s="41">
        <f t="shared" si="177"/>
        <v>10</v>
      </c>
      <c r="AK336" s="197">
        <f t="shared" si="176"/>
        <v>12.145924930488421</v>
      </c>
    </row>
    <row r="337" spans="27:37">
      <c r="AA337" s="180">
        <f t="shared" si="178"/>
        <v>3192000000</v>
      </c>
      <c r="AB337" s="41">
        <v>3800</v>
      </c>
      <c r="AC337" s="21">
        <v>20</v>
      </c>
      <c r="AD337" s="21" t="s">
        <v>283</v>
      </c>
      <c r="AE337" s="175">
        <f t="shared" si="174"/>
        <v>100</v>
      </c>
      <c r="AF337" s="21">
        <f t="shared" si="175"/>
        <v>100</v>
      </c>
      <c r="AG337" s="83">
        <v>0.79500000000000004</v>
      </c>
      <c r="AH337" s="244">
        <f t="shared" si="179"/>
        <v>7.95</v>
      </c>
      <c r="AI337" s="21">
        <v>0.13</v>
      </c>
      <c r="AJ337" s="41">
        <f t="shared" si="177"/>
        <v>10</v>
      </c>
      <c r="AK337" s="197">
        <f t="shared" si="176"/>
        <v>12.145924930488421</v>
      </c>
    </row>
    <row r="338" spans="27:37">
      <c r="AA338" s="180">
        <f t="shared" si="178"/>
        <v>3213000000</v>
      </c>
      <c r="AB338" s="41">
        <v>3825</v>
      </c>
      <c r="AC338" s="21">
        <v>20</v>
      </c>
      <c r="AD338" s="21" t="s">
        <v>283</v>
      </c>
      <c r="AE338" s="175">
        <f t="shared" si="174"/>
        <v>100</v>
      </c>
      <c r="AF338" s="21">
        <f t="shared" si="175"/>
        <v>100</v>
      </c>
      <c r="AG338" s="83">
        <v>0.79500000000000004</v>
      </c>
      <c r="AH338" s="244">
        <f t="shared" si="179"/>
        <v>7.95</v>
      </c>
      <c r="AI338" s="21">
        <v>0.13</v>
      </c>
      <c r="AJ338" s="41">
        <f t="shared" si="177"/>
        <v>10</v>
      </c>
      <c r="AK338" s="197">
        <f t="shared" si="176"/>
        <v>12.145924930488421</v>
      </c>
    </row>
    <row r="339" spans="27:37">
      <c r="AA339" s="180">
        <f t="shared" si="178"/>
        <v>3234000000</v>
      </c>
      <c r="AB339" s="41">
        <v>3850</v>
      </c>
      <c r="AC339" s="21">
        <v>20</v>
      </c>
      <c r="AD339" s="21" t="s">
        <v>283</v>
      </c>
      <c r="AE339" s="175">
        <f t="shared" si="174"/>
        <v>100</v>
      </c>
      <c r="AF339" s="21">
        <f t="shared" si="175"/>
        <v>100</v>
      </c>
      <c r="AG339" s="83">
        <v>0.79500000000000004</v>
      </c>
      <c r="AH339" s="244">
        <f t="shared" si="179"/>
        <v>7.95</v>
      </c>
      <c r="AI339" s="21">
        <v>0.13</v>
      </c>
      <c r="AJ339" s="41">
        <f t="shared" si="177"/>
        <v>10</v>
      </c>
      <c r="AK339" s="197">
        <f t="shared" si="176"/>
        <v>12.145924930488421</v>
      </c>
    </row>
    <row r="340" spans="27:37">
      <c r="AA340" s="180">
        <f t="shared" si="178"/>
        <v>3255000000</v>
      </c>
      <c r="AB340" s="41">
        <v>3875</v>
      </c>
      <c r="AC340" s="21">
        <v>20</v>
      </c>
      <c r="AD340" s="21" t="s">
        <v>283</v>
      </c>
      <c r="AE340" s="175">
        <f t="shared" si="174"/>
        <v>100</v>
      </c>
      <c r="AF340" s="21">
        <f t="shared" si="175"/>
        <v>100</v>
      </c>
      <c r="AG340" s="83">
        <v>0.79500000000000004</v>
      </c>
      <c r="AH340" s="244">
        <f t="shared" si="179"/>
        <v>7.95</v>
      </c>
      <c r="AI340" s="21">
        <v>0.13</v>
      </c>
      <c r="AJ340" s="41">
        <f t="shared" si="177"/>
        <v>10</v>
      </c>
      <c r="AK340" s="197">
        <f t="shared" si="176"/>
        <v>12.145924930488421</v>
      </c>
    </row>
    <row r="341" spans="27:37">
      <c r="AA341" s="180">
        <f t="shared" si="178"/>
        <v>3276000000</v>
      </c>
      <c r="AB341" s="41">
        <v>3900</v>
      </c>
      <c r="AC341" s="21">
        <v>20</v>
      </c>
      <c r="AD341" s="21" t="s">
        <v>283</v>
      </c>
      <c r="AE341" s="175">
        <f t="shared" si="174"/>
        <v>100</v>
      </c>
      <c r="AF341" s="21">
        <f t="shared" si="175"/>
        <v>100</v>
      </c>
      <c r="AG341" s="83">
        <v>0.79500000000000004</v>
      </c>
      <c r="AH341" s="244">
        <f t="shared" si="179"/>
        <v>7.95</v>
      </c>
      <c r="AI341" s="21">
        <v>0.13</v>
      </c>
      <c r="AJ341" s="41">
        <f t="shared" si="177"/>
        <v>10</v>
      </c>
      <c r="AK341" s="197">
        <f t="shared" si="176"/>
        <v>12.145924930488421</v>
      </c>
    </row>
    <row r="342" spans="27:37">
      <c r="AA342" s="180">
        <f t="shared" si="178"/>
        <v>3297000000</v>
      </c>
      <c r="AB342" s="41">
        <v>3925</v>
      </c>
      <c r="AC342" s="21">
        <v>20</v>
      </c>
      <c r="AD342" s="21" t="s">
        <v>283</v>
      </c>
      <c r="AE342" s="175">
        <f t="shared" si="174"/>
        <v>100</v>
      </c>
      <c r="AF342" s="21">
        <f t="shared" si="175"/>
        <v>100</v>
      </c>
      <c r="AG342" s="83">
        <v>0.79500000000000004</v>
      </c>
      <c r="AH342" s="244">
        <f t="shared" si="179"/>
        <v>7.95</v>
      </c>
      <c r="AI342" s="21">
        <v>0.13</v>
      </c>
      <c r="AJ342" s="41">
        <f t="shared" si="177"/>
        <v>10</v>
      </c>
      <c r="AK342" s="197">
        <f t="shared" si="176"/>
        <v>12.145924930488421</v>
      </c>
    </row>
    <row r="343" spans="27:37">
      <c r="AA343" s="180">
        <f t="shared" si="178"/>
        <v>3318000000</v>
      </c>
      <c r="AB343" s="41">
        <v>3950</v>
      </c>
      <c r="AC343" s="21">
        <v>20</v>
      </c>
      <c r="AD343" s="21" t="s">
        <v>283</v>
      </c>
      <c r="AE343" s="175">
        <f t="shared" si="174"/>
        <v>100</v>
      </c>
      <c r="AF343" s="21">
        <f t="shared" si="175"/>
        <v>100</v>
      </c>
      <c r="AG343" s="83">
        <v>0.79500000000000004</v>
      </c>
      <c r="AH343" s="244">
        <f t="shared" si="179"/>
        <v>7.95</v>
      </c>
      <c r="AI343" s="21">
        <v>0.13</v>
      </c>
      <c r="AJ343" s="41">
        <f t="shared" si="177"/>
        <v>10</v>
      </c>
      <c r="AK343" s="197">
        <f t="shared" si="176"/>
        <v>12.145924930488421</v>
      </c>
    </row>
    <row r="344" spans="27:37">
      <c r="AA344" s="180">
        <f t="shared" si="178"/>
        <v>3339000000</v>
      </c>
      <c r="AB344" s="41">
        <v>3975</v>
      </c>
      <c r="AC344" s="21">
        <v>20</v>
      </c>
      <c r="AD344" s="21" t="s">
        <v>283</v>
      </c>
      <c r="AE344" s="175">
        <f t="shared" si="174"/>
        <v>100</v>
      </c>
      <c r="AF344" s="21">
        <f t="shared" si="175"/>
        <v>100</v>
      </c>
      <c r="AG344" s="83">
        <v>0.79500000000000004</v>
      </c>
      <c r="AH344" s="244">
        <f t="shared" si="179"/>
        <v>7.95</v>
      </c>
      <c r="AI344" s="21">
        <v>0.13</v>
      </c>
      <c r="AJ344" s="41">
        <f t="shared" si="177"/>
        <v>10</v>
      </c>
      <c r="AK344" s="197">
        <f t="shared" si="176"/>
        <v>12.145924930488421</v>
      </c>
    </row>
    <row r="345" spans="27:37">
      <c r="AA345" s="180">
        <f t="shared" si="178"/>
        <v>3360000000</v>
      </c>
      <c r="AB345" s="41">
        <v>4000</v>
      </c>
      <c r="AC345" s="21">
        <v>20</v>
      </c>
      <c r="AD345" s="21" t="s">
        <v>283</v>
      </c>
      <c r="AE345" s="175">
        <f t="shared" si="174"/>
        <v>100</v>
      </c>
      <c r="AF345" s="21">
        <f t="shared" si="175"/>
        <v>100</v>
      </c>
      <c r="AG345" s="83">
        <v>0.79500000000000004</v>
      </c>
      <c r="AH345" s="244">
        <f t="shared" si="179"/>
        <v>7.95</v>
      </c>
      <c r="AI345" s="21">
        <v>0.13</v>
      </c>
      <c r="AJ345" s="41">
        <f t="shared" si="177"/>
        <v>10</v>
      </c>
      <c r="AK345" s="197">
        <f t="shared" si="176"/>
        <v>12.145924930488421</v>
      </c>
    </row>
    <row r="346" spans="27:37">
      <c r="AA346" s="180">
        <f t="shared" si="178"/>
        <v>3381000000</v>
      </c>
      <c r="AB346" s="41">
        <v>4025</v>
      </c>
      <c r="AC346" s="21">
        <v>20</v>
      </c>
      <c r="AD346" s="21" t="s">
        <v>283</v>
      </c>
      <c r="AE346" s="175">
        <f t="shared" si="174"/>
        <v>100</v>
      </c>
      <c r="AF346" s="21">
        <f t="shared" si="175"/>
        <v>100</v>
      </c>
      <c r="AG346" s="83">
        <v>0.79500000000000004</v>
      </c>
      <c r="AH346" s="244">
        <f t="shared" si="179"/>
        <v>7.95</v>
      </c>
      <c r="AI346" s="21">
        <v>0.13</v>
      </c>
      <c r="AJ346" s="41">
        <f t="shared" si="177"/>
        <v>10</v>
      </c>
      <c r="AK346" s="197">
        <f t="shared" si="176"/>
        <v>12.145924930488421</v>
      </c>
    </row>
    <row r="347" spans="27:37">
      <c r="AA347" s="180">
        <f t="shared" si="178"/>
        <v>3402000000</v>
      </c>
      <c r="AB347" s="41">
        <v>4050</v>
      </c>
      <c r="AC347" s="21">
        <v>20</v>
      </c>
      <c r="AD347" s="21" t="s">
        <v>283</v>
      </c>
      <c r="AE347" s="175">
        <f t="shared" si="174"/>
        <v>100</v>
      </c>
      <c r="AF347" s="21">
        <f t="shared" si="175"/>
        <v>100</v>
      </c>
      <c r="AG347" s="83">
        <v>0.79500000000000004</v>
      </c>
      <c r="AH347" s="244">
        <f t="shared" si="179"/>
        <v>7.95</v>
      </c>
      <c r="AI347" s="21">
        <v>0.13</v>
      </c>
      <c r="AJ347" s="41">
        <f t="shared" si="177"/>
        <v>10</v>
      </c>
      <c r="AK347" s="197">
        <f t="shared" si="176"/>
        <v>12.145924930488421</v>
      </c>
    </row>
    <row r="348" spans="27:37">
      <c r="AA348" s="180">
        <f t="shared" si="178"/>
        <v>3423000000</v>
      </c>
      <c r="AB348" s="41">
        <v>4075</v>
      </c>
      <c r="AC348" s="21">
        <v>20</v>
      </c>
      <c r="AD348" s="21" t="s">
        <v>283</v>
      </c>
      <c r="AE348" s="175">
        <f t="shared" si="174"/>
        <v>100</v>
      </c>
      <c r="AF348" s="21">
        <f t="shared" si="175"/>
        <v>100</v>
      </c>
      <c r="AG348" s="83">
        <v>0.79500000000000004</v>
      </c>
      <c r="AH348" s="244">
        <f t="shared" si="179"/>
        <v>7.95</v>
      </c>
      <c r="AI348" s="21">
        <v>0.13</v>
      </c>
      <c r="AJ348" s="41">
        <f t="shared" si="177"/>
        <v>10</v>
      </c>
      <c r="AK348" s="197">
        <f t="shared" si="176"/>
        <v>12.145924930488421</v>
      </c>
    </row>
    <row r="349" spans="27:37">
      <c r="AA349" s="180">
        <f t="shared" si="178"/>
        <v>3444000000</v>
      </c>
      <c r="AB349" s="41">
        <v>4100</v>
      </c>
      <c r="AC349" s="21">
        <v>20</v>
      </c>
      <c r="AD349" s="21" t="s">
        <v>283</v>
      </c>
      <c r="AE349" s="175">
        <f t="shared" si="174"/>
        <v>100</v>
      </c>
      <c r="AF349" s="21">
        <f t="shared" si="175"/>
        <v>100</v>
      </c>
      <c r="AG349" s="83">
        <v>0.79500000000000004</v>
      </c>
      <c r="AH349" s="244">
        <f t="shared" si="179"/>
        <v>7.95</v>
      </c>
      <c r="AI349" s="21">
        <v>0.13</v>
      </c>
      <c r="AJ349" s="41">
        <f t="shared" si="177"/>
        <v>10</v>
      </c>
      <c r="AK349" s="197">
        <f t="shared" si="176"/>
        <v>12.145924930488421</v>
      </c>
    </row>
    <row r="350" spans="27:37">
      <c r="AA350" s="180">
        <f t="shared" si="178"/>
        <v>3465000000</v>
      </c>
      <c r="AB350" s="41">
        <v>4125</v>
      </c>
      <c r="AC350" s="21">
        <v>20</v>
      </c>
      <c r="AD350" s="21" t="s">
        <v>283</v>
      </c>
      <c r="AE350" s="175">
        <f t="shared" si="174"/>
        <v>100</v>
      </c>
      <c r="AF350" s="21">
        <f t="shared" si="175"/>
        <v>100</v>
      </c>
      <c r="AG350" s="83">
        <v>0.79500000000000004</v>
      </c>
      <c r="AH350" s="244">
        <f t="shared" si="179"/>
        <v>7.95</v>
      </c>
      <c r="AI350" s="21">
        <v>0.13</v>
      </c>
      <c r="AJ350" s="41">
        <f t="shared" si="177"/>
        <v>10</v>
      </c>
      <c r="AK350" s="197">
        <f t="shared" si="176"/>
        <v>12.145924930488421</v>
      </c>
    </row>
    <row r="351" spans="27:37">
      <c r="AA351" s="180">
        <f t="shared" si="178"/>
        <v>3486000000</v>
      </c>
      <c r="AB351" s="41">
        <v>4150</v>
      </c>
      <c r="AC351" s="21">
        <v>20</v>
      </c>
      <c r="AD351" s="21" t="s">
        <v>283</v>
      </c>
      <c r="AE351" s="175">
        <f t="shared" si="174"/>
        <v>100</v>
      </c>
      <c r="AF351" s="21">
        <f t="shared" si="175"/>
        <v>100</v>
      </c>
      <c r="AG351" s="83">
        <v>0.79500000000000004</v>
      </c>
      <c r="AH351" s="244">
        <f t="shared" si="179"/>
        <v>7.95</v>
      </c>
      <c r="AI351" s="21">
        <v>0.13</v>
      </c>
      <c r="AJ351" s="41">
        <f t="shared" si="177"/>
        <v>10</v>
      </c>
      <c r="AK351" s="197">
        <f t="shared" si="176"/>
        <v>12.145924930488421</v>
      </c>
    </row>
    <row r="352" spans="27:37">
      <c r="AA352" s="180">
        <f t="shared" si="178"/>
        <v>3507000000</v>
      </c>
      <c r="AB352" s="41">
        <v>4175</v>
      </c>
      <c r="AC352" s="21">
        <v>20</v>
      </c>
      <c r="AD352" s="21" t="s">
        <v>283</v>
      </c>
      <c r="AE352" s="175">
        <f t="shared" si="174"/>
        <v>100</v>
      </c>
      <c r="AF352" s="21">
        <f t="shared" si="175"/>
        <v>100</v>
      </c>
      <c r="AG352" s="83">
        <v>0.79500000000000004</v>
      </c>
      <c r="AH352" s="244">
        <f t="shared" si="179"/>
        <v>7.95</v>
      </c>
      <c r="AI352" s="21">
        <v>0.13</v>
      </c>
      <c r="AJ352" s="41">
        <f t="shared" si="177"/>
        <v>10</v>
      </c>
      <c r="AK352" s="197">
        <f t="shared" si="176"/>
        <v>12.145924930488421</v>
      </c>
    </row>
    <row r="353" spans="27:59">
      <c r="AA353" s="180">
        <f t="shared" si="178"/>
        <v>3528000000</v>
      </c>
      <c r="AB353" s="41">
        <v>4200</v>
      </c>
      <c r="AC353" s="21">
        <v>20</v>
      </c>
      <c r="AD353" s="21" t="s">
        <v>283</v>
      </c>
      <c r="AE353" s="175">
        <f t="shared" si="174"/>
        <v>100</v>
      </c>
      <c r="AF353" s="21">
        <f t="shared" si="175"/>
        <v>100</v>
      </c>
      <c r="AG353" s="83">
        <v>0.79500000000000004</v>
      </c>
      <c r="AH353" s="244">
        <f t="shared" si="179"/>
        <v>7.95</v>
      </c>
      <c r="AI353" s="21">
        <v>0.13</v>
      </c>
      <c r="AJ353" s="41">
        <f t="shared" si="177"/>
        <v>10</v>
      </c>
      <c r="AK353" s="197">
        <f t="shared" si="176"/>
        <v>12.145924930488421</v>
      </c>
    </row>
    <row r="354" spans="27:59">
      <c r="AA354" s="180">
        <f t="shared" si="178"/>
        <v>3549000000</v>
      </c>
      <c r="AB354" s="41">
        <v>4225</v>
      </c>
      <c r="AC354" s="21">
        <v>20</v>
      </c>
      <c r="AD354" s="21" t="s">
        <v>283</v>
      </c>
      <c r="AE354" s="175">
        <f t="shared" si="174"/>
        <v>100</v>
      </c>
      <c r="AF354" s="21">
        <f t="shared" si="175"/>
        <v>100</v>
      </c>
      <c r="AG354" s="83">
        <v>0.79500000000000004</v>
      </c>
      <c r="AH354" s="244">
        <f t="shared" si="179"/>
        <v>7.95</v>
      </c>
      <c r="AI354" s="21">
        <v>0.13</v>
      </c>
      <c r="AJ354" s="41">
        <f t="shared" si="177"/>
        <v>10</v>
      </c>
      <c r="AK354" s="197">
        <f t="shared" si="176"/>
        <v>12.145924930488421</v>
      </c>
    </row>
    <row r="355" spans="27:59">
      <c r="AA355" s="180">
        <f t="shared" si="178"/>
        <v>3570000000</v>
      </c>
      <c r="AB355" s="41">
        <v>4250</v>
      </c>
      <c r="AC355" s="21">
        <v>20</v>
      </c>
      <c r="AD355" s="21" t="s">
        <v>283</v>
      </c>
      <c r="AE355" s="175">
        <f t="shared" ref="AE355:AE362" si="180">(AB355-AB354)*4</f>
        <v>100</v>
      </c>
      <c r="AF355" s="21">
        <f t="shared" ref="AF355:AF362" si="181">AE355</f>
        <v>100</v>
      </c>
      <c r="AG355" s="83">
        <v>0.79500000000000004</v>
      </c>
      <c r="AH355" s="244">
        <f t="shared" si="179"/>
        <v>7.95</v>
      </c>
      <c r="AI355" s="21">
        <v>0.13</v>
      </c>
      <c r="AJ355" s="41">
        <f t="shared" si="177"/>
        <v>10</v>
      </c>
      <c r="AK355" s="197">
        <f t="shared" ref="AK355:AK362" si="182">(AB355-AB354)*$D$50</f>
        <v>12.145924930488421</v>
      </c>
    </row>
    <row r="356" spans="27:59">
      <c r="AA356" s="180">
        <f t="shared" si="178"/>
        <v>3591000000</v>
      </c>
      <c r="AB356" s="41">
        <v>4275</v>
      </c>
      <c r="AC356" s="21">
        <v>20</v>
      </c>
      <c r="AD356" s="21" t="s">
        <v>283</v>
      </c>
      <c r="AE356" s="175">
        <f t="shared" si="180"/>
        <v>100</v>
      </c>
      <c r="AF356" s="21">
        <f t="shared" si="181"/>
        <v>100</v>
      </c>
      <c r="AG356" s="83">
        <v>0.79500000000000004</v>
      </c>
      <c r="AH356" s="244">
        <f t="shared" si="179"/>
        <v>7.95</v>
      </c>
      <c r="AI356" s="21">
        <v>0.13</v>
      </c>
      <c r="AJ356" s="41">
        <f t="shared" si="177"/>
        <v>10</v>
      </c>
      <c r="AK356" s="197">
        <f t="shared" si="182"/>
        <v>12.145924930488421</v>
      </c>
    </row>
    <row r="357" spans="27:59">
      <c r="AA357" s="180">
        <f t="shared" si="178"/>
        <v>3612000000</v>
      </c>
      <c r="AB357" s="41">
        <v>4300</v>
      </c>
      <c r="AC357" s="21">
        <v>20</v>
      </c>
      <c r="AD357" s="21" t="s">
        <v>283</v>
      </c>
      <c r="AE357" s="175">
        <f t="shared" si="180"/>
        <v>100</v>
      </c>
      <c r="AF357" s="21">
        <f t="shared" si="181"/>
        <v>100</v>
      </c>
      <c r="AG357" s="83">
        <v>0.79500000000000004</v>
      </c>
      <c r="AH357" s="244">
        <f t="shared" si="179"/>
        <v>7.95</v>
      </c>
      <c r="AI357" s="21">
        <v>0.13</v>
      </c>
      <c r="AJ357" s="41">
        <f t="shared" si="177"/>
        <v>10</v>
      </c>
      <c r="AK357" s="197">
        <f t="shared" si="182"/>
        <v>12.145924930488421</v>
      </c>
    </row>
    <row r="358" spans="27:59">
      <c r="AA358" s="180">
        <f t="shared" si="178"/>
        <v>3633000000</v>
      </c>
      <c r="AB358" s="41">
        <v>4325</v>
      </c>
      <c r="AC358" s="21">
        <v>20</v>
      </c>
      <c r="AD358" s="21" t="s">
        <v>283</v>
      </c>
      <c r="AE358" s="175">
        <f t="shared" si="180"/>
        <v>100</v>
      </c>
      <c r="AF358" s="21">
        <f t="shared" si="181"/>
        <v>100</v>
      </c>
      <c r="AG358" s="83">
        <v>0.79500000000000004</v>
      </c>
      <c r="AH358" s="244">
        <f t="shared" si="179"/>
        <v>7.95</v>
      </c>
      <c r="AI358" s="21">
        <v>0.13</v>
      </c>
      <c r="AJ358" s="41">
        <f t="shared" si="177"/>
        <v>10</v>
      </c>
      <c r="AK358" s="197">
        <f t="shared" si="182"/>
        <v>12.145924930488421</v>
      </c>
    </row>
    <row r="359" spans="27:59">
      <c r="AA359" s="180">
        <f t="shared" si="178"/>
        <v>3654000000</v>
      </c>
      <c r="AB359" s="41">
        <v>4350</v>
      </c>
      <c r="AC359" s="21">
        <v>20</v>
      </c>
      <c r="AD359" s="21" t="s">
        <v>283</v>
      </c>
      <c r="AE359" s="175">
        <f t="shared" si="180"/>
        <v>100</v>
      </c>
      <c r="AF359" s="21">
        <f t="shared" si="181"/>
        <v>100</v>
      </c>
      <c r="AG359" s="83">
        <v>0.79500000000000004</v>
      </c>
      <c r="AH359" s="244">
        <f t="shared" si="179"/>
        <v>7.95</v>
      </c>
      <c r="AI359" s="21">
        <v>0.13</v>
      </c>
      <c r="AJ359" s="41">
        <f t="shared" si="177"/>
        <v>10</v>
      </c>
      <c r="AK359" s="197">
        <f t="shared" si="182"/>
        <v>12.145924930488421</v>
      </c>
    </row>
    <row r="360" spans="27:59">
      <c r="AA360" s="180">
        <f t="shared" si="178"/>
        <v>3675000000</v>
      </c>
      <c r="AB360" s="41">
        <v>4375</v>
      </c>
      <c r="AC360" s="21">
        <v>20</v>
      </c>
      <c r="AD360" s="21" t="s">
        <v>283</v>
      </c>
      <c r="AE360" s="175">
        <f t="shared" si="180"/>
        <v>100</v>
      </c>
      <c r="AF360" s="21">
        <f t="shared" si="181"/>
        <v>100</v>
      </c>
      <c r="AG360" s="83">
        <v>0.79500000000000004</v>
      </c>
      <c r="AH360" s="244">
        <f t="shared" si="179"/>
        <v>7.95</v>
      </c>
      <c r="AI360" s="21">
        <v>0.13</v>
      </c>
      <c r="AJ360" s="41">
        <f t="shared" si="177"/>
        <v>10</v>
      </c>
      <c r="AK360" s="197">
        <f t="shared" si="182"/>
        <v>12.145924930488421</v>
      </c>
    </row>
    <row r="361" spans="27:59">
      <c r="AA361" s="180">
        <f t="shared" si="178"/>
        <v>3696000000</v>
      </c>
      <c r="AB361" s="41">
        <v>4400</v>
      </c>
      <c r="AC361" s="21">
        <v>20</v>
      </c>
      <c r="AD361" s="21" t="s">
        <v>283</v>
      </c>
      <c r="AE361" s="175">
        <f t="shared" si="180"/>
        <v>100</v>
      </c>
      <c r="AF361" s="21">
        <f t="shared" si="181"/>
        <v>100</v>
      </c>
      <c r="AG361" s="83">
        <v>0.79500000000000004</v>
      </c>
      <c r="AH361" s="244">
        <f t="shared" si="179"/>
        <v>7.95</v>
      </c>
      <c r="AI361" s="21">
        <v>0.13</v>
      </c>
      <c r="AJ361" s="41">
        <f t="shared" si="177"/>
        <v>10</v>
      </c>
      <c r="AK361" s="197">
        <f t="shared" si="182"/>
        <v>12.145924930488421</v>
      </c>
    </row>
    <row r="362" spans="27:59" ht="15" thickBot="1">
      <c r="AA362" s="188">
        <f t="shared" si="178"/>
        <v>3717000000</v>
      </c>
      <c r="AB362" s="40">
        <v>4425</v>
      </c>
      <c r="AC362" s="81">
        <v>20</v>
      </c>
      <c r="AD362" s="81" t="s">
        <v>283</v>
      </c>
      <c r="AE362" s="177">
        <f t="shared" si="180"/>
        <v>100</v>
      </c>
      <c r="AF362" s="81">
        <f t="shared" si="181"/>
        <v>100</v>
      </c>
      <c r="AG362" s="185">
        <v>0.79500000000000004</v>
      </c>
      <c r="AH362" s="245">
        <f t="shared" si="179"/>
        <v>7.95</v>
      </c>
      <c r="AI362" s="81">
        <v>0.13</v>
      </c>
      <c r="AJ362" s="40">
        <f t="shared" si="177"/>
        <v>10</v>
      </c>
      <c r="AK362" s="199">
        <f t="shared" si="182"/>
        <v>12.145924930488421</v>
      </c>
    </row>
    <row r="363" spans="27:59">
      <c r="AA363" s="55"/>
      <c r="AB363" s="18"/>
      <c r="AC363"/>
      <c r="AD363"/>
      <c r="AE363"/>
      <c r="AF363"/>
      <c r="AG363">
        <f>SUM(AG185:AG362)</f>
        <v>149.9199999999999</v>
      </c>
      <c r="AH363" s="238">
        <f t="shared" ref="AH363:AK363" si="183">SUM(AH185:AH362)</f>
        <v>1499.200000000005</v>
      </c>
      <c r="AI363" s="37">
        <f t="shared" si="183"/>
        <v>25.129999999999974</v>
      </c>
      <c r="AJ363" s="37">
        <f t="shared" si="183"/>
        <v>1770</v>
      </c>
      <c r="AK363" s="55">
        <f t="shared" si="183"/>
        <v>2337.682787765968</v>
      </c>
    </row>
    <row r="365" spans="27:59" ht="16.2" thickBot="1">
      <c r="AA365" s="485" t="s">
        <v>400</v>
      </c>
      <c r="AB365" s="485"/>
      <c r="AC365" s="485"/>
      <c r="AD365" s="485"/>
      <c r="AE365" s="485"/>
      <c r="AF365" s="485"/>
      <c r="AG365" s="485"/>
      <c r="AH365" s="485"/>
      <c r="AI365" s="485"/>
      <c r="AJ365" s="485"/>
      <c r="AK365" s="485"/>
      <c r="AL365" s="191"/>
      <c r="AM365" s="486" t="s">
        <v>401</v>
      </c>
      <c r="AN365" s="486"/>
      <c r="AO365" s="486"/>
      <c r="AP365" s="486"/>
      <c r="AQ365" s="486"/>
      <c r="AR365" s="486"/>
      <c r="AS365" s="486"/>
      <c r="AT365" s="486"/>
      <c r="AU365" s="486"/>
      <c r="AV365" s="486"/>
      <c r="AW365" s="486"/>
      <c r="AX365" s="486"/>
      <c r="AY365" s="486"/>
      <c r="AZ365" s="486"/>
      <c r="BA365" s="486"/>
      <c r="BB365" s="486"/>
      <c r="BC365" s="486"/>
      <c r="BD365" s="486"/>
      <c r="BE365" s="486"/>
      <c r="BF365" s="486"/>
      <c r="BG365" s="27"/>
    </row>
    <row r="366" spans="27:59">
      <c r="AA366" s="240" t="s">
        <v>261</v>
      </c>
      <c r="AB366" s="88" t="s">
        <v>390</v>
      </c>
      <c r="AC366" s="210" t="s">
        <v>274</v>
      </c>
      <c r="AD366" s="210" t="s">
        <v>242</v>
      </c>
      <c r="AE366" s="210" t="s">
        <v>391</v>
      </c>
      <c r="AF366" s="210" t="s">
        <v>392</v>
      </c>
      <c r="AG366" s="210" t="s">
        <v>406</v>
      </c>
      <c r="AH366" s="243" t="s">
        <v>393</v>
      </c>
      <c r="AI366" s="210" t="s">
        <v>394</v>
      </c>
      <c r="AJ366" s="179" t="s">
        <v>395</v>
      </c>
      <c r="AK366" s="211" t="s">
        <v>396</v>
      </c>
      <c r="AM366" s="209">
        <v>2024</v>
      </c>
      <c r="AN366" s="210">
        <v>2025</v>
      </c>
      <c r="AO366" s="210">
        <v>2026</v>
      </c>
      <c r="AP366" s="210">
        <v>2027</v>
      </c>
      <c r="AQ366" s="210">
        <v>2028</v>
      </c>
      <c r="AR366" s="210">
        <v>2029</v>
      </c>
      <c r="AS366" s="210">
        <v>2030</v>
      </c>
      <c r="AT366" s="210">
        <v>2031</v>
      </c>
      <c r="AU366" s="210">
        <v>2032</v>
      </c>
      <c r="AV366" s="210">
        <v>2033</v>
      </c>
      <c r="AW366" s="210">
        <v>2034</v>
      </c>
      <c r="AX366" s="210">
        <v>2035</v>
      </c>
      <c r="AY366" s="210">
        <v>2036</v>
      </c>
      <c r="AZ366" s="210">
        <v>2037</v>
      </c>
      <c r="BA366" s="210">
        <v>2038</v>
      </c>
      <c r="BB366" s="210">
        <v>2039</v>
      </c>
      <c r="BC366" s="210">
        <v>2040</v>
      </c>
      <c r="BD366" s="210">
        <v>2041</v>
      </c>
      <c r="BE366" s="210">
        <v>2042</v>
      </c>
      <c r="BF366" s="210">
        <v>2043</v>
      </c>
      <c r="BG366" s="211" t="s">
        <v>397</v>
      </c>
    </row>
    <row r="367" spans="27:59">
      <c r="AA367" s="180">
        <f>AA185</f>
        <v>0</v>
      </c>
      <c r="AB367" s="21">
        <v>0</v>
      </c>
      <c r="AC367" s="21">
        <v>0</v>
      </c>
      <c r="AD367" s="21" t="s">
        <v>283</v>
      </c>
      <c r="AE367" s="21">
        <v>0</v>
      </c>
      <c r="AF367" s="21">
        <v>0</v>
      </c>
      <c r="AG367" s="84">
        <f t="shared" ref="AG367:AG388" si="184">AG185*$B$5</f>
        <v>0</v>
      </c>
      <c r="AH367" s="244">
        <f t="shared" ref="AH367:AH387" si="185">AH185*$B$6</f>
        <v>0</v>
      </c>
      <c r="AI367" s="76">
        <f t="shared" ref="AI367:AI387" si="186">AI185*$B$7</f>
        <v>0</v>
      </c>
      <c r="AJ367" s="181">
        <f t="shared" ref="AJ367:AJ387" si="187">(AG367+AH367)*(AJ185/100)</f>
        <v>0</v>
      </c>
      <c r="AK367" s="182">
        <f t="shared" ref="AK367:AK387" si="188">AK185*$B$9</f>
        <v>0</v>
      </c>
      <c r="AM367" s="201">
        <f t="shared" ref="AM367:AM430" si="189">(AI367+AJ367+AK367)</f>
        <v>0</v>
      </c>
      <c r="AN367" s="202">
        <f t="shared" ref="AN367:BF367" si="190">$AM$367/POWER(1+($B$10/100),AN366-2024)</f>
        <v>0</v>
      </c>
      <c r="AO367" s="202">
        <f t="shared" si="190"/>
        <v>0</v>
      </c>
      <c r="AP367" s="202">
        <f t="shared" si="190"/>
        <v>0</v>
      </c>
      <c r="AQ367" s="202">
        <f t="shared" si="190"/>
        <v>0</v>
      </c>
      <c r="AR367" s="202">
        <f t="shared" si="190"/>
        <v>0</v>
      </c>
      <c r="AS367" s="202">
        <f t="shared" si="190"/>
        <v>0</v>
      </c>
      <c r="AT367" s="202">
        <f t="shared" si="190"/>
        <v>0</v>
      </c>
      <c r="AU367" s="202">
        <f t="shared" si="190"/>
        <v>0</v>
      </c>
      <c r="AV367" s="202">
        <f t="shared" si="190"/>
        <v>0</v>
      </c>
      <c r="AW367" s="202">
        <f t="shared" si="190"/>
        <v>0</v>
      </c>
      <c r="AX367" s="202">
        <f t="shared" si="190"/>
        <v>0</v>
      </c>
      <c r="AY367" s="202">
        <f t="shared" si="190"/>
        <v>0</v>
      </c>
      <c r="AZ367" s="202">
        <f t="shared" si="190"/>
        <v>0</v>
      </c>
      <c r="BA367" s="202">
        <f t="shared" si="190"/>
        <v>0</v>
      </c>
      <c r="BB367" s="202">
        <f t="shared" si="190"/>
        <v>0</v>
      </c>
      <c r="BC367" s="202">
        <f t="shared" si="190"/>
        <v>0</v>
      </c>
      <c r="BD367" s="202">
        <f t="shared" si="190"/>
        <v>0</v>
      </c>
      <c r="BE367" s="202">
        <f t="shared" si="190"/>
        <v>0</v>
      </c>
      <c r="BF367" s="202">
        <f t="shared" si="190"/>
        <v>0</v>
      </c>
      <c r="BG367" s="203">
        <f t="shared" ref="BG367:BG430" si="191">SUM(AM367:BF367)</f>
        <v>0</v>
      </c>
    </row>
    <row r="368" spans="27:59">
      <c r="AA368" s="180">
        <f>AA186</f>
        <v>21000000</v>
      </c>
      <c r="AB368" s="41">
        <f t="shared" ref="AB368:AB387" si="192">AB186</f>
        <v>25</v>
      </c>
      <c r="AC368" s="21">
        <v>1</v>
      </c>
      <c r="AD368" s="21" t="s">
        <v>283</v>
      </c>
      <c r="AE368" s="175">
        <f t="shared" ref="AE368:AE387" si="193">AE186*$B$3</f>
        <v>30</v>
      </c>
      <c r="AF368" s="183">
        <f t="shared" ref="AF368:AF387" si="194">AF186*$B$4</f>
        <v>27</v>
      </c>
      <c r="AG368" s="84">
        <f t="shared" si="184"/>
        <v>5</v>
      </c>
      <c r="AH368" s="244">
        <f t="shared" si="185"/>
        <v>2</v>
      </c>
      <c r="AI368" s="76">
        <f t="shared" si="186"/>
        <v>2.7E-2</v>
      </c>
      <c r="AJ368" s="181">
        <f t="shared" si="187"/>
        <v>0.70000000000000007</v>
      </c>
      <c r="AK368" s="182">
        <f t="shared" si="188"/>
        <v>38</v>
      </c>
      <c r="AM368" s="201">
        <f t="shared" si="189"/>
        <v>38.726999999999997</v>
      </c>
      <c r="AN368" s="202">
        <f t="shared" ref="AN368:BF368" si="195">$AM$368/POWER(1+($B$10/100),AN366-2024)</f>
        <v>37.599029126213587</v>
      </c>
      <c r="AO368" s="202">
        <f t="shared" si="195"/>
        <v>36.503911773022907</v>
      </c>
      <c r="AP368" s="202">
        <f t="shared" si="195"/>
        <v>35.44069104176981</v>
      </c>
      <c r="AQ368" s="202">
        <f t="shared" si="195"/>
        <v>34.408437904630887</v>
      </c>
      <c r="AR368" s="202">
        <f t="shared" si="195"/>
        <v>33.406250392845521</v>
      </c>
      <c r="AS368" s="202">
        <f t="shared" si="195"/>
        <v>32.433252808587881</v>
      </c>
      <c r="AT368" s="202">
        <f t="shared" si="195"/>
        <v>31.488594959794057</v>
      </c>
      <c r="AU368" s="202">
        <f t="shared" si="195"/>
        <v>30.571451417275789</v>
      </c>
      <c r="AV368" s="202">
        <f t="shared" si="195"/>
        <v>29.681020793471639</v>
      </c>
      <c r="AW368" s="202">
        <f t="shared" si="195"/>
        <v>28.816525042205473</v>
      </c>
      <c r="AX368" s="202">
        <f t="shared" si="195"/>
        <v>27.977208778840264</v>
      </c>
      <c r="AY368" s="202">
        <f t="shared" si="195"/>
        <v>27.162338620233271</v>
      </c>
      <c r="AZ368" s="202">
        <f t="shared" si="195"/>
        <v>26.3712025439158</v>
      </c>
      <c r="BA368" s="202">
        <f t="shared" si="195"/>
        <v>25.603109265937665</v>
      </c>
      <c r="BB368" s="202">
        <f t="shared" si="195"/>
        <v>24.857387636832684</v>
      </c>
      <c r="BC368" s="202">
        <f t="shared" si="195"/>
        <v>24.133386055177368</v>
      </c>
      <c r="BD368" s="202">
        <f t="shared" si="195"/>
        <v>23.430471898230454</v>
      </c>
      <c r="BE368" s="202">
        <f t="shared" si="195"/>
        <v>22.748030969155781</v>
      </c>
      <c r="BF368" s="202">
        <f t="shared" si="195"/>
        <v>22.085466960345418</v>
      </c>
      <c r="BG368" s="203">
        <f>SUM(AM368:BF368)</f>
        <v>593.44476798848643</v>
      </c>
    </row>
    <row r="369" spans="27:59">
      <c r="AA369" s="180">
        <f t="shared" ref="AA369:AA432" si="196">AA187</f>
        <v>42000000</v>
      </c>
      <c r="AB369" s="41">
        <f t="shared" si="192"/>
        <v>50</v>
      </c>
      <c r="AC369" s="21">
        <v>2</v>
      </c>
      <c r="AD369" s="21" t="s">
        <v>283</v>
      </c>
      <c r="AE369" s="175">
        <f t="shared" si="193"/>
        <v>30</v>
      </c>
      <c r="AF369" s="183">
        <f t="shared" si="194"/>
        <v>27</v>
      </c>
      <c r="AG369" s="84">
        <f t="shared" si="184"/>
        <v>0.39750000000000002</v>
      </c>
      <c r="AH369" s="244">
        <f t="shared" si="185"/>
        <v>0.159</v>
      </c>
      <c r="AI369" s="76">
        <f t="shared" si="186"/>
        <v>1.5600000000000002E-3</v>
      </c>
      <c r="AJ369" s="181">
        <f t="shared" si="187"/>
        <v>5.5650000000000005E-2</v>
      </c>
      <c r="AK369" s="182">
        <f t="shared" si="188"/>
        <v>2.3077257367928001</v>
      </c>
      <c r="AM369" s="201">
        <f t="shared" si="189"/>
        <v>2.3649357367928001</v>
      </c>
      <c r="AN369" s="202">
        <f t="shared" ref="AN369:BF369" si="197">$AM$369/POWER(1+($B$10/100),AN366-2024)</f>
        <v>2.2960541133910679</v>
      </c>
      <c r="AO369" s="202">
        <f t="shared" si="197"/>
        <v>2.2291787508651146</v>
      </c>
      <c r="AP369" s="202">
        <f t="shared" si="197"/>
        <v>2.16425121443215</v>
      </c>
      <c r="AQ369" s="202">
        <f t="shared" si="197"/>
        <v>2.1012147712933498</v>
      </c>
      <c r="AR369" s="202">
        <f t="shared" si="197"/>
        <v>2.0400143410615046</v>
      </c>
      <c r="AS369" s="202">
        <f t="shared" si="197"/>
        <v>1.9805964476325288</v>
      </c>
      <c r="AT369" s="202">
        <f t="shared" si="197"/>
        <v>1.9229091724587657</v>
      </c>
      <c r="AU369" s="202">
        <f t="shared" si="197"/>
        <v>1.8669021091832678</v>
      </c>
      <c r="AV369" s="202">
        <f t="shared" si="197"/>
        <v>1.8125263195954056</v>
      </c>
      <c r="AW369" s="202">
        <f t="shared" si="197"/>
        <v>1.7597342908693259</v>
      </c>
      <c r="AX369" s="202">
        <f t="shared" si="197"/>
        <v>1.7084798940478891</v>
      </c>
      <c r="AY369" s="202">
        <f t="shared" si="197"/>
        <v>1.6587183437358151</v>
      </c>
      <c r="AZ369" s="202">
        <f t="shared" si="197"/>
        <v>1.6104061589668108</v>
      </c>
      <c r="BA369" s="202">
        <f t="shared" si="197"/>
        <v>1.5635011252104958</v>
      </c>
      <c r="BB369" s="202">
        <f t="shared" si="197"/>
        <v>1.517962257485918</v>
      </c>
      <c r="BC369" s="202">
        <f t="shared" si="197"/>
        <v>1.4737497645494353</v>
      </c>
      <c r="BD369" s="202">
        <f t="shared" si="197"/>
        <v>1.4308250141256653</v>
      </c>
      <c r="BE369" s="202">
        <f t="shared" si="197"/>
        <v>1.3891504991511314</v>
      </c>
      <c r="BF369" s="202">
        <f t="shared" si="197"/>
        <v>1.3486898050010985</v>
      </c>
      <c r="BG369" s="203">
        <f>SUM(AM369:BF369)</f>
        <v>36.239800129849542</v>
      </c>
    </row>
    <row r="370" spans="27:59">
      <c r="AA370" s="180">
        <f t="shared" si="196"/>
        <v>63000000</v>
      </c>
      <c r="AB370" s="41">
        <f t="shared" si="192"/>
        <v>75</v>
      </c>
      <c r="AC370" s="21">
        <v>3</v>
      </c>
      <c r="AD370" s="21" t="s">
        <v>283</v>
      </c>
      <c r="AE370" s="175">
        <f t="shared" si="193"/>
        <v>30</v>
      </c>
      <c r="AF370" s="183">
        <f t="shared" si="194"/>
        <v>27</v>
      </c>
      <c r="AG370" s="84">
        <f t="shared" si="184"/>
        <v>0.39750000000000002</v>
      </c>
      <c r="AH370" s="244">
        <f t="shared" si="185"/>
        <v>0.159</v>
      </c>
      <c r="AI370" s="76">
        <f t="shared" si="186"/>
        <v>1.5600000000000002E-3</v>
      </c>
      <c r="AJ370" s="181">
        <f t="shared" si="187"/>
        <v>5.5650000000000005E-2</v>
      </c>
      <c r="AK370" s="182">
        <f t="shared" si="188"/>
        <v>2.3077257367928001</v>
      </c>
      <c r="AM370" s="201">
        <f t="shared" si="189"/>
        <v>2.3649357367928001</v>
      </c>
      <c r="AN370" s="202">
        <f t="shared" ref="AN370:BF370" si="198">$AM$370/POWER(1+($B$10/100),AN366-2024)</f>
        <v>2.2960541133910679</v>
      </c>
      <c r="AO370" s="202">
        <f t="shared" si="198"/>
        <v>2.2291787508651146</v>
      </c>
      <c r="AP370" s="202">
        <f t="shared" si="198"/>
        <v>2.16425121443215</v>
      </c>
      <c r="AQ370" s="202">
        <f t="shared" si="198"/>
        <v>2.1012147712933498</v>
      </c>
      <c r="AR370" s="202">
        <f t="shared" si="198"/>
        <v>2.0400143410615046</v>
      </c>
      <c r="AS370" s="202">
        <f t="shared" si="198"/>
        <v>1.9805964476325288</v>
      </c>
      <c r="AT370" s="202">
        <f t="shared" si="198"/>
        <v>1.9229091724587657</v>
      </c>
      <c r="AU370" s="202">
        <f t="shared" si="198"/>
        <v>1.8669021091832678</v>
      </c>
      <c r="AV370" s="202">
        <f t="shared" si="198"/>
        <v>1.8125263195954056</v>
      </c>
      <c r="AW370" s="202">
        <f t="shared" si="198"/>
        <v>1.7597342908693259</v>
      </c>
      <c r="AX370" s="202">
        <f t="shared" si="198"/>
        <v>1.7084798940478891</v>
      </c>
      <c r="AY370" s="202">
        <f t="shared" si="198"/>
        <v>1.6587183437358151</v>
      </c>
      <c r="AZ370" s="202">
        <f t="shared" si="198"/>
        <v>1.6104061589668108</v>
      </c>
      <c r="BA370" s="202">
        <f t="shared" si="198"/>
        <v>1.5635011252104958</v>
      </c>
      <c r="BB370" s="202">
        <f t="shared" si="198"/>
        <v>1.517962257485918</v>
      </c>
      <c r="BC370" s="202">
        <f t="shared" si="198"/>
        <v>1.4737497645494353</v>
      </c>
      <c r="BD370" s="202">
        <f t="shared" si="198"/>
        <v>1.4308250141256653</v>
      </c>
      <c r="BE370" s="202">
        <f t="shared" si="198"/>
        <v>1.3891504991511314</v>
      </c>
      <c r="BF370" s="202">
        <f t="shared" si="198"/>
        <v>1.3486898050010985</v>
      </c>
      <c r="BG370" s="203">
        <f>SUM(AM370:BF370)</f>
        <v>36.239800129849542</v>
      </c>
    </row>
    <row r="371" spans="27:59">
      <c r="AA371" s="180">
        <f t="shared" si="196"/>
        <v>84000000</v>
      </c>
      <c r="AB371" s="41">
        <f t="shared" si="192"/>
        <v>100</v>
      </c>
      <c r="AC371" s="21">
        <v>4</v>
      </c>
      <c r="AD371" s="21" t="s">
        <v>283</v>
      </c>
      <c r="AE371" s="175">
        <f t="shared" si="193"/>
        <v>30</v>
      </c>
      <c r="AF371" s="183">
        <f t="shared" si="194"/>
        <v>27</v>
      </c>
      <c r="AG371" s="84">
        <f t="shared" si="184"/>
        <v>0.39750000000000002</v>
      </c>
      <c r="AH371" s="244">
        <f t="shared" si="185"/>
        <v>0.159</v>
      </c>
      <c r="AI371" s="76">
        <f t="shared" si="186"/>
        <v>1.5600000000000002E-3</v>
      </c>
      <c r="AJ371" s="181">
        <f t="shared" si="187"/>
        <v>5.5650000000000005E-2</v>
      </c>
      <c r="AK371" s="182">
        <f t="shared" si="188"/>
        <v>2.3077257367928001</v>
      </c>
      <c r="AM371" s="201">
        <f t="shared" si="189"/>
        <v>2.3649357367928001</v>
      </c>
      <c r="AN371" s="202">
        <f t="shared" ref="AN371:BF371" si="199">$AM$371/POWER(1+($B$10/100),AN366-2024)</f>
        <v>2.2960541133910679</v>
      </c>
      <c r="AO371" s="202">
        <f t="shared" si="199"/>
        <v>2.2291787508651146</v>
      </c>
      <c r="AP371" s="202">
        <f t="shared" si="199"/>
        <v>2.16425121443215</v>
      </c>
      <c r="AQ371" s="202">
        <f t="shared" si="199"/>
        <v>2.1012147712933498</v>
      </c>
      <c r="AR371" s="202">
        <f t="shared" si="199"/>
        <v>2.0400143410615046</v>
      </c>
      <c r="AS371" s="202">
        <f t="shared" si="199"/>
        <v>1.9805964476325288</v>
      </c>
      <c r="AT371" s="202">
        <f t="shared" si="199"/>
        <v>1.9229091724587657</v>
      </c>
      <c r="AU371" s="202">
        <f t="shared" si="199"/>
        <v>1.8669021091832678</v>
      </c>
      <c r="AV371" s="202">
        <f t="shared" si="199"/>
        <v>1.8125263195954056</v>
      </c>
      <c r="AW371" s="202">
        <f t="shared" si="199"/>
        <v>1.7597342908693259</v>
      </c>
      <c r="AX371" s="202">
        <f t="shared" si="199"/>
        <v>1.7084798940478891</v>
      </c>
      <c r="AY371" s="202">
        <f t="shared" si="199"/>
        <v>1.6587183437358151</v>
      </c>
      <c r="AZ371" s="202">
        <f t="shared" si="199"/>
        <v>1.6104061589668108</v>
      </c>
      <c r="BA371" s="202">
        <f t="shared" si="199"/>
        <v>1.5635011252104958</v>
      </c>
      <c r="BB371" s="202">
        <f t="shared" si="199"/>
        <v>1.517962257485918</v>
      </c>
      <c r="BC371" s="202">
        <f t="shared" si="199"/>
        <v>1.4737497645494353</v>
      </c>
      <c r="BD371" s="202">
        <f t="shared" si="199"/>
        <v>1.4308250141256653</v>
      </c>
      <c r="BE371" s="202">
        <f t="shared" si="199"/>
        <v>1.3891504991511314</v>
      </c>
      <c r="BF371" s="202">
        <f t="shared" si="199"/>
        <v>1.3486898050010985</v>
      </c>
      <c r="BG371" s="203">
        <f>SUM(AM371:BF371)</f>
        <v>36.239800129849542</v>
      </c>
    </row>
    <row r="372" spans="27:59">
      <c r="AA372" s="180">
        <f t="shared" si="196"/>
        <v>105000000</v>
      </c>
      <c r="AB372" s="41">
        <f t="shared" si="192"/>
        <v>125</v>
      </c>
      <c r="AC372" s="21">
        <v>5</v>
      </c>
      <c r="AD372" s="21" t="s">
        <v>283</v>
      </c>
      <c r="AE372" s="175">
        <f t="shared" si="193"/>
        <v>30</v>
      </c>
      <c r="AF372" s="183">
        <f t="shared" si="194"/>
        <v>27</v>
      </c>
      <c r="AG372" s="84">
        <f t="shared" si="184"/>
        <v>0.39750000000000002</v>
      </c>
      <c r="AH372" s="244">
        <f t="shared" si="185"/>
        <v>0.159</v>
      </c>
      <c r="AI372" s="76">
        <f t="shared" si="186"/>
        <v>1.5600000000000002E-3</v>
      </c>
      <c r="AJ372" s="181">
        <f t="shared" si="187"/>
        <v>5.5650000000000005E-2</v>
      </c>
      <c r="AK372" s="182">
        <f t="shared" si="188"/>
        <v>2.3077257367928001</v>
      </c>
      <c r="AM372" s="201">
        <f t="shared" si="189"/>
        <v>2.3649357367928001</v>
      </c>
      <c r="AN372" s="202">
        <f t="shared" ref="AN372:BF372" si="200">$AM$372/POWER(1+($B$10/100),AN366-2024)</f>
        <v>2.2960541133910679</v>
      </c>
      <c r="AO372" s="202">
        <f t="shared" si="200"/>
        <v>2.2291787508651146</v>
      </c>
      <c r="AP372" s="202">
        <f t="shared" si="200"/>
        <v>2.16425121443215</v>
      </c>
      <c r="AQ372" s="202">
        <f t="shared" si="200"/>
        <v>2.1012147712933498</v>
      </c>
      <c r="AR372" s="202">
        <f t="shared" si="200"/>
        <v>2.0400143410615046</v>
      </c>
      <c r="AS372" s="202">
        <f t="shared" si="200"/>
        <v>1.9805964476325288</v>
      </c>
      <c r="AT372" s="202">
        <f t="shared" si="200"/>
        <v>1.9229091724587657</v>
      </c>
      <c r="AU372" s="202">
        <f t="shared" si="200"/>
        <v>1.8669021091832678</v>
      </c>
      <c r="AV372" s="202">
        <f t="shared" si="200"/>
        <v>1.8125263195954056</v>
      </c>
      <c r="AW372" s="202">
        <f t="shared" si="200"/>
        <v>1.7597342908693259</v>
      </c>
      <c r="AX372" s="202">
        <f t="shared" si="200"/>
        <v>1.7084798940478891</v>
      </c>
      <c r="AY372" s="202">
        <f t="shared" si="200"/>
        <v>1.6587183437358151</v>
      </c>
      <c r="AZ372" s="202">
        <f t="shared" si="200"/>
        <v>1.6104061589668108</v>
      </c>
      <c r="BA372" s="202">
        <f t="shared" si="200"/>
        <v>1.5635011252104958</v>
      </c>
      <c r="BB372" s="202">
        <f t="shared" si="200"/>
        <v>1.517962257485918</v>
      </c>
      <c r="BC372" s="202">
        <f t="shared" si="200"/>
        <v>1.4737497645494353</v>
      </c>
      <c r="BD372" s="202">
        <f t="shared" si="200"/>
        <v>1.4308250141256653</v>
      </c>
      <c r="BE372" s="202">
        <f t="shared" si="200"/>
        <v>1.3891504991511314</v>
      </c>
      <c r="BF372" s="202">
        <f t="shared" si="200"/>
        <v>1.3486898050010985</v>
      </c>
      <c r="BG372" s="203">
        <f t="shared" si="191"/>
        <v>36.239800129849542</v>
      </c>
    </row>
    <row r="373" spans="27:59">
      <c r="AA373" s="180">
        <f t="shared" si="196"/>
        <v>126000000</v>
      </c>
      <c r="AB373" s="41">
        <f t="shared" si="192"/>
        <v>150</v>
      </c>
      <c r="AC373" s="21">
        <v>6</v>
      </c>
      <c r="AD373" s="21" t="s">
        <v>283</v>
      </c>
      <c r="AE373" s="175">
        <f t="shared" si="193"/>
        <v>30</v>
      </c>
      <c r="AF373" s="183">
        <f t="shared" si="194"/>
        <v>27</v>
      </c>
      <c r="AG373" s="84">
        <f t="shared" si="184"/>
        <v>0.39750000000000002</v>
      </c>
      <c r="AH373" s="244">
        <f t="shared" si="185"/>
        <v>0.159</v>
      </c>
      <c r="AI373" s="76">
        <f t="shared" si="186"/>
        <v>1.5600000000000002E-3</v>
      </c>
      <c r="AJ373" s="181">
        <f t="shared" si="187"/>
        <v>5.5650000000000005E-2</v>
      </c>
      <c r="AK373" s="182">
        <f t="shared" si="188"/>
        <v>2.3077257367928001</v>
      </c>
      <c r="AM373" s="201">
        <f t="shared" si="189"/>
        <v>2.3649357367928001</v>
      </c>
      <c r="AN373" s="202">
        <f t="shared" ref="AN373:BF373" si="201">$AM$373/POWER(1+($B$10/100),AN366-2024)</f>
        <v>2.2960541133910679</v>
      </c>
      <c r="AO373" s="202">
        <f t="shared" si="201"/>
        <v>2.2291787508651146</v>
      </c>
      <c r="AP373" s="202">
        <f t="shared" si="201"/>
        <v>2.16425121443215</v>
      </c>
      <c r="AQ373" s="202">
        <f t="shared" si="201"/>
        <v>2.1012147712933498</v>
      </c>
      <c r="AR373" s="202">
        <f t="shared" si="201"/>
        <v>2.0400143410615046</v>
      </c>
      <c r="AS373" s="202">
        <f t="shared" si="201"/>
        <v>1.9805964476325288</v>
      </c>
      <c r="AT373" s="202">
        <f t="shared" si="201"/>
        <v>1.9229091724587657</v>
      </c>
      <c r="AU373" s="202">
        <f t="shared" si="201"/>
        <v>1.8669021091832678</v>
      </c>
      <c r="AV373" s="202">
        <f t="shared" si="201"/>
        <v>1.8125263195954056</v>
      </c>
      <c r="AW373" s="202">
        <f t="shared" si="201"/>
        <v>1.7597342908693259</v>
      </c>
      <c r="AX373" s="202">
        <f t="shared" si="201"/>
        <v>1.7084798940478891</v>
      </c>
      <c r="AY373" s="202">
        <f t="shared" si="201"/>
        <v>1.6587183437358151</v>
      </c>
      <c r="AZ373" s="202">
        <f t="shared" si="201"/>
        <v>1.6104061589668108</v>
      </c>
      <c r="BA373" s="202">
        <f t="shared" si="201"/>
        <v>1.5635011252104958</v>
      </c>
      <c r="BB373" s="202">
        <f t="shared" si="201"/>
        <v>1.517962257485918</v>
      </c>
      <c r="BC373" s="202">
        <f t="shared" si="201"/>
        <v>1.4737497645494353</v>
      </c>
      <c r="BD373" s="202">
        <f t="shared" si="201"/>
        <v>1.4308250141256653</v>
      </c>
      <c r="BE373" s="202">
        <f t="shared" si="201"/>
        <v>1.3891504991511314</v>
      </c>
      <c r="BF373" s="202">
        <f t="shared" si="201"/>
        <v>1.3486898050010985</v>
      </c>
      <c r="BG373" s="203">
        <f t="shared" si="191"/>
        <v>36.239800129849542</v>
      </c>
    </row>
    <row r="374" spans="27:59">
      <c r="AA374" s="180">
        <f t="shared" si="196"/>
        <v>147000000</v>
      </c>
      <c r="AB374" s="41">
        <f t="shared" si="192"/>
        <v>175</v>
      </c>
      <c r="AC374" s="21">
        <v>7</v>
      </c>
      <c r="AD374" s="21" t="s">
        <v>283</v>
      </c>
      <c r="AE374" s="175">
        <f t="shared" si="193"/>
        <v>30</v>
      </c>
      <c r="AF374" s="183">
        <f t="shared" si="194"/>
        <v>27</v>
      </c>
      <c r="AG374" s="84">
        <f t="shared" si="184"/>
        <v>0.39750000000000002</v>
      </c>
      <c r="AH374" s="244">
        <f t="shared" si="185"/>
        <v>0.159</v>
      </c>
      <c r="AI374" s="76">
        <f t="shared" si="186"/>
        <v>1.5600000000000002E-3</v>
      </c>
      <c r="AJ374" s="181">
        <f t="shared" si="187"/>
        <v>5.5650000000000005E-2</v>
      </c>
      <c r="AK374" s="182">
        <f t="shared" si="188"/>
        <v>2.3077257367928001</v>
      </c>
      <c r="AM374" s="201">
        <f t="shared" si="189"/>
        <v>2.3649357367928001</v>
      </c>
      <c r="AN374" s="202">
        <f t="shared" ref="AN374:BF374" si="202">$AM$374/POWER(1+($B$10/100),AN366-2024)</f>
        <v>2.2960541133910679</v>
      </c>
      <c r="AO374" s="202">
        <f t="shared" si="202"/>
        <v>2.2291787508651146</v>
      </c>
      <c r="AP374" s="202">
        <f t="shared" si="202"/>
        <v>2.16425121443215</v>
      </c>
      <c r="AQ374" s="202">
        <f t="shared" si="202"/>
        <v>2.1012147712933498</v>
      </c>
      <c r="AR374" s="202">
        <f t="shared" si="202"/>
        <v>2.0400143410615046</v>
      </c>
      <c r="AS374" s="202">
        <f t="shared" si="202"/>
        <v>1.9805964476325288</v>
      </c>
      <c r="AT374" s="202">
        <f t="shared" si="202"/>
        <v>1.9229091724587657</v>
      </c>
      <c r="AU374" s="202">
        <f t="shared" si="202"/>
        <v>1.8669021091832678</v>
      </c>
      <c r="AV374" s="202">
        <f t="shared" si="202"/>
        <v>1.8125263195954056</v>
      </c>
      <c r="AW374" s="202">
        <f t="shared" si="202"/>
        <v>1.7597342908693259</v>
      </c>
      <c r="AX374" s="202">
        <f t="shared" si="202"/>
        <v>1.7084798940478891</v>
      </c>
      <c r="AY374" s="202">
        <f t="shared" si="202"/>
        <v>1.6587183437358151</v>
      </c>
      <c r="AZ374" s="202">
        <f t="shared" si="202"/>
        <v>1.6104061589668108</v>
      </c>
      <c r="BA374" s="202">
        <f t="shared" si="202"/>
        <v>1.5635011252104958</v>
      </c>
      <c r="BB374" s="202">
        <f t="shared" si="202"/>
        <v>1.517962257485918</v>
      </c>
      <c r="BC374" s="202">
        <f t="shared" si="202"/>
        <v>1.4737497645494353</v>
      </c>
      <c r="BD374" s="202">
        <f t="shared" si="202"/>
        <v>1.4308250141256653</v>
      </c>
      <c r="BE374" s="202">
        <f t="shared" si="202"/>
        <v>1.3891504991511314</v>
      </c>
      <c r="BF374" s="202">
        <f t="shared" si="202"/>
        <v>1.3486898050010985</v>
      </c>
      <c r="BG374" s="203">
        <f t="shared" si="191"/>
        <v>36.239800129849542</v>
      </c>
    </row>
    <row r="375" spans="27:59">
      <c r="AA375" s="180">
        <f t="shared" si="196"/>
        <v>168000000</v>
      </c>
      <c r="AB375" s="41">
        <f t="shared" si="192"/>
        <v>200</v>
      </c>
      <c r="AC375" s="21">
        <v>8</v>
      </c>
      <c r="AD375" s="21" t="s">
        <v>283</v>
      </c>
      <c r="AE375" s="175">
        <f t="shared" si="193"/>
        <v>30</v>
      </c>
      <c r="AF375" s="183">
        <f t="shared" si="194"/>
        <v>27</v>
      </c>
      <c r="AG375" s="84">
        <f t="shared" si="184"/>
        <v>0.39750000000000002</v>
      </c>
      <c r="AH375" s="244">
        <f t="shared" si="185"/>
        <v>0.159</v>
      </c>
      <c r="AI375" s="76">
        <f t="shared" si="186"/>
        <v>1.5600000000000002E-3</v>
      </c>
      <c r="AJ375" s="181">
        <f t="shared" si="187"/>
        <v>5.5650000000000005E-2</v>
      </c>
      <c r="AK375" s="182">
        <f t="shared" si="188"/>
        <v>2.3077257367928001</v>
      </c>
      <c r="AM375" s="201">
        <f t="shared" si="189"/>
        <v>2.3649357367928001</v>
      </c>
      <c r="AN375" s="202">
        <f t="shared" ref="AN375:BF375" si="203">$AM$375/POWER(1+($B$10/100),AN366-2024)</f>
        <v>2.2960541133910679</v>
      </c>
      <c r="AO375" s="202">
        <f t="shared" si="203"/>
        <v>2.2291787508651146</v>
      </c>
      <c r="AP375" s="202">
        <f t="shared" si="203"/>
        <v>2.16425121443215</v>
      </c>
      <c r="AQ375" s="202">
        <f t="shared" si="203"/>
        <v>2.1012147712933498</v>
      </c>
      <c r="AR375" s="202">
        <f t="shared" si="203"/>
        <v>2.0400143410615046</v>
      </c>
      <c r="AS375" s="202">
        <f t="shared" si="203"/>
        <v>1.9805964476325288</v>
      </c>
      <c r="AT375" s="202">
        <f t="shared" si="203"/>
        <v>1.9229091724587657</v>
      </c>
      <c r="AU375" s="202">
        <f t="shared" si="203"/>
        <v>1.8669021091832678</v>
      </c>
      <c r="AV375" s="202">
        <f t="shared" si="203"/>
        <v>1.8125263195954056</v>
      </c>
      <c r="AW375" s="202">
        <f t="shared" si="203"/>
        <v>1.7597342908693259</v>
      </c>
      <c r="AX375" s="202">
        <f t="shared" si="203"/>
        <v>1.7084798940478891</v>
      </c>
      <c r="AY375" s="202">
        <f t="shared" si="203"/>
        <v>1.6587183437358151</v>
      </c>
      <c r="AZ375" s="202">
        <f t="shared" si="203"/>
        <v>1.6104061589668108</v>
      </c>
      <c r="BA375" s="202">
        <f t="shared" si="203"/>
        <v>1.5635011252104958</v>
      </c>
      <c r="BB375" s="202">
        <f t="shared" si="203"/>
        <v>1.517962257485918</v>
      </c>
      <c r="BC375" s="202">
        <f t="shared" si="203"/>
        <v>1.4737497645494353</v>
      </c>
      <c r="BD375" s="202">
        <f t="shared" si="203"/>
        <v>1.4308250141256653</v>
      </c>
      <c r="BE375" s="202">
        <f t="shared" si="203"/>
        <v>1.3891504991511314</v>
      </c>
      <c r="BF375" s="202">
        <f t="shared" si="203"/>
        <v>1.3486898050010985</v>
      </c>
      <c r="BG375" s="203">
        <f t="shared" si="191"/>
        <v>36.239800129849542</v>
      </c>
    </row>
    <row r="376" spans="27:59">
      <c r="AA376" s="180">
        <f t="shared" si="196"/>
        <v>189000000</v>
      </c>
      <c r="AB376" s="41">
        <f t="shared" si="192"/>
        <v>225</v>
      </c>
      <c r="AC376" s="21">
        <v>9</v>
      </c>
      <c r="AD376" s="21" t="s">
        <v>283</v>
      </c>
      <c r="AE376" s="175">
        <f t="shared" si="193"/>
        <v>30</v>
      </c>
      <c r="AF376" s="183">
        <f t="shared" si="194"/>
        <v>27</v>
      </c>
      <c r="AG376" s="84">
        <f t="shared" si="184"/>
        <v>0.39750000000000002</v>
      </c>
      <c r="AH376" s="244">
        <f t="shared" si="185"/>
        <v>0.159</v>
      </c>
      <c r="AI376" s="76">
        <f t="shared" si="186"/>
        <v>1.5600000000000002E-3</v>
      </c>
      <c r="AJ376" s="181">
        <f t="shared" si="187"/>
        <v>5.5650000000000005E-2</v>
      </c>
      <c r="AK376" s="182">
        <f t="shared" si="188"/>
        <v>2.3077257367928001</v>
      </c>
      <c r="AM376" s="201">
        <f t="shared" si="189"/>
        <v>2.3649357367928001</v>
      </c>
      <c r="AN376" s="202">
        <f t="shared" ref="AN376:BF376" si="204">$AM$376/POWER(1+($B$10/100),AN366-2024)</f>
        <v>2.2960541133910679</v>
      </c>
      <c r="AO376" s="202">
        <f t="shared" si="204"/>
        <v>2.2291787508651146</v>
      </c>
      <c r="AP376" s="202">
        <f t="shared" si="204"/>
        <v>2.16425121443215</v>
      </c>
      <c r="AQ376" s="202">
        <f t="shared" si="204"/>
        <v>2.1012147712933498</v>
      </c>
      <c r="AR376" s="202">
        <f t="shared" si="204"/>
        <v>2.0400143410615046</v>
      </c>
      <c r="AS376" s="202">
        <f t="shared" si="204"/>
        <v>1.9805964476325288</v>
      </c>
      <c r="AT376" s="202">
        <f t="shared" si="204"/>
        <v>1.9229091724587657</v>
      </c>
      <c r="AU376" s="202">
        <f t="shared" si="204"/>
        <v>1.8669021091832678</v>
      </c>
      <c r="AV376" s="202">
        <f t="shared" si="204"/>
        <v>1.8125263195954056</v>
      </c>
      <c r="AW376" s="202">
        <f t="shared" si="204"/>
        <v>1.7597342908693259</v>
      </c>
      <c r="AX376" s="202">
        <f t="shared" si="204"/>
        <v>1.7084798940478891</v>
      </c>
      <c r="AY376" s="202">
        <f t="shared" si="204"/>
        <v>1.6587183437358151</v>
      </c>
      <c r="AZ376" s="202">
        <f t="shared" si="204"/>
        <v>1.6104061589668108</v>
      </c>
      <c r="BA376" s="202">
        <f t="shared" si="204"/>
        <v>1.5635011252104958</v>
      </c>
      <c r="BB376" s="202">
        <f t="shared" si="204"/>
        <v>1.517962257485918</v>
      </c>
      <c r="BC376" s="202">
        <f t="shared" si="204"/>
        <v>1.4737497645494353</v>
      </c>
      <c r="BD376" s="202">
        <f t="shared" si="204"/>
        <v>1.4308250141256653</v>
      </c>
      <c r="BE376" s="202">
        <f t="shared" si="204"/>
        <v>1.3891504991511314</v>
      </c>
      <c r="BF376" s="202">
        <f t="shared" si="204"/>
        <v>1.3486898050010985</v>
      </c>
      <c r="BG376" s="203">
        <f t="shared" si="191"/>
        <v>36.239800129849542</v>
      </c>
    </row>
    <row r="377" spans="27:59">
      <c r="AA377" s="180">
        <f t="shared" si="196"/>
        <v>210000000</v>
      </c>
      <c r="AB377" s="41">
        <f t="shared" si="192"/>
        <v>250</v>
      </c>
      <c r="AC377" s="21">
        <v>10</v>
      </c>
      <c r="AD377" s="21" t="s">
        <v>283</v>
      </c>
      <c r="AE377" s="175">
        <f t="shared" si="193"/>
        <v>30</v>
      </c>
      <c r="AF377" s="183">
        <f t="shared" si="194"/>
        <v>27</v>
      </c>
      <c r="AG377" s="84">
        <f t="shared" si="184"/>
        <v>0.39750000000000002</v>
      </c>
      <c r="AH377" s="244">
        <f t="shared" si="185"/>
        <v>0.159</v>
      </c>
      <c r="AI377" s="76">
        <f t="shared" si="186"/>
        <v>1.5600000000000002E-3</v>
      </c>
      <c r="AJ377" s="181">
        <f t="shared" si="187"/>
        <v>5.5650000000000005E-2</v>
      </c>
      <c r="AK377" s="182">
        <f t="shared" si="188"/>
        <v>2.3077257367928001</v>
      </c>
      <c r="AM377" s="201">
        <f t="shared" si="189"/>
        <v>2.3649357367928001</v>
      </c>
      <c r="AN377" s="202">
        <f t="shared" ref="AN377:BF377" si="205">$AM$377/POWER(1+($B$10/100),AN366-2024)</f>
        <v>2.2960541133910679</v>
      </c>
      <c r="AO377" s="202">
        <f t="shared" si="205"/>
        <v>2.2291787508651146</v>
      </c>
      <c r="AP377" s="202">
        <f t="shared" si="205"/>
        <v>2.16425121443215</v>
      </c>
      <c r="AQ377" s="202">
        <f t="shared" si="205"/>
        <v>2.1012147712933498</v>
      </c>
      <c r="AR377" s="202">
        <f t="shared" si="205"/>
        <v>2.0400143410615046</v>
      </c>
      <c r="AS377" s="202">
        <f t="shared" si="205"/>
        <v>1.9805964476325288</v>
      </c>
      <c r="AT377" s="202">
        <f t="shared" si="205"/>
        <v>1.9229091724587657</v>
      </c>
      <c r="AU377" s="202">
        <f t="shared" si="205"/>
        <v>1.8669021091832678</v>
      </c>
      <c r="AV377" s="202">
        <f t="shared" si="205"/>
        <v>1.8125263195954056</v>
      </c>
      <c r="AW377" s="202">
        <f t="shared" si="205"/>
        <v>1.7597342908693259</v>
      </c>
      <c r="AX377" s="202">
        <f t="shared" si="205"/>
        <v>1.7084798940478891</v>
      </c>
      <c r="AY377" s="202">
        <f t="shared" si="205"/>
        <v>1.6587183437358151</v>
      </c>
      <c r="AZ377" s="202">
        <f t="shared" si="205"/>
        <v>1.6104061589668108</v>
      </c>
      <c r="BA377" s="202">
        <f t="shared" si="205"/>
        <v>1.5635011252104958</v>
      </c>
      <c r="BB377" s="202">
        <f t="shared" si="205"/>
        <v>1.517962257485918</v>
      </c>
      <c r="BC377" s="202">
        <f t="shared" si="205"/>
        <v>1.4737497645494353</v>
      </c>
      <c r="BD377" s="202">
        <f t="shared" si="205"/>
        <v>1.4308250141256653</v>
      </c>
      <c r="BE377" s="202">
        <f t="shared" si="205"/>
        <v>1.3891504991511314</v>
      </c>
      <c r="BF377" s="202">
        <f t="shared" si="205"/>
        <v>1.3486898050010985</v>
      </c>
      <c r="BG377" s="203">
        <f t="shared" si="191"/>
        <v>36.239800129849542</v>
      </c>
    </row>
    <row r="378" spans="27:59">
      <c r="AA378" s="180">
        <f t="shared" si="196"/>
        <v>231000000</v>
      </c>
      <c r="AB378" s="41">
        <f t="shared" si="192"/>
        <v>275</v>
      </c>
      <c r="AC378" s="21">
        <v>11</v>
      </c>
      <c r="AD378" s="21" t="s">
        <v>283</v>
      </c>
      <c r="AE378" s="175">
        <f t="shared" si="193"/>
        <v>30</v>
      </c>
      <c r="AF378" s="183">
        <f t="shared" si="194"/>
        <v>27</v>
      </c>
      <c r="AG378" s="84">
        <f t="shared" si="184"/>
        <v>0.39750000000000002</v>
      </c>
      <c r="AH378" s="244">
        <f t="shared" si="185"/>
        <v>0.159</v>
      </c>
      <c r="AI378" s="76">
        <f t="shared" si="186"/>
        <v>1.5600000000000002E-3</v>
      </c>
      <c r="AJ378" s="181">
        <f t="shared" si="187"/>
        <v>5.5650000000000005E-2</v>
      </c>
      <c r="AK378" s="182">
        <f t="shared" si="188"/>
        <v>2.3077257367928001</v>
      </c>
      <c r="AM378" s="201">
        <f t="shared" si="189"/>
        <v>2.3649357367928001</v>
      </c>
      <c r="AN378" s="202">
        <f t="shared" ref="AN378:BF378" si="206">$AM$378/POWER(1+($B$10/100),AN366-2024)</f>
        <v>2.2960541133910679</v>
      </c>
      <c r="AO378" s="202">
        <f t="shared" si="206"/>
        <v>2.2291787508651146</v>
      </c>
      <c r="AP378" s="202">
        <f t="shared" si="206"/>
        <v>2.16425121443215</v>
      </c>
      <c r="AQ378" s="202">
        <f t="shared" si="206"/>
        <v>2.1012147712933498</v>
      </c>
      <c r="AR378" s="202">
        <f t="shared" si="206"/>
        <v>2.0400143410615046</v>
      </c>
      <c r="AS378" s="202">
        <f t="shared" si="206"/>
        <v>1.9805964476325288</v>
      </c>
      <c r="AT378" s="202">
        <f t="shared" si="206"/>
        <v>1.9229091724587657</v>
      </c>
      <c r="AU378" s="202">
        <f t="shared" si="206"/>
        <v>1.8669021091832678</v>
      </c>
      <c r="AV378" s="202">
        <f t="shared" si="206"/>
        <v>1.8125263195954056</v>
      </c>
      <c r="AW378" s="202">
        <f t="shared" si="206"/>
        <v>1.7597342908693259</v>
      </c>
      <c r="AX378" s="202">
        <f t="shared" si="206"/>
        <v>1.7084798940478891</v>
      </c>
      <c r="AY378" s="202">
        <f t="shared" si="206"/>
        <v>1.6587183437358151</v>
      </c>
      <c r="AZ378" s="202">
        <f t="shared" si="206"/>
        <v>1.6104061589668108</v>
      </c>
      <c r="BA378" s="202">
        <f t="shared" si="206"/>
        <v>1.5635011252104958</v>
      </c>
      <c r="BB378" s="202">
        <f t="shared" si="206"/>
        <v>1.517962257485918</v>
      </c>
      <c r="BC378" s="202">
        <f t="shared" si="206"/>
        <v>1.4737497645494353</v>
      </c>
      <c r="BD378" s="202">
        <f t="shared" si="206"/>
        <v>1.4308250141256653</v>
      </c>
      <c r="BE378" s="202">
        <f t="shared" si="206"/>
        <v>1.3891504991511314</v>
      </c>
      <c r="BF378" s="202">
        <f t="shared" si="206"/>
        <v>1.3486898050010985</v>
      </c>
      <c r="BG378" s="203">
        <f t="shared" si="191"/>
        <v>36.239800129849542</v>
      </c>
    </row>
    <row r="379" spans="27:59">
      <c r="AA379" s="180">
        <f t="shared" si="196"/>
        <v>252000000</v>
      </c>
      <c r="AB379" s="41">
        <f t="shared" si="192"/>
        <v>300</v>
      </c>
      <c r="AC379" s="21">
        <v>12</v>
      </c>
      <c r="AD379" s="21" t="s">
        <v>283</v>
      </c>
      <c r="AE379" s="175">
        <f t="shared" si="193"/>
        <v>30</v>
      </c>
      <c r="AF379" s="183">
        <f t="shared" si="194"/>
        <v>27</v>
      </c>
      <c r="AG379" s="84">
        <f t="shared" si="184"/>
        <v>0.39750000000000002</v>
      </c>
      <c r="AH379" s="244">
        <f t="shared" si="185"/>
        <v>0.159</v>
      </c>
      <c r="AI379" s="76">
        <f t="shared" si="186"/>
        <v>1.5600000000000002E-3</v>
      </c>
      <c r="AJ379" s="181">
        <f t="shared" si="187"/>
        <v>5.5650000000000005E-2</v>
      </c>
      <c r="AK379" s="182">
        <f t="shared" si="188"/>
        <v>2.3077257367928001</v>
      </c>
      <c r="AM379" s="201">
        <f t="shared" si="189"/>
        <v>2.3649357367928001</v>
      </c>
      <c r="AN379" s="202">
        <f t="shared" ref="AN379:BF379" si="207">$AM$379/POWER(1+($B$10/100),AN366-2024)</f>
        <v>2.2960541133910679</v>
      </c>
      <c r="AO379" s="202">
        <f t="shared" si="207"/>
        <v>2.2291787508651146</v>
      </c>
      <c r="AP379" s="202">
        <f t="shared" si="207"/>
        <v>2.16425121443215</v>
      </c>
      <c r="AQ379" s="202">
        <f t="shared" si="207"/>
        <v>2.1012147712933498</v>
      </c>
      <c r="AR379" s="202">
        <f t="shared" si="207"/>
        <v>2.0400143410615046</v>
      </c>
      <c r="AS379" s="202">
        <f t="shared" si="207"/>
        <v>1.9805964476325288</v>
      </c>
      <c r="AT379" s="202">
        <f t="shared" si="207"/>
        <v>1.9229091724587657</v>
      </c>
      <c r="AU379" s="202">
        <f t="shared" si="207"/>
        <v>1.8669021091832678</v>
      </c>
      <c r="AV379" s="202">
        <f t="shared" si="207"/>
        <v>1.8125263195954056</v>
      </c>
      <c r="AW379" s="202">
        <f t="shared" si="207"/>
        <v>1.7597342908693259</v>
      </c>
      <c r="AX379" s="202">
        <f t="shared" si="207"/>
        <v>1.7084798940478891</v>
      </c>
      <c r="AY379" s="202">
        <f t="shared" si="207"/>
        <v>1.6587183437358151</v>
      </c>
      <c r="AZ379" s="202">
        <f t="shared" si="207"/>
        <v>1.6104061589668108</v>
      </c>
      <c r="BA379" s="202">
        <f t="shared" si="207"/>
        <v>1.5635011252104958</v>
      </c>
      <c r="BB379" s="202">
        <f t="shared" si="207"/>
        <v>1.517962257485918</v>
      </c>
      <c r="BC379" s="202">
        <f t="shared" si="207"/>
        <v>1.4737497645494353</v>
      </c>
      <c r="BD379" s="202">
        <f t="shared" si="207"/>
        <v>1.4308250141256653</v>
      </c>
      <c r="BE379" s="202">
        <f t="shared" si="207"/>
        <v>1.3891504991511314</v>
      </c>
      <c r="BF379" s="202">
        <f t="shared" si="207"/>
        <v>1.3486898050010985</v>
      </c>
      <c r="BG379" s="203">
        <f t="shared" si="191"/>
        <v>36.239800129849542</v>
      </c>
    </row>
    <row r="380" spans="27:59">
      <c r="AA380" s="180">
        <f t="shared" si="196"/>
        <v>273000000</v>
      </c>
      <c r="AB380" s="41">
        <f t="shared" si="192"/>
        <v>325</v>
      </c>
      <c r="AC380" s="21">
        <v>13</v>
      </c>
      <c r="AD380" s="21" t="s">
        <v>283</v>
      </c>
      <c r="AE380" s="175">
        <f t="shared" si="193"/>
        <v>30</v>
      </c>
      <c r="AF380" s="183">
        <f t="shared" si="194"/>
        <v>27</v>
      </c>
      <c r="AG380" s="84">
        <f t="shared" si="184"/>
        <v>0.39750000000000002</v>
      </c>
      <c r="AH380" s="244">
        <f t="shared" si="185"/>
        <v>0.159</v>
      </c>
      <c r="AI380" s="76">
        <f t="shared" si="186"/>
        <v>1.5600000000000002E-3</v>
      </c>
      <c r="AJ380" s="181">
        <f t="shared" si="187"/>
        <v>5.5650000000000005E-2</v>
      </c>
      <c r="AK380" s="182">
        <f t="shared" si="188"/>
        <v>2.3077257367928001</v>
      </c>
      <c r="AM380" s="201">
        <f t="shared" si="189"/>
        <v>2.3649357367928001</v>
      </c>
      <c r="AN380" s="202">
        <f t="shared" ref="AN380:BF380" si="208">$AM$380/POWER(1+($B$10/100),AN366-2024)</f>
        <v>2.2960541133910679</v>
      </c>
      <c r="AO380" s="202">
        <f t="shared" si="208"/>
        <v>2.2291787508651146</v>
      </c>
      <c r="AP380" s="202">
        <f t="shared" si="208"/>
        <v>2.16425121443215</v>
      </c>
      <c r="AQ380" s="202">
        <f t="shared" si="208"/>
        <v>2.1012147712933498</v>
      </c>
      <c r="AR380" s="202">
        <f t="shared" si="208"/>
        <v>2.0400143410615046</v>
      </c>
      <c r="AS380" s="202">
        <f t="shared" si="208"/>
        <v>1.9805964476325288</v>
      </c>
      <c r="AT380" s="202">
        <f t="shared" si="208"/>
        <v>1.9229091724587657</v>
      </c>
      <c r="AU380" s="202">
        <f t="shared" si="208"/>
        <v>1.8669021091832678</v>
      </c>
      <c r="AV380" s="202">
        <f t="shared" si="208"/>
        <v>1.8125263195954056</v>
      </c>
      <c r="AW380" s="202">
        <f t="shared" si="208"/>
        <v>1.7597342908693259</v>
      </c>
      <c r="AX380" s="202">
        <f t="shared" si="208"/>
        <v>1.7084798940478891</v>
      </c>
      <c r="AY380" s="202">
        <f t="shared" si="208"/>
        <v>1.6587183437358151</v>
      </c>
      <c r="AZ380" s="202">
        <f t="shared" si="208"/>
        <v>1.6104061589668108</v>
      </c>
      <c r="BA380" s="202">
        <f t="shared" si="208"/>
        <v>1.5635011252104958</v>
      </c>
      <c r="BB380" s="202">
        <f t="shared" si="208"/>
        <v>1.517962257485918</v>
      </c>
      <c r="BC380" s="202">
        <f t="shared" si="208"/>
        <v>1.4737497645494353</v>
      </c>
      <c r="BD380" s="202">
        <f t="shared" si="208"/>
        <v>1.4308250141256653</v>
      </c>
      <c r="BE380" s="202">
        <f t="shared" si="208"/>
        <v>1.3891504991511314</v>
      </c>
      <c r="BF380" s="202">
        <f t="shared" si="208"/>
        <v>1.3486898050010985</v>
      </c>
      <c r="BG380" s="203">
        <f t="shared" si="191"/>
        <v>36.239800129849542</v>
      </c>
    </row>
    <row r="381" spans="27:59">
      <c r="AA381" s="180">
        <f t="shared" si="196"/>
        <v>294000000</v>
      </c>
      <c r="AB381" s="41">
        <f t="shared" si="192"/>
        <v>350</v>
      </c>
      <c r="AC381" s="21">
        <v>14</v>
      </c>
      <c r="AD381" s="21" t="s">
        <v>283</v>
      </c>
      <c r="AE381" s="175">
        <f t="shared" si="193"/>
        <v>30</v>
      </c>
      <c r="AF381" s="183">
        <f t="shared" si="194"/>
        <v>27</v>
      </c>
      <c r="AG381" s="84">
        <f t="shared" si="184"/>
        <v>0.39750000000000002</v>
      </c>
      <c r="AH381" s="244">
        <f t="shared" si="185"/>
        <v>0.159</v>
      </c>
      <c r="AI381" s="76">
        <f t="shared" si="186"/>
        <v>1.5600000000000002E-3</v>
      </c>
      <c r="AJ381" s="181">
        <f t="shared" si="187"/>
        <v>5.5650000000000005E-2</v>
      </c>
      <c r="AK381" s="182">
        <f t="shared" si="188"/>
        <v>2.3077257367928001</v>
      </c>
      <c r="AM381" s="201">
        <f t="shared" si="189"/>
        <v>2.3649357367928001</v>
      </c>
      <c r="AN381" s="202">
        <f t="shared" ref="AN381:BF381" si="209">$AM$381/POWER(1+($B$10/100),AN366-2024)</f>
        <v>2.2960541133910679</v>
      </c>
      <c r="AO381" s="202">
        <f t="shared" si="209"/>
        <v>2.2291787508651146</v>
      </c>
      <c r="AP381" s="202">
        <f t="shared" si="209"/>
        <v>2.16425121443215</v>
      </c>
      <c r="AQ381" s="202">
        <f t="shared" si="209"/>
        <v>2.1012147712933498</v>
      </c>
      <c r="AR381" s="202">
        <f t="shared" si="209"/>
        <v>2.0400143410615046</v>
      </c>
      <c r="AS381" s="202">
        <f t="shared" si="209"/>
        <v>1.9805964476325288</v>
      </c>
      <c r="AT381" s="202">
        <f t="shared" si="209"/>
        <v>1.9229091724587657</v>
      </c>
      <c r="AU381" s="202">
        <f t="shared" si="209"/>
        <v>1.8669021091832678</v>
      </c>
      <c r="AV381" s="202">
        <f t="shared" si="209"/>
        <v>1.8125263195954056</v>
      </c>
      <c r="AW381" s="202">
        <f t="shared" si="209"/>
        <v>1.7597342908693259</v>
      </c>
      <c r="AX381" s="202">
        <f t="shared" si="209"/>
        <v>1.7084798940478891</v>
      </c>
      <c r="AY381" s="202">
        <f t="shared" si="209"/>
        <v>1.6587183437358151</v>
      </c>
      <c r="AZ381" s="202">
        <f t="shared" si="209"/>
        <v>1.6104061589668108</v>
      </c>
      <c r="BA381" s="202">
        <f t="shared" si="209"/>
        <v>1.5635011252104958</v>
      </c>
      <c r="BB381" s="202">
        <f t="shared" si="209"/>
        <v>1.517962257485918</v>
      </c>
      <c r="BC381" s="202">
        <f t="shared" si="209"/>
        <v>1.4737497645494353</v>
      </c>
      <c r="BD381" s="202">
        <f t="shared" si="209"/>
        <v>1.4308250141256653</v>
      </c>
      <c r="BE381" s="202">
        <f t="shared" si="209"/>
        <v>1.3891504991511314</v>
      </c>
      <c r="BF381" s="202">
        <f t="shared" si="209"/>
        <v>1.3486898050010985</v>
      </c>
      <c r="BG381" s="203">
        <f t="shared" si="191"/>
        <v>36.239800129849542</v>
      </c>
    </row>
    <row r="382" spans="27:59">
      <c r="AA382" s="180">
        <f t="shared" si="196"/>
        <v>315000000</v>
      </c>
      <c r="AB382" s="41">
        <f t="shared" si="192"/>
        <v>375</v>
      </c>
      <c r="AC382" s="21">
        <v>15</v>
      </c>
      <c r="AD382" s="21" t="s">
        <v>283</v>
      </c>
      <c r="AE382" s="175">
        <f t="shared" si="193"/>
        <v>30</v>
      </c>
      <c r="AF382" s="183">
        <f t="shared" si="194"/>
        <v>27</v>
      </c>
      <c r="AG382" s="84">
        <f t="shared" si="184"/>
        <v>0.39750000000000002</v>
      </c>
      <c r="AH382" s="244">
        <f t="shared" si="185"/>
        <v>0.159</v>
      </c>
      <c r="AI382" s="76">
        <f t="shared" si="186"/>
        <v>1.5600000000000002E-3</v>
      </c>
      <c r="AJ382" s="181">
        <f t="shared" si="187"/>
        <v>5.5650000000000005E-2</v>
      </c>
      <c r="AK382" s="182">
        <f t="shared" si="188"/>
        <v>2.3077257367928001</v>
      </c>
      <c r="AM382" s="201">
        <f t="shared" si="189"/>
        <v>2.3649357367928001</v>
      </c>
      <c r="AN382" s="202">
        <f t="shared" ref="AN382:BF382" si="210">$AM$382/POWER(1+($B$10/100),AN366-2024)</f>
        <v>2.2960541133910679</v>
      </c>
      <c r="AO382" s="202">
        <f t="shared" si="210"/>
        <v>2.2291787508651146</v>
      </c>
      <c r="AP382" s="202">
        <f t="shared" si="210"/>
        <v>2.16425121443215</v>
      </c>
      <c r="AQ382" s="202">
        <f t="shared" si="210"/>
        <v>2.1012147712933498</v>
      </c>
      <c r="AR382" s="202">
        <f t="shared" si="210"/>
        <v>2.0400143410615046</v>
      </c>
      <c r="AS382" s="202">
        <f t="shared" si="210"/>
        <v>1.9805964476325288</v>
      </c>
      <c r="AT382" s="202">
        <f t="shared" si="210"/>
        <v>1.9229091724587657</v>
      </c>
      <c r="AU382" s="202">
        <f t="shared" si="210"/>
        <v>1.8669021091832678</v>
      </c>
      <c r="AV382" s="202">
        <f t="shared" si="210"/>
        <v>1.8125263195954056</v>
      </c>
      <c r="AW382" s="202">
        <f t="shared" si="210"/>
        <v>1.7597342908693259</v>
      </c>
      <c r="AX382" s="202">
        <f t="shared" si="210"/>
        <v>1.7084798940478891</v>
      </c>
      <c r="AY382" s="202">
        <f t="shared" si="210"/>
        <v>1.6587183437358151</v>
      </c>
      <c r="AZ382" s="202">
        <f t="shared" si="210"/>
        <v>1.6104061589668108</v>
      </c>
      <c r="BA382" s="202">
        <f t="shared" si="210"/>
        <v>1.5635011252104958</v>
      </c>
      <c r="BB382" s="202">
        <f t="shared" si="210"/>
        <v>1.517962257485918</v>
      </c>
      <c r="BC382" s="202">
        <f t="shared" si="210"/>
        <v>1.4737497645494353</v>
      </c>
      <c r="BD382" s="202">
        <f t="shared" si="210"/>
        <v>1.4308250141256653</v>
      </c>
      <c r="BE382" s="202">
        <f t="shared" si="210"/>
        <v>1.3891504991511314</v>
      </c>
      <c r="BF382" s="202">
        <f t="shared" si="210"/>
        <v>1.3486898050010985</v>
      </c>
      <c r="BG382" s="203">
        <f t="shared" si="191"/>
        <v>36.239800129849542</v>
      </c>
    </row>
    <row r="383" spans="27:59">
      <c r="AA383" s="180">
        <f t="shared" si="196"/>
        <v>336000000</v>
      </c>
      <c r="AB383" s="41">
        <f t="shared" si="192"/>
        <v>400</v>
      </c>
      <c r="AC383" s="21">
        <v>16</v>
      </c>
      <c r="AD383" s="21" t="s">
        <v>283</v>
      </c>
      <c r="AE383" s="175">
        <f t="shared" si="193"/>
        <v>30</v>
      </c>
      <c r="AF383" s="183">
        <f t="shared" si="194"/>
        <v>27</v>
      </c>
      <c r="AG383" s="84">
        <f t="shared" si="184"/>
        <v>0.39750000000000002</v>
      </c>
      <c r="AH383" s="244">
        <f t="shared" si="185"/>
        <v>0.159</v>
      </c>
      <c r="AI383" s="76">
        <f t="shared" si="186"/>
        <v>1.5600000000000002E-3</v>
      </c>
      <c r="AJ383" s="181">
        <f t="shared" si="187"/>
        <v>5.5650000000000005E-2</v>
      </c>
      <c r="AK383" s="182">
        <f t="shared" si="188"/>
        <v>2.3077257367928001</v>
      </c>
      <c r="AM383" s="201">
        <f t="shared" si="189"/>
        <v>2.3649357367928001</v>
      </c>
      <c r="AN383" s="202">
        <f t="shared" ref="AN383:BF383" si="211">$AM$383/POWER(1+($B$10/100),AN366-2024)</f>
        <v>2.2960541133910679</v>
      </c>
      <c r="AO383" s="202">
        <f t="shared" si="211"/>
        <v>2.2291787508651146</v>
      </c>
      <c r="AP383" s="202">
        <f t="shared" si="211"/>
        <v>2.16425121443215</v>
      </c>
      <c r="AQ383" s="202">
        <f t="shared" si="211"/>
        <v>2.1012147712933498</v>
      </c>
      <c r="AR383" s="202">
        <f t="shared" si="211"/>
        <v>2.0400143410615046</v>
      </c>
      <c r="AS383" s="202">
        <f t="shared" si="211"/>
        <v>1.9805964476325288</v>
      </c>
      <c r="AT383" s="202">
        <f t="shared" si="211"/>
        <v>1.9229091724587657</v>
      </c>
      <c r="AU383" s="202">
        <f t="shared" si="211"/>
        <v>1.8669021091832678</v>
      </c>
      <c r="AV383" s="202">
        <f t="shared" si="211"/>
        <v>1.8125263195954056</v>
      </c>
      <c r="AW383" s="202">
        <f t="shared" si="211"/>
        <v>1.7597342908693259</v>
      </c>
      <c r="AX383" s="202">
        <f t="shared" si="211"/>
        <v>1.7084798940478891</v>
      </c>
      <c r="AY383" s="202">
        <f t="shared" si="211"/>
        <v>1.6587183437358151</v>
      </c>
      <c r="AZ383" s="202">
        <f t="shared" si="211"/>
        <v>1.6104061589668108</v>
      </c>
      <c r="BA383" s="202">
        <f t="shared" si="211"/>
        <v>1.5635011252104958</v>
      </c>
      <c r="BB383" s="202">
        <f t="shared" si="211"/>
        <v>1.517962257485918</v>
      </c>
      <c r="BC383" s="202">
        <f t="shared" si="211"/>
        <v>1.4737497645494353</v>
      </c>
      <c r="BD383" s="202">
        <f t="shared" si="211"/>
        <v>1.4308250141256653</v>
      </c>
      <c r="BE383" s="202">
        <f t="shared" si="211"/>
        <v>1.3891504991511314</v>
      </c>
      <c r="BF383" s="202">
        <f t="shared" si="211"/>
        <v>1.3486898050010985</v>
      </c>
      <c r="BG383" s="203">
        <f t="shared" si="191"/>
        <v>36.239800129849542</v>
      </c>
    </row>
    <row r="384" spans="27:59">
      <c r="AA384" s="180">
        <f t="shared" si="196"/>
        <v>357000000</v>
      </c>
      <c r="AB384" s="41">
        <f t="shared" si="192"/>
        <v>425</v>
      </c>
      <c r="AC384" s="21">
        <v>17</v>
      </c>
      <c r="AD384" s="21" t="s">
        <v>283</v>
      </c>
      <c r="AE384" s="175">
        <f t="shared" si="193"/>
        <v>30</v>
      </c>
      <c r="AF384" s="183">
        <f t="shared" si="194"/>
        <v>27</v>
      </c>
      <c r="AG384" s="84">
        <f t="shared" si="184"/>
        <v>0.39750000000000002</v>
      </c>
      <c r="AH384" s="244">
        <f t="shared" si="185"/>
        <v>0.159</v>
      </c>
      <c r="AI384" s="76">
        <f t="shared" si="186"/>
        <v>1.5600000000000002E-3</v>
      </c>
      <c r="AJ384" s="181">
        <f t="shared" si="187"/>
        <v>5.5650000000000005E-2</v>
      </c>
      <c r="AK384" s="182">
        <f t="shared" si="188"/>
        <v>2.3077257367928001</v>
      </c>
      <c r="AM384" s="201">
        <f t="shared" si="189"/>
        <v>2.3649357367928001</v>
      </c>
      <c r="AN384" s="202">
        <f t="shared" ref="AN384:BF384" si="212">$AM$384/POWER(1+($B$10/100),AN366-2024)</f>
        <v>2.2960541133910679</v>
      </c>
      <c r="AO384" s="202">
        <f t="shared" si="212"/>
        <v>2.2291787508651146</v>
      </c>
      <c r="AP384" s="202">
        <f t="shared" si="212"/>
        <v>2.16425121443215</v>
      </c>
      <c r="AQ384" s="202">
        <f t="shared" si="212"/>
        <v>2.1012147712933498</v>
      </c>
      <c r="AR384" s="202">
        <f t="shared" si="212"/>
        <v>2.0400143410615046</v>
      </c>
      <c r="AS384" s="202">
        <f t="shared" si="212"/>
        <v>1.9805964476325288</v>
      </c>
      <c r="AT384" s="202">
        <f t="shared" si="212"/>
        <v>1.9229091724587657</v>
      </c>
      <c r="AU384" s="202">
        <f t="shared" si="212"/>
        <v>1.8669021091832678</v>
      </c>
      <c r="AV384" s="202">
        <f t="shared" si="212"/>
        <v>1.8125263195954056</v>
      </c>
      <c r="AW384" s="202">
        <f t="shared" si="212"/>
        <v>1.7597342908693259</v>
      </c>
      <c r="AX384" s="202">
        <f t="shared" si="212"/>
        <v>1.7084798940478891</v>
      </c>
      <c r="AY384" s="202">
        <f t="shared" si="212"/>
        <v>1.6587183437358151</v>
      </c>
      <c r="AZ384" s="202">
        <f t="shared" si="212"/>
        <v>1.6104061589668108</v>
      </c>
      <c r="BA384" s="202">
        <f t="shared" si="212"/>
        <v>1.5635011252104958</v>
      </c>
      <c r="BB384" s="202">
        <f t="shared" si="212"/>
        <v>1.517962257485918</v>
      </c>
      <c r="BC384" s="202">
        <f t="shared" si="212"/>
        <v>1.4737497645494353</v>
      </c>
      <c r="BD384" s="202">
        <f t="shared" si="212"/>
        <v>1.4308250141256653</v>
      </c>
      <c r="BE384" s="202">
        <f t="shared" si="212"/>
        <v>1.3891504991511314</v>
      </c>
      <c r="BF384" s="202">
        <f t="shared" si="212"/>
        <v>1.3486898050010985</v>
      </c>
      <c r="BG384" s="203">
        <f t="shared" si="191"/>
        <v>36.239800129849542</v>
      </c>
    </row>
    <row r="385" spans="27:59">
      <c r="AA385" s="180">
        <f t="shared" si="196"/>
        <v>378000000</v>
      </c>
      <c r="AB385" s="41">
        <f t="shared" si="192"/>
        <v>450</v>
      </c>
      <c r="AC385" s="21">
        <v>18</v>
      </c>
      <c r="AD385" s="21" t="s">
        <v>283</v>
      </c>
      <c r="AE385" s="175">
        <f t="shared" si="193"/>
        <v>30</v>
      </c>
      <c r="AF385" s="183">
        <f t="shared" si="194"/>
        <v>27</v>
      </c>
      <c r="AG385" s="84">
        <f t="shared" si="184"/>
        <v>0.39750000000000002</v>
      </c>
      <c r="AH385" s="244">
        <f t="shared" si="185"/>
        <v>0.159</v>
      </c>
      <c r="AI385" s="76">
        <f t="shared" si="186"/>
        <v>1.5600000000000002E-3</v>
      </c>
      <c r="AJ385" s="181">
        <f t="shared" si="187"/>
        <v>5.5650000000000005E-2</v>
      </c>
      <c r="AK385" s="182">
        <f t="shared" si="188"/>
        <v>2.3077257367928001</v>
      </c>
      <c r="AM385" s="201">
        <f t="shared" si="189"/>
        <v>2.3649357367928001</v>
      </c>
      <c r="AN385" s="202">
        <f t="shared" ref="AN385:BF385" si="213">$AM$385/POWER(1+($B$10/100),AN366-2024)</f>
        <v>2.2960541133910679</v>
      </c>
      <c r="AO385" s="202">
        <f t="shared" si="213"/>
        <v>2.2291787508651146</v>
      </c>
      <c r="AP385" s="202">
        <f t="shared" si="213"/>
        <v>2.16425121443215</v>
      </c>
      <c r="AQ385" s="202">
        <f t="shared" si="213"/>
        <v>2.1012147712933498</v>
      </c>
      <c r="AR385" s="202">
        <f t="shared" si="213"/>
        <v>2.0400143410615046</v>
      </c>
      <c r="AS385" s="202">
        <f t="shared" si="213"/>
        <v>1.9805964476325288</v>
      </c>
      <c r="AT385" s="202">
        <f t="shared" si="213"/>
        <v>1.9229091724587657</v>
      </c>
      <c r="AU385" s="202">
        <f t="shared" si="213"/>
        <v>1.8669021091832678</v>
      </c>
      <c r="AV385" s="202">
        <f t="shared" si="213"/>
        <v>1.8125263195954056</v>
      </c>
      <c r="AW385" s="202">
        <f t="shared" si="213"/>
        <v>1.7597342908693259</v>
      </c>
      <c r="AX385" s="202">
        <f t="shared" si="213"/>
        <v>1.7084798940478891</v>
      </c>
      <c r="AY385" s="202">
        <f t="shared" si="213"/>
        <v>1.6587183437358151</v>
      </c>
      <c r="AZ385" s="202">
        <f t="shared" si="213"/>
        <v>1.6104061589668108</v>
      </c>
      <c r="BA385" s="202">
        <f t="shared" si="213"/>
        <v>1.5635011252104958</v>
      </c>
      <c r="BB385" s="202">
        <f t="shared" si="213"/>
        <v>1.517962257485918</v>
      </c>
      <c r="BC385" s="202">
        <f t="shared" si="213"/>
        <v>1.4737497645494353</v>
      </c>
      <c r="BD385" s="202">
        <f t="shared" si="213"/>
        <v>1.4308250141256653</v>
      </c>
      <c r="BE385" s="202">
        <f t="shared" si="213"/>
        <v>1.3891504991511314</v>
      </c>
      <c r="BF385" s="202">
        <f t="shared" si="213"/>
        <v>1.3486898050010985</v>
      </c>
      <c r="BG385" s="203">
        <f t="shared" si="191"/>
        <v>36.239800129849542</v>
      </c>
    </row>
    <row r="386" spans="27:59">
      <c r="AA386" s="180">
        <f t="shared" si="196"/>
        <v>399000000</v>
      </c>
      <c r="AB386" s="41">
        <f t="shared" si="192"/>
        <v>475</v>
      </c>
      <c r="AC386" s="21">
        <v>19</v>
      </c>
      <c r="AD386" s="21" t="s">
        <v>283</v>
      </c>
      <c r="AE386" s="175">
        <f t="shared" si="193"/>
        <v>30</v>
      </c>
      <c r="AF386" s="183">
        <f t="shared" si="194"/>
        <v>27</v>
      </c>
      <c r="AG386" s="84">
        <f t="shared" si="184"/>
        <v>0.39750000000000002</v>
      </c>
      <c r="AH386" s="244">
        <f t="shared" si="185"/>
        <v>0.159</v>
      </c>
      <c r="AI386" s="76">
        <f t="shared" si="186"/>
        <v>1.5600000000000002E-3</v>
      </c>
      <c r="AJ386" s="181">
        <f t="shared" si="187"/>
        <v>5.5650000000000005E-2</v>
      </c>
      <c r="AK386" s="182">
        <f t="shared" si="188"/>
        <v>2.3077257367928001</v>
      </c>
      <c r="AM386" s="201">
        <f t="shared" si="189"/>
        <v>2.3649357367928001</v>
      </c>
      <c r="AN386" s="202">
        <f t="shared" ref="AN386:BF386" si="214">$AM$386/POWER(1+($B$10/100),AN366-2024)</f>
        <v>2.2960541133910679</v>
      </c>
      <c r="AO386" s="202">
        <f t="shared" si="214"/>
        <v>2.2291787508651146</v>
      </c>
      <c r="AP386" s="202">
        <f t="shared" si="214"/>
        <v>2.16425121443215</v>
      </c>
      <c r="AQ386" s="202">
        <f t="shared" si="214"/>
        <v>2.1012147712933498</v>
      </c>
      <c r="AR386" s="202">
        <f t="shared" si="214"/>
        <v>2.0400143410615046</v>
      </c>
      <c r="AS386" s="202">
        <f t="shared" si="214"/>
        <v>1.9805964476325288</v>
      </c>
      <c r="AT386" s="202">
        <f t="shared" si="214"/>
        <v>1.9229091724587657</v>
      </c>
      <c r="AU386" s="202">
        <f t="shared" si="214"/>
        <v>1.8669021091832678</v>
      </c>
      <c r="AV386" s="202">
        <f t="shared" si="214"/>
        <v>1.8125263195954056</v>
      </c>
      <c r="AW386" s="202">
        <f t="shared" si="214"/>
        <v>1.7597342908693259</v>
      </c>
      <c r="AX386" s="202">
        <f t="shared" si="214"/>
        <v>1.7084798940478891</v>
      </c>
      <c r="AY386" s="202">
        <f t="shared" si="214"/>
        <v>1.6587183437358151</v>
      </c>
      <c r="AZ386" s="202">
        <f t="shared" si="214"/>
        <v>1.6104061589668108</v>
      </c>
      <c r="BA386" s="202">
        <f t="shared" si="214"/>
        <v>1.5635011252104958</v>
      </c>
      <c r="BB386" s="202">
        <f t="shared" si="214"/>
        <v>1.517962257485918</v>
      </c>
      <c r="BC386" s="202">
        <f t="shared" si="214"/>
        <v>1.4737497645494353</v>
      </c>
      <c r="BD386" s="202">
        <f t="shared" si="214"/>
        <v>1.4308250141256653</v>
      </c>
      <c r="BE386" s="202">
        <f t="shared" si="214"/>
        <v>1.3891504991511314</v>
      </c>
      <c r="BF386" s="202">
        <f t="shared" si="214"/>
        <v>1.3486898050010985</v>
      </c>
      <c r="BG386" s="203">
        <f t="shared" si="191"/>
        <v>36.239800129849542</v>
      </c>
    </row>
    <row r="387" spans="27:59">
      <c r="AA387" s="180">
        <f t="shared" si="196"/>
        <v>420000000</v>
      </c>
      <c r="AB387" s="41">
        <f t="shared" si="192"/>
        <v>500</v>
      </c>
      <c r="AC387" s="21">
        <v>20</v>
      </c>
      <c r="AD387" s="21" t="s">
        <v>283</v>
      </c>
      <c r="AE387" s="175">
        <f t="shared" si="193"/>
        <v>30</v>
      </c>
      <c r="AF387" s="183">
        <f t="shared" si="194"/>
        <v>27</v>
      </c>
      <c r="AG387" s="84">
        <f t="shared" si="184"/>
        <v>0.39750000000000002</v>
      </c>
      <c r="AH387" s="244">
        <f t="shared" si="185"/>
        <v>0.159</v>
      </c>
      <c r="AI387" s="76">
        <f t="shared" si="186"/>
        <v>1.5600000000000002E-3</v>
      </c>
      <c r="AJ387" s="181">
        <f t="shared" si="187"/>
        <v>5.5650000000000005E-2</v>
      </c>
      <c r="AK387" s="182">
        <f t="shared" si="188"/>
        <v>2.3077257367928001</v>
      </c>
      <c r="AM387" s="201">
        <f t="shared" si="189"/>
        <v>2.3649357367928001</v>
      </c>
      <c r="AN387" s="202">
        <f t="shared" ref="AN387:AO406" si="215">$AM387/POWER(1+($B$10/100),AN$366-2024)</f>
        <v>2.2960541133910679</v>
      </c>
      <c r="AO387" s="202">
        <f t="shared" si="215"/>
        <v>2.2291787508651146</v>
      </c>
      <c r="AP387" s="202">
        <f>$AM$387/POWER(1+($B$10/100),AP$366-2024)</f>
        <v>2.16425121443215</v>
      </c>
      <c r="AQ387" s="202">
        <f>$AM$387/POWER(1+($B$10/100),AQ$366-2024)</f>
        <v>2.1012147712933498</v>
      </c>
      <c r="AR387" s="202">
        <f t="shared" ref="AR387:BF387" si="216">$AM$387/POWER(1+($B$10/100),AR366-2024)</f>
        <v>2.0400143410615046</v>
      </c>
      <c r="AS387" s="202">
        <f t="shared" si="216"/>
        <v>1.9805964476325288</v>
      </c>
      <c r="AT387" s="202">
        <f t="shared" si="216"/>
        <v>1.9229091724587657</v>
      </c>
      <c r="AU387" s="202">
        <f t="shared" si="216"/>
        <v>1.8669021091832678</v>
      </c>
      <c r="AV387" s="202">
        <f t="shared" si="216"/>
        <v>1.8125263195954056</v>
      </c>
      <c r="AW387" s="202">
        <f t="shared" si="216"/>
        <v>1.7597342908693259</v>
      </c>
      <c r="AX387" s="202">
        <f t="shared" si="216"/>
        <v>1.7084798940478891</v>
      </c>
      <c r="AY387" s="202">
        <f t="shared" si="216"/>
        <v>1.6587183437358151</v>
      </c>
      <c r="AZ387" s="202">
        <f t="shared" si="216"/>
        <v>1.6104061589668108</v>
      </c>
      <c r="BA387" s="202">
        <f t="shared" si="216"/>
        <v>1.5635011252104958</v>
      </c>
      <c r="BB387" s="202">
        <f t="shared" si="216"/>
        <v>1.517962257485918</v>
      </c>
      <c r="BC387" s="202">
        <f t="shared" si="216"/>
        <v>1.4737497645494353</v>
      </c>
      <c r="BD387" s="202">
        <f t="shared" si="216"/>
        <v>1.4308250141256653</v>
      </c>
      <c r="BE387" s="202">
        <f t="shared" si="216"/>
        <v>1.3891504991511314</v>
      </c>
      <c r="BF387" s="202">
        <f t="shared" si="216"/>
        <v>1.3486898050010985</v>
      </c>
      <c r="BG387" s="203">
        <f t="shared" si="191"/>
        <v>36.239800129849542</v>
      </c>
    </row>
    <row r="388" spans="27:59">
      <c r="AA388" s="180">
        <f t="shared" si="196"/>
        <v>441000000</v>
      </c>
      <c r="AB388" s="41">
        <f t="shared" ref="AB388:AB432" si="217">AB206</f>
        <v>525</v>
      </c>
      <c r="AC388" s="21">
        <v>21</v>
      </c>
      <c r="AD388" s="21" t="s">
        <v>283</v>
      </c>
      <c r="AE388" s="175">
        <f t="shared" ref="AE388:AE451" si="218">AE206*$B$3</f>
        <v>30</v>
      </c>
      <c r="AF388" s="183">
        <f t="shared" ref="AF388:AF451" si="219">AF206*$B$4</f>
        <v>27</v>
      </c>
      <c r="AG388" s="84">
        <f t="shared" si="184"/>
        <v>0.39750000000000002</v>
      </c>
      <c r="AH388" s="244">
        <f t="shared" ref="AH388:AH451" si="220">AH206*$B$6</f>
        <v>0.159</v>
      </c>
      <c r="AI388" s="76">
        <f t="shared" ref="AI388:AI451" si="221">AI206*$B$7</f>
        <v>1.5600000000000002E-3</v>
      </c>
      <c r="AJ388" s="181">
        <f t="shared" ref="AJ388:AJ451" si="222">(AG388+AH388)*(AJ206/100)</f>
        <v>5.5650000000000005E-2</v>
      </c>
      <c r="AK388" s="182">
        <f t="shared" ref="AK388:AK451" si="223">AK206*$B$9</f>
        <v>2.3077257367928001</v>
      </c>
      <c r="AM388" s="201">
        <f t="shared" si="189"/>
        <v>2.3649357367928001</v>
      </c>
      <c r="AN388" s="202">
        <f t="shared" si="215"/>
        <v>2.2960541133910679</v>
      </c>
      <c r="AO388" s="202">
        <f t="shared" si="215"/>
        <v>2.2291787508651146</v>
      </c>
      <c r="AP388" s="202">
        <f t="shared" ref="AP388:AY397" si="224">$AM388/POWER(1+($B$10/100),AP$366-2024)</f>
        <v>2.16425121443215</v>
      </c>
      <c r="AQ388" s="202">
        <f t="shared" si="224"/>
        <v>2.1012147712933498</v>
      </c>
      <c r="AR388" s="202">
        <f t="shared" si="224"/>
        <v>2.0400143410615046</v>
      </c>
      <c r="AS388" s="202">
        <f t="shared" si="224"/>
        <v>1.9805964476325288</v>
      </c>
      <c r="AT388" s="202">
        <f t="shared" si="224"/>
        <v>1.9229091724587657</v>
      </c>
      <c r="AU388" s="202">
        <f t="shared" si="224"/>
        <v>1.8669021091832678</v>
      </c>
      <c r="AV388" s="202">
        <f t="shared" si="224"/>
        <v>1.8125263195954056</v>
      </c>
      <c r="AW388" s="202">
        <f t="shared" si="224"/>
        <v>1.7597342908693259</v>
      </c>
      <c r="AX388" s="202">
        <f t="shared" si="224"/>
        <v>1.7084798940478891</v>
      </c>
      <c r="AY388" s="202">
        <f t="shared" si="224"/>
        <v>1.6587183437358151</v>
      </c>
      <c r="AZ388" s="202">
        <f t="shared" ref="AZ388:BF397" si="225">$AM388/POWER(1+($B$10/100),AZ$366-2024)</f>
        <v>1.6104061589668108</v>
      </c>
      <c r="BA388" s="202">
        <f t="shared" si="225"/>
        <v>1.5635011252104958</v>
      </c>
      <c r="BB388" s="202">
        <f t="shared" si="225"/>
        <v>1.517962257485918</v>
      </c>
      <c r="BC388" s="202">
        <f t="shared" si="225"/>
        <v>1.4737497645494353</v>
      </c>
      <c r="BD388" s="202">
        <f t="shared" si="225"/>
        <v>1.4308250141256653</v>
      </c>
      <c r="BE388" s="202">
        <f t="shared" si="225"/>
        <v>1.3891504991511314</v>
      </c>
      <c r="BF388" s="202">
        <f t="shared" si="225"/>
        <v>1.3486898050010985</v>
      </c>
      <c r="BG388" s="203">
        <f t="shared" si="191"/>
        <v>36.239800129849542</v>
      </c>
    </row>
    <row r="389" spans="27:59">
      <c r="AA389" s="180">
        <f t="shared" si="196"/>
        <v>462000000</v>
      </c>
      <c r="AB389" s="41">
        <f t="shared" si="217"/>
        <v>550</v>
      </c>
      <c r="AC389" s="21">
        <v>22</v>
      </c>
      <c r="AD389" s="21" t="s">
        <v>283</v>
      </c>
      <c r="AE389" s="175">
        <f t="shared" si="218"/>
        <v>30</v>
      </c>
      <c r="AF389" s="183">
        <f t="shared" si="219"/>
        <v>27</v>
      </c>
      <c r="AG389" s="84">
        <f t="shared" ref="AG389:AG451" si="226">AG207*$B$5</f>
        <v>0.39750000000000002</v>
      </c>
      <c r="AH389" s="244">
        <f t="shared" si="220"/>
        <v>0.159</v>
      </c>
      <c r="AI389" s="76">
        <f t="shared" si="221"/>
        <v>1.5600000000000002E-3</v>
      </c>
      <c r="AJ389" s="181">
        <f t="shared" si="222"/>
        <v>5.5650000000000005E-2</v>
      </c>
      <c r="AK389" s="182">
        <f t="shared" si="223"/>
        <v>2.3077257367928001</v>
      </c>
      <c r="AM389" s="201">
        <f t="shared" si="189"/>
        <v>2.3649357367928001</v>
      </c>
      <c r="AN389" s="202">
        <f t="shared" si="215"/>
        <v>2.2960541133910679</v>
      </c>
      <c r="AO389" s="202">
        <f t="shared" si="215"/>
        <v>2.2291787508651146</v>
      </c>
      <c r="AP389" s="202">
        <f t="shared" si="224"/>
        <v>2.16425121443215</v>
      </c>
      <c r="AQ389" s="202">
        <f t="shared" si="224"/>
        <v>2.1012147712933498</v>
      </c>
      <c r="AR389" s="202">
        <f t="shared" si="224"/>
        <v>2.0400143410615046</v>
      </c>
      <c r="AS389" s="202">
        <f t="shared" si="224"/>
        <v>1.9805964476325288</v>
      </c>
      <c r="AT389" s="202">
        <f t="shared" si="224"/>
        <v>1.9229091724587657</v>
      </c>
      <c r="AU389" s="202">
        <f t="shared" si="224"/>
        <v>1.8669021091832678</v>
      </c>
      <c r="AV389" s="202">
        <f t="shared" si="224"/>
        <v>1.8125263195954056</v>
      </c>
      <c r="AW389" s="202">
        <f t="shared" si="224"/>
        <v>1.7597342908693259</v>
      </c>
      <c r="AX389" s="202">
        <f t="shared" si="224"/>
        <v>1.7084798940478891</v>
      </c>
      <c r="AY389" s="202">
        <f t="shared" si="224"/>
        <v>1.6587183437358151</v>
      </c>
      <c r="AZ389" s="202">
        <f t="shared" si="225"/>
        <v>1.6104061589668108</v>
      </c>
      <c r="BA389" s="202">
        <f t="shared" si="225"/>
        <v>1.5635011252104958</v>
      </c>
      <c r="BB389" s="202">
        <f t="shared" si="225"/>
        <v>1.517962257485918</v>
      </c>
      <c r="BC389" s="202">
        <f t="shared" si="225"/>
        <v>1.4737497645494353</v>
      </c>
      <c r="BD389" s="202">
        <f t="shared" si="225"/>
        <v>1.4308250141256653</v>
      </c>
      <c r="BE389" s="202">
        <f t="shared" si="225"/>
        <v>1.3891504991511314</v>
      </c>
      <c r="BF389" s="202">
        <f t="shared" si="225"/>
        <v>1.3486898050010985</v>
      </c>
      <c r="BG389" s="203">
        <f t="shared" si="191"/>
        <v>36.239800129849542</v>
      </c>
    </row>
    <row r="390" spans="27:59">
      <c r="AA390" s="180">
        <f t="shared" si="196"/>
        <v>483000000</v>
      </c>
      <c r="AB390" s="41">
        <f t="shared" si="217"/>
        <v>575</v>
      </c>
      <c r="AC390" s="21">
        <v>23</v>
      </c>
      <c r="AD390" s="21" t="s">
        <v>283</v>
      </c>
      <c r="AE390" s="175">
        <f t="shared" si="218"/>
        <v>30</v>
      </c>
      <c r="AF390" s="183">
        <f t="shared" si="219"/>
        <v>27</v>
      </c>
      <c r="AG390" s="84">
        <f t="shared" si="226"/>
        <v>0.39750000000000002</v>
      </c>
      <c r="AH390" s="244">
        <f t="shared" si="220"/>
        <v>0.159</v>
      </c>
      <c r="AI390" s="76">
        <f t="shared" si="221"/>
        <v>1.5600000000000002E-3</v>
      </c>
      <c r="AJ390" s="181">
        <f t="shared" si="222"/>
        <v>5.5650000000000005E-2</v>
      </c>
      <c r="AK390" s="182">
        <f t="shared" si="223"/>
        <v>2.3077257367928001</v>
      </c>
      <c r="AM390" s="201">
        <f t="shared" si="189"/>
        <v>2.3649357367928001</v>
      </c>
      <c r="AN390" s="202">
        <f t="shared" si="215"/>
        <v>2.2960541133910679</v>
      </c>
      <c r="AO390" s="202">
        <f t="shared" si="215"/>
        <v>2.2291787508651146</v>
      </c>
      <c r="AP390" s="202">
        <f t="shared" si="224"/>
        <v>2.16425121443215</v>
      </c>
      <c r="AQ390" s="202">
        <f t="shared" si="224"/>
        <v>2.1012147712933498</v>
      </c>
      <c r="AR390" s="202">
        <f t="shared" si="224"/>
        <v>2.0400143410615046</v>
      </c>
      <c r="AS390" s="202">
        <f t="shared" si="224"/>
        <v>1.9805964476325288</v>
      </c>
      <c r="AT390" s="202">
        <f t="shared" si="224"/>
        <v>1.9229091724587657</v>
      </c>
      <c r="AU390" s="202">
        <f t="shared" si="224"/>
        <v>1.8669021091832678</v>
      </c>
      <c r="AV390" s="202">
        <f t="shared" si="224"/>
        <v>1.8125263195954056</v>
      </c>
      <c r="AW390" s="202">
        <f t="shared" si="224"/>
        <v>1.7597342908693259</v>
      </c>
      <c r="AX390" s="202">
        <f t="shared" si="224"/>
        <v>1.7084798940478891</v>
      </c>
      <c r="AY390" s="202">
        <f t="shared" si="224"/>
        <v>1.6587183437358151</v>
      </c>
      <c r="AZ390" s="202">
        <f t="shared" si="225"/>
        <v>1.6104061589668108</v>
      </c>
      <c r="BA390" s="202">
        <f t="shared" si="225"/>
        <v>1.5635011252104958</v>
      </c>
      <c r="BB390" s="202">
        <f t="shared" si="225"/>
        <v>1.517962257485918</v>
      </c>
      <c r="BC390" s="202">
        <f t="shared" si="225"/>
        <v>1.4737497645494353</v>
      </c>
      <c r="BD390" s="202">
        <f t="shared" si="225"/>
        <v>1.4308250141256653</v>
      </c>
      <c r="BE390" s="202">
        <f t="shared" si="225"/>
        <v>1.3891504991511314</v>
      </c>
      <c r="BF390" s="202">
        <f t="shared" si="225"/>
        <v>1.3486898050010985</v>
      </c>
      <c r="BG390" s="203">
        <f t="shared" si="191"/>
        <v>36.239800129849542</v>
      </c>
    </row>
    <row r="391" spans="27:59">
      <c r="AA391" s="180">
        <f t="shared" si="196"/>
        <v>504000000</v>
      </c>
      <c r="AB391" s="41">
        <f t="shared" si="217"/>
        <v>600</v>
      </c>
      <c r="AC391" s="21">
        <v>24</v>
      </c>
      <c r="AD391" s="21" t="s">
        <v>283</v>
      </c>
      <c r="AE391" s="175">
        <f t="shared" si="218"/>
        <v>30</v>
      </c>
      <c r="AF391" s="183">
        <f t="shared" si="219"/>
        <v>27</v>
      </c>
      <c r="AG391" s="84">
        <f t="shared" si="226"/>
        <v>0.39750000000000002</v>
      </c>
      <c r="AH391" s="244">
        <f t="shared" si="220"/>
        <v>0.159</v>
      </c>
      <c r="AI391" s="76">
        <f t="shared" si="221"/>
        <v>1.5600000000000002E-3</v>
      </c>
      <c r="AJ391" s="181">
        <f t="shared" si="222"/>
        <v>5.5650000000000005E-2</v>
      </c>
      <c r="AK391" s="182">
        <f t="shared" si="223"/>
        <v>2.3077257367928001</v>
      </c>
      <c r="AM391" s="201">
        <f t="shared" si="189"/>
        <v>2.3649357367928001</v>
      </c>
      <c r="AN391" s="202">
        <f t="shared" si="215"/>
        <v>2.2960541133910679</v>
      </c>
      <c r="AO391" s="202">
        <f t="shared" si="215"/>
        <v>2.2291787508651146</v>
      </c>
      <c r="AP391" s="202">
        <f t="shared" si="224"/>
        <v>2.16425121443215</v>
      </c>
      <c r="AQ391" s="202">
        <f t="shared" si="224"/>
        <v>2.1012147712933498</v>
      </c>
      <c r="AR391" s="202">
        <f t="shared" si="224"/>
        <v>2.0400143410615046</v>
      </c>
      <c r="AS391" s="202">
        <f t="shared" si="224"/>
        <v>1.9805964476325288</v>
      </c>
      <c r="AT391" s="202">
        <f t="shared" si="224"/>
        <v>1.9229091724587657</v>
      </c>
      <c r="AU391" s="202">
        <f t="shared" si="224"/>
        <v>1.8669021091832678</v>
      </c>
      <c r="AV391" s="202">
        <f t="shared" si="224"/>
        <v>1.8125263195954056</v>
      </c>
      <c r="AW391" s="202">
        <f t="shared" si="224"/>
        <v>1.7597342908693259</v>
      </c>
      <c r="AX391" s="202">
        <f t="shared" si="224"/>
        <v>1.7084798940478891</v>
      </c>
      <c r="AY391" s="202">
        <f t="shared" si="224"/>
        <v>1.6587183437358151</v>
      </c>
      <c r="AZ391" s="202">
        <f t="shared" si="225"/>
        <v>1.6104061589668108</v>
      </c>
      <c r="BA391" s="202">
        <f t="shared" si="225"/>
        <v>1.5635011252104958</v>
      </c>
      <c r="BB391" s="202">
        <f t="shared" si="225"/>
        <v>1.517962257485918</v>
      </c>
      <c r="BC391" s="202">
        <f t="shared" si="225"/>
        <v>1.4737497645494353</v>
      </c>
      <c r="BD391" s="202">
        <f t="shared" si="225"/>
        <v>1.4308250141256653</v>
      </c>
      <c r="BE391" s="202">
        <f t="shared" si="225"/>
        <v>1.3891504991511314</v>
      </c>
      <c r="BF391" s="202">
        <f t="shared" si="225"/>
        <v>1.3486898050010985</v>
      </c>
      <c r="BG391" s="203">
        <f t="shared" si="191"/>
        <v>36.239800129849542</v>
      </c>
    </row>
    <row r="392" spans="27:59">
      <c r="AA392" s="180">
        <f t="shared" si="196"/>
        <v>525000000</v>
      </c>
      <c r="AB392" s="41">
        <f t="shared" si="217"/>
        <v>625</v>
      </c>
      <c r="AC392" s="21">
        <v>25</v>
      </c>
      <c r="AD392" s="21" t="s">
        <v>283</v>
      </c>
      <c r="AE392" s="175">
        <f t="shared" si="218"/>
        <v>30</v>
      </c>
      <c r="AF392" s="183">
        <f t="shared" si="219"/>
        <v>27</v>
      </c>
      <c r="AG392" s="84">
        <f t="shared" si="226"/>
        <v>0.39750000000000002</v>
      </c>
      <c r="AH392" s="244">
        <f t="shared" si="220"/>
        <v>0.159</v>
      </c>
      <c r="AI392" s="76">
        <f t="shared" si="221"/>
        <v>1.5600000000000002E-3</v>
      </c>
      <c r="AJ392" s="181">
        <f t="shared" si="222"/>
        <v>5.5650000000000005E-2</v>
      </c>
      <c r="AK392" s="182">
        <f t="shared" si="223"/>
        <v>2.3077257367928001</v>
      </c>
      <c r="AM392" s="201">
        <f t="shared" si="189"/>
        <v>2.3649357367928001</v>
      </c>
      <c r="AN392" s="202">
        <f t="shared" si="215"/>
        <v>2.2960541133910679</v>
      </c>
      <c r="AO392" s="202">
        <f t="shared" si="215"/>
        <v>2.2291787508651146</v>
      </c>
      <c r="AP392" s="202">
        <f t="shared" si="224"/>
        <v>2.16425121443215</v>
      </c>
      <c r="AQ392" s="202">
        <f t="shared" si="224"/>
        <v>2.1012147712933498</v>
      </c>
      <c r="AR392" s="202">
        <f t="shared" si="224"/>
        <v>2.0400143410615046</v>
      </c>
      <c r="AS392" s="202">
        <f t="shared" si="224"/>
        <v>1.9805964476325288</v>
      </c>
      <c r="AT392" s="202">
        <f t="shared" si="224"/>
        <v>1.9229091724587657</v>
      </c>
      <c r="AU392" s="202">
        <f t="shared" si="224"/>
        <v>1.8669021091832678</v>
      </c>
      <c r="AV392" s="202">
        <f t="shared" si="224"/>
        <v>1.8125263195954056</v>
      </c>
      <c r="AW392" s="202">
        <f t="shared" si="224"/>
        <v>1.7597342908693259</v>
      </c>
      <c r="AX392" s="202">
        <f t="shared" si="224"/>
        <v>1.7084798940478891</v>
      </c>
      <c r="AY392" s="202">
        <f t="shared" si="224"/>
        <v>1.6587183437358151</v>
      </c>
      <c r="AZ392" s="202">
        <f t="shared" si="225"/>
        <v>1.6104061589668108</v>
      </c>
      <c r="BA392" s="202">
        <f t="shared" si="225"/>
        <v>1.5635011252104958</v>
      </c>
      <c r="BB392" s="202">
        <f t="shared" si="225"/>
        <v>1.517962257485918</v>
      </c>
      <c r="BC392" s="202">
        <f t="shared" si="225"/>
        <v>1.4737497645494353</v>
      </c>
      <c r="BD392" s="202">
        <f t="shared" si="225"/>
        <v>1.4308250141256653</v>
      </c>
      <c r="BE392" s="202">
        <f t="shared" si="225"/>
        <v>1.3891504991511314</v>
      </c>
      <c r="BF392" s="202">
        <f t="shared" si="225"/>
        <v>1.3486898050010985</v>
      </c>
      <c r="BG392" s="203">
        <f t="shared" si="191"/>
        <v>36.239800129849542</v>
      </c>
    </row>
    <row r="393" spans="27:59">
      <c r="AA393" s="180">
        <f t="shared" si="196"/>
        <v>546000000</v>
      </c>
      <c r="AB393" s="41">
        <f t="shared" si="217"/>
        <v>650</v>
      </c>
      <c r="AC393" s="21">
        <v>26</v>
      </c>
      <c r="AD393" s="21" t="s">
        <v>283</v>
      </c>
      <c r="AE393" s="175">
        <f t="shared" si="218"/>
        <v>30</v>
      </c>
      <c r="AF393" s="183">
        <f t="shared" si="219"/>
        <v>27</v>
      </c>
      <c r="AG393" s="84">
        <f t="shared" si="226"/>
        <v>0.39750000000000002</v>
      </c>
      <c r="AH393" s="244">
        <f t="shared" si="220"/>
        <v>0.159</v>
      </c>
      <c r="AI393" s="76">
        <f t="shared" si="221"/>
        <v>1.5600000000000002E-3</v>
      </c>
      <c r="AJ393" s="181">
        <f t="shared" si="222"/>
        <v>5.5650000000000005E-2</v>
      </c>
      <c r="AK393" s="182">
        <f t="shared" si="223"/>
        <v>2.3077257367928001</v>
      </c>
      <c r="AM393" s="201">
        <f t="shared" si="189"/>
        <v>2.3649357367928001</v>
      </c>
      <c r="AN393" s="202">
        <f t="shared" si="215"/>
        <v>2.2960541133910679</v>
      </c>
      <c r="AO393" s="202">
        <f t="shared" si="215"/>
        <v>2.2291787508651146</v>
      </c>
      <c r="AP393" s="202">
        <f t="shared" si="224"/>
        <v>2.16425121443215</v>
      </c>
      <c r="AQ393" s="202">
        <f t="shared" si="224"/>
        <v>2.1012147712933498</v>
      </c>
      <c r="AR393" s="202">
        <f t="shared" si="224"/>
        <v>2.0400143410615046</v>
      </c>
      <c r="AS393" s="202">
        <f t="shared" si="224"/>
        <v>1.9805964476325288</v>
      </c>
      <c r="AT393" s="202">
        <f t="shared" si="224"/>
        <v>1.9229091724587657</v>
      </c>
      <c r="AU393" s="202">
        <f t="shared" si="224"/>
        <v>1.8669021091832678</v>
      </c>
      <c r="AV393" s="202">
        <f t="shared" si="224"/>
        <v>1.8125263195954056</v>
      </c>
      <c r="AW393" s="202">
        <f t="shared" si="224"/>
        <v>1.7597342908693259</v>
      </c>
      <c r="AX393" s="202">
        <f t="shared" si="224"/>
        <v>1.7084798940478891</v>
      </c>
      <c r="AY393" s="202">
        <f t="shared" si="224"/>
        <v>1.6587183437358151</v>
      </c>
      <c r="AZ393" s="202">
        <f t="shared" si="225"/>
        <v>1.6104061589668108</v>
      </c>
      <c r="BA393" s="202">
        <f t="shared" si="225"/>
        <v>1.5635011252104958</v>
      </c>
      <c r="BB393" s="202">
        <f t="shared" si="225"/>
        <v>1.517962257485918</v>
      </c>
      <c r="BC393" s="202">
        <f t="shared" si="225"/>
        <v>1.4737497645494353</v>
      </c>
      <c r="BD393" s="202">
        <f t="shared" si="225"/>
        <v>1.4308250141256653</v>
      </c>
      <c r="BE393" s="202">
        <f t="shared" si="225"/>
        <v>1.3891504991511314</v>
      </c>
      <c r="BF393" s="202">
        <f t="shared" si="225"/>
        <v>1.3486898050010985</v>
      </c>
      <c r="BG393" s="203">
        <f t="shared" si="191"/>
        <v>36.239800129849542</v>
      </c>
    </row>
    <row r="394" spans="27:59">
      <c r="AA394" s="180">
        <f t="shared" si="196"/>
        <v>567000000</v>
      </c>
      <c r="AB394" s="41">
        <f t="shared" si="217"/>
        <v>675</v>
      </c>
      <c r="AC394" s="21">
        <v>27</v>
      </c>
      <c r="AD394" s="21" t="s">
        <v>283</v>
      </c>
      <c r="AE394" s="175">
        <f t="shared" si="218"/>
        <v>30</v>
      </c>
      <c r="AF394" s="183">
        <f t="shared" si="219"/>
        <v>27</v>
      </c>
      <c r="AG394" s="84">
        <f t="shared" si="226"/>
        <v>0.39750000000000002</v>
      </c>
      <c r="AH394" s="244">
        <f t="shared" si="220"/>
        <v>0.159</v>
      </c>
      <c r="AI394" s="76">
        <f t="shared" si="221"/>
        <v>1.5600000000000002E-3</v>
      </c>
      <c r="AJ394" s="181">
        <f t="shared" si="222"/>
        <v>5.5650000000000005E-2</v>
      </c>
      <c r="AK394" s="182">
        <f t="shared" si="223"/>
        <v>2.3077257367928001</v>
      </c>
      <c r="AM394" s="201">
        <f t="shared" si="189"/>
        <v>2.3649357367928001</v>
      </c>
      <c r="AN394" s="202">
        <f t="shared" si="215"/>
        <v>2.2960541133910679</v>
      </c>
      <c r="AO394" s="202">
        <f t="shared" si="215"/>
        <v>2.2291787508651146</v>
      </c>
      <c r="AP394" s="202">
        <f t="shared" si="224"/>
        <v>2.16425121443215</v>
      </c>
      <c r="AQ394" s="202">
        <f t="shared" si="224"/>
        <v>2.1012147712933498</v>
      </c>
      <c r="AR394" s="202">
        <f t="shared" si="224"/>
        <v>2.0400143410615046</v>
      </c>
      <c r="AS394" s="202">
        <f t="shared" si="224"/>
        <v>1.9805964476325288</v>
      </c>
      <c r="AT394" s="202">
        <f t="shared" si="224"/>
        <v>1.9229091724587657</v>
      </c>
      <c r="AU394" s="202">
        <f t="shared" si="224"/>
        <v>1.8669021091832678</v>
      </c>
      <c r="AV394" s="202">
        <f t="shared" si="224"/>
        <v>1.8125263195954056</v>
      </c>
      <c r="AW394" s="202">
        <f t="shared" si="224"/>
        <v>1.7597342908693259</v>
      </c>
      <c r="AX394" s="202">
        <f t="shared" si="224"/>
        <v>1.7084798940478891</v>
      </c>
      <c r="AY394" s="202">
        <f t="shared" si="224"/>
        <v>1.6587183437358151</v>
      </c>
      <c r="AZ394" s="202">
        <f t="shared" si="225"/>
        <v>1.6104061589668108</v>
      </c>
      <c r="BA394" s="202">
        <f t="shared" si="225"/>
        <v>1.5635011252104958</v>
      </c>
      <c r="BB394" s="202">
        <f t="shared" si="225"/>
        <v>1.517962257485918</v>
      </c>
      <c r="BC394" s="202">
        <f t="shared" si="225"/>
        <v>1.4737497645494353</v>
      </c>
      <c r="BD394" s="202">
        <f t="shared" si="225"/>
        <v>1.4308250141256653</v>
      </c>
      <c r="BE394" s="202">
        <f t="shared" si="225"/>
        <v>1.3891504991511314</v>
      </c>
      <c r="BF394" s="202">
        <f t="shared" si="225"/>
        <v>1.3486898050010985</v>
      </c>
      <c r="BG394" s="203">
        <f t="shared" si="191"/>
        <v>36.239800129849542</v>
      </c>
    </row>
    <row r="395" spans="27:59">
      <c r="AA395" s="180">
        <f t="shared" si="196"/>
        <v>588000000</v>
      </c>
      <c r="AB395" s="41">
        <f t="shared" si="217"/>
        <v>700</v>
      </c>
      <c r="AC395" s="21">
        <v>28</v>
      </c>
      <c r="AD395" s="21" t="s">
        <v>283</v>
      </c>
      <c r="AE395" s="175">
        <f t="shared" si="218"/>
        <v>30</v>
      </c>
      <c r="AF395" s="183">
        <f t="shared" si="219"/>
        <v>27</v>
      </c>
      <c r="AG395" s="84">
        <f t="shared" si="226"/>
        <v>0.39750000000000002</v>
      </c>
      <c r="AH395" s="244">
        <f t="shared" si="220"/>
        <v>0.159</v>
      </c>
      <c r="AI395" s="76">
        <f t="shared" si="221"/>
        <v>1.5600000000000002E-3</v>
      </c>
      <c r="AJ395" s="181">
        <f t="shared" si="222"/>
        <v>5.5650000000000005E-2</v>
      </c>
      <c r="AK395" s="182">
        <f t="shared" si="223"/>
        <v>2.3077257367928001</v>
      </c>
      <c r="AM395" s="201">
        <f t="shared" si="189"/>
        <v>2.3649357367928001</v>
      </c>
      <c r="AN395" s="202">
        <f t="shared" si="215"/>
        <v>2.2960541133910679</v>
      </c>
      <c r="AO395" s="202">
        <f t="shared" si="215"/>
        <v>2.2291787508651146</v>
      </c>
      <c r="AP395" s="202">
        <f t="shared" si="224"/>
        <v>2.16425121443215</v>
      </c>
      <c r="AQ395" s="202">
        <f t="shared" si="224"/>
        <v>2.1012147712933498</v>
      </c>
      <c r="AR395" s="202">
        <f t="shared" si="224"/>
        <v>2.0400143410615046</v>
      </c>
      <c r="AS395" s="202">
        <f t="shared" si="224"/>
        <v>1.9805964476325288</v>
      </c>
      <c r="AT395" s="202">
        <f t="shared" si="224"/>
        <v>1.9229091724587657</v>
      </c>
      <c r="AU395" s="202">
        <f t="shared" si="224"/>
        <v>1.8669021091832678</v>
      </c>
      <c r="AV395" s="202">
        <f t="shared" si="224"/>
        <v>1.8125263195954056</v>
      </c>
      <c r="AW395" s="202">
        <f t="shared" si="224"/>
        <v>1.7597342908693259</v>
      </c>
      <c r="AX395" s="202">
        <f t="shared" si="224"/>
        <v>1.7084798940478891</v>
      </c>
      <c r="AY395" s="202">
        <f t="shared" si="224"/>
        <v>1.6587183437358151</v>
      </c>
      <c r="AZ395" s="202">
        <f t="shared" si="225"/>
        <v>1.6104061589668108</v>
      </c>
      <c r="BA395" s="202">
        <f t="shared" si="225"/>
        <v>1.5635011252104958</v>
      </c>
      <c r="BB395" s="202">
        <f t="shared" si="225"/>
        <v>1.517962257485918</v>
      </c>
      <c r="BC395" s="202">
        <f t="shared" si="225"/>
        <v>1.4737497645494353</v>
      </c>
      <c r="BD395" s="202">
        <f t="shared" si="225"/>
        <v>1.4308250141256653</v>
      </c>
      <c r="BE395" s="202">
        <f t="shared" si="225"/>
        <v>1.3891504991511314</v>
      </c>
      <c r="BF395" s="202">
        <f t="shared" si="225"/>
        <v>1.3486898050010985</v>
      </c>
      <c r="BG395" s="203">
        <f t="shared" si="191"/>
        <v>36.239800129849542</v>
      </c>
    </row>
    <row r="396" spans="27:59">
      <c r="AA396" s="180">
        <f t="shared" si="196"/>
        <v>609000000</v>
      </c>
      <c r="AB396" s="41">
        <f t="shared" si="217"/>
        <v>725</v>
      </c>
      <c r="AC396" s="21">
        <v>29</v>
      </c>
      <c r="AD396" s="21" t="s">
        <v>283</v>
      </c>
      <c r="AE396" s="175">
        <f t="shared" si="218"/>
        <v>30</v>
      </c>
      <c r="AF396" s="183">
        <f t="shared" si="219"/>
        <v>27</v>
      </c>
      <c r="AG396" s="84">
        <f t="shared" si="226"/>
        <v>0.39750000000000002</v>
      </c>
      <c r="AH396" s="244">
        <f t="shared" si="220"/>
        <v>0.159</v>
      </c>
      <c r="AI396" s="76">
        <f t="shared" si="221"/>
        <v>1.5600000000000002E-3</v>
      </c>
      <c r="AJ396" s="181">
        <f t="shared" si="222"/>
        <v>5.5650000000000005E-2</v>
      </c>
      <c r="AK396" s="182">
        <f t="shared" si="223"/>
        <v>2.3077257367928001</v>
      </c>
      <c r="AM396" s="201">
        <f t="shared" si="189"/>
        <v>2.3649357367928001</v>
      </c>
      <c r="AN396" s="202">
        <f t="shared" si="215"/>
        <v>2.2960541133910679</v>
      </c>
      <c r="AO396" s="202">
        <f t="shared" si="215"/>
        <v>2.2291787508651146</v>
      </c>
      <c r="AP396" s="202">
        <f t="shared" si="224"/>
        <v>2.16425121443215</v>
      </c>
      <c r="AQ396" s="202">
        <f t="shared" si="224"/>
        <v>2.1012147712933498</v>
      </c>
      <c r="AR396" s="202">
        <f t="shared" si="224"/>
        <v>2.0400143410615046</v>
      </c>
      <c r="AS396" s="202">
        <f t="shared" si="224"/>
        <v>1.9805964476325288</v>
      </c>
      <c r="AT396" s="202">
        <f t="shared" si="224"/>
        <v>1.9229091724587657</v>
      </c>
      <c r="AU396" s="202">
        <f t="shared" si="224"/>
        <v>1.8669021091832678</v>
      </c>
      <c r="AV396" s="202">
        <f t="shared" si="224"/>
        <v>1.8125263195954056</v>
      </c>
      <c r="AW396" s="202">
        <f t="shared" si="224"/>
        <v>1.7597342908693259</v>
      </c>
      <c r="AX396" s="202">
        <f t="shared" si="224"/>
        <v>1.7084798940478891</v>
      </c>
      <c r="AY396" s="202">
        <f t="shared" si="224"/>
        <v>1.6587183437358151</v>
      </c>
      <c r="AZ396" s="202">
        <f t="shared" si="225"/>
        <v>1.6104061589668108</v>
      </c>
      <c r="BA396" s="202">
        <f t="shared" si="225"/>
        <v>1.5635011252104958</v>
      </c>
      <c r="BB396" s="202">
        <f t="shared" si="225"/>
        <v>1.517962257485918</v>
      </c>
      <c r="BC396" s="202">
        <f t="shared" si="225"/>
        <v>1.4737497645494353</v>
      </c>
      <c r="BD396" s="202">
        <f t="shared" si="225"/>
        <v>1.4308250141256653</v>
      </c>
      <c r="BE396" s="202">
        <f t="shared" si="225"/>
        <v>1.3891504991511314</v>
      </c>
      <c r="BF396" s="202">
        <f t="shared" si="225"/>
        <v>1.3486898050010985</v>
      </c>
      <c r="BG396" s="203">
        <f t="shared" si="191"/>
        <v>36.239800129849542</v>
      </c>
    </row>
    <row r="397" spans="27:59">
      <c r="AA397" s="180">
        <f t="shared" si="196"/>
        <v>630000000</v>
      </c>
      <c r="AB397" s="41">
        <f t="shared" si="217"/>
        <v>750</v>
      </c>
      <c r="AC397" s="21">
        <v>30</v>
      </c>
      <c r="AD397" s="21" t="s">
        <v>283</v>
      </c>
      <c r="AE397" s="175">
        <f t="shared" si="218"/>
        <v>30</v>
      </c>
      <c r="AF397" s="183">
        <f t="shared" si="219"/>
        <v>27</v>
      </c>
      <c r="AG397" s="84">
        <f t="shared" si="226"/>
        <v>0.39750000000000002</v>
      </c>
      <c r="AH397" s="244">
        <f t="shared" si="220"/>
        <v>0.159</v>
      </c>
      <c r="AI397" s="76">
        <f t="shared" si="221"/>
        <v>1.5600000000000002E-3</v>
      </c>
      <c r="AJ397" s="181">
        <f t="shared" si="222"/>
        <v>5.5650000000000005E-2</v>
      </c>
      <c r="AK397" s="182">
        <f t="shared" si="223"/>
        <v>2.3077257367928001</v>
      </c>
      <c r="AM397" s="201">
        <f t="shared" si="189"/>
        <v>2.3649357367928001</v>
      </c>
      <c r="AN397" s="202">
        <f t="shared" si="215"/>
        <v>2.2960541133910679</v>
      </c>
      <c r="AO397" s="202">
        <f t="shared" si="215"/>
        <v>2.2291787508651146</v>
      </c>
      <c r="AP397" s="202">
        <f t="shared" si="224"/>
        <v>2.16425121443215</v>
      </c>
      <c r="AQ397" s="202">
        <f t="shared" si="224"/>
        <v>2.1012147712933498</v>
      </c>
      <c r="AR397" s="202">
        <f t="shared" si="224"/>
        <v>2.0400143410615046</v>
      </c>
      <c r="AS397" s="202">
        <f t="shared" si="224"/>
        <v>1.9805964476325288</v>
      </c>
      <c r="AT397" s="202">
        <f t="shared" si="224"/>
        <v>1.9229091724587657</v>
      </c>
      <c r="AU397" s="202">
        <f t="shared" si="224"/>
        <v>1.8669021091832678</v>
      </c>
      <c r="AV397" s="202">
        <f t="shared" si="224"/>
        <v>1.8125263195954056</v>
      </c>
      <c r="AW397" s="202">
        <f t="shared" si="224"/>
        <v>1.7597342908693259</v>
      </c>
      <c r="AX397" s="202">
        <f t="shared" si="224"/>
        <v>1.7084798940478891</v>
      </c>
      <c r="AY397" s="202">
        <f t="shared" si="224"/>
        <v>1.6587183437358151</v>
      </c>
      <c r="AZ397" s="202">
        <f t="shared" si="225"/>
        <v>1.6104061589668108</v>
      </c>
      <c r="BA397" s="202">
        <f t="shared" si="225"/>
        <v>1.5635011252104958</v>
      </c>
      <c r="BB397" s="202">
        <f t="shared" si="225"/>
        <v>1.517962257485918</v>
      </c>
      <c r="BC397" s="202">
        <f t="shared" si="225"/>
        <v>1.4737497645494353</v>
      </c>
      <c r="BD397" s="202">
        <f t="shared" si="225"/>
        <v>1.4308250141256653</v>
      </c>
      <c r="BE397" s="202">
        <f t="shared" si="225"/>
        <v>1.3891504991511314</v>
      </c>
      <c r="BF397" s="202">
        <f t="shared" si="225"/>
        <v>1.3486898050010985</v>
      </c>
      <c r="BG397" s="203">
        <f t="shared" si="191"/>
        <v>36.239800129849542</v>
      </c>
    </row>
    <row r="398" spans="27:59">
      <c r="AA398" s="180">
        <f t="shared" si="196"/>
        <v>651000000</v>
      </c>
      <c r="AB398" s="41">
        <f t="shared" si="217"/>
        <v>775</v>
      </c>
      <c r="AC398" s="21">
        <v>31</v>
      </c>
      <c r="AD398" s="21" t="s">
        <v>283</v>
      </c>
      <c r="AE398" s="175">
        <f t="shared" si="218"/>
        <v>30</v>
      </c>
      <c r="AF398" s="183">
        <f t="shared" si="219"/>
        <v>27</v>
      </c>
      <c r="AG398" s="84">
        <f t="shared" si="226"/>
        <v>0.39750000000000002</v>
      </c>
      <c r="AH398" s="244">
        <f t="shared" si="220"/>
        <v>0.159</v>
      </c>
      <c r="AI398" s="76">
        <f t="shared" si="221"/>
        <v>1.5600000000000002E-3</v>
      </c>
      <c r="AJ398" s="181">
        <f t="shared" si="222"/>
        <v>5.5650000000000005E-2</v>
      </c>
      <c r="AK398" s="182">
        <f t="shared" si="223"/>
        <v>2.3077257367928001</v>
      </c>
      <c r="AM398" s="201">
        <f t="shared" si="189"/>
        <v>2.3649357367928001</v>
      </c>
      <c r="AN398" s="202">
        <f t="shared" si="215"/>
        <v>2.2960541133910679</v>
      </c>
      <c r="AO398" s="202">
        <f t="shared" si="215"/>
        <v>2.2291787508651146</v>
      </c>
      <c r="AP398" s="202">
        <f t="shared" ref="AP398:AY407" si="227">$AM398/POWER(1+($B$10/100),AP$366-2024)</f>
        <v>2.16425121443215</v>
      </c>
      <c r="AQ398" s="202">
        <f t="shared" si="227"/>
        <v>2.1012147712933498</v>
      </c>
      <c r="AR398" s="202">
        <f t="shared" si="227"/>
        <v>2.0400143410615046</v>
      </c>
      <c r="AS398" s="202">
        <f t="shared" si="227"/>
        <v>1.9805964476325288</v>
      </c>
      <c r="AT398" s="202">
        <f t="shared" si="227"/>
        <v>1.9229091724587657</v>
      </c>
      <c r="AU398" s="202">
        <f t="shared" si="227"/>
        <v>1.8669021091832678</v>
      </c>
      <c r="AV398" s="202">
        <f t="shared" si="227"/>
        <v>1.8125263195954056</v>
      </c>
      <c r="AW398" s="202">
        <f t="shared" si="227"/>
        <v>1.7597342908693259</v>
      </c>
      <c r="AX398" s="202">
        <f t="shared" si="227"/>
        <v>1.7084798940478891</v>
      </c>
      <c r="AY398" s="202">
        <f t="shared" si="227"/>
        <v>1.6587183437358151</v>
      </c>
      <c r="AZ398" s="202">
        <f t="shared" ref="AZ398:BF407" si="228">$AM398/POWER(1+($B$10/100),AZ$366-2024)</f>
        <v>1.6104061589668108</v>
      </c>
      <c r="BA398" s="202">
        <f t="shared" si="228"/>
        <v>1.5635011252104958</v>
      </c>
      <c r="BB398" s="202">
        <f t="shared" si="228"/>
        <v>1.517962257485918</v>
      </c>
      <c r="BC398" s="202">
        <f t="shared" si="228"/>
        <v>1.4737497645494353</v>
      </c>
      <c r="BD398" s="202">
        <f t="shared" si="228"/>
        <v>1.4308250141256653</v>
      </c>
      <c r="BE398" s="202">
        <f t="shared" si="228"/>
        <v>1.3891504991511314</v>
      </c>
      <c r="BF398" s="202">
        <f t="shared" si="228"/>
        <v>1.3486898050010985</v>
      </c>
      <c r="BG398" s="203">
        <f t="shared" si="191"/>
        <v>36.239800129849542</v>
      </c>
    </row>
    <row r="399" spans="27:59">
      <c r="AA399" s="180">
        <f t="shared" si="196"/>
        <v>672000000</v>
      </c>
      <c r="AB399" s="41">
        <f t="shared" si="217"/>
        <v>800</v>
      </c>
      <c r="AC399" s="21">
        <v>32</v>
      </c>
      <c r="AD399" s="21" t="s">
        <v>283</v>
      </c>
      <c r="AE399" s="175">
        <f t="shared" si="218"/>
        <v>30</v>
      </c>
      <c r="AF399" s="183">
        <f t="shared" si="219"/>
        <v>27</v>
      </c>
      <c r="AG399" s="84">
        <f t="shared" si="226"/>
        <v>0.39750000000000002</v>
      </c>
      <c r="AH399" s="244">
        <f t="shared" si="220"/>
        <v>0.159</v>
      </c>
      <c r="AI399" s="76">
        <f t="shared" si="221"/>
        <v>1.5600000000000002E-3</v>
      </c>
      <c r="AJ399" s="181">
        <f t="shared" si="222"/>
        <v>5.5650000000000005E-2</v>
      </c>
      <c r="AK399" s="182">
        <f t="shared" si="223"/>
        <v>2.3077257367928001</v>
      </c>
      <c r="AM399" s="201">
        <f t="shared" si="189"/>
        <v>2.3649357367928001</v>
      </c>
      <c r="AN399" s="202">
        <f t="shared" si="215"/>
        <v>2.2960541133910679</v>
      </c>
      <c r="AO399" s="202">
        <f t="shared" si="215"/>
        <v>2.2291787508651146</v>
      </c>
      <c r="AP399" s="202">
        <f t="shared" si="227"/>
        <v>2.16425121443215</v>
      </c>
      <c r="AQ399" s="202">
        <f t="shared" si="227"/>
        <v>2.1012147712933498</v>
      </c>
      <c r="AR399" s="202">
        <f t="shared" si="227"/>
        <v>2.0400143410615046</v>
      </c>
      <c r="AS399" s="202">
        <f t="shared" si="227"/>
        <v>1.9805964476325288</v>
      </c>
      <c r="AT399" s="202">
        <f t="shared" si="227"/>
        <v>1.9229091724587657</v>
      </c>
      <c r="AU399" s="202">
        <f t="shared" si="227"/>
        <v>1.8669021091832678</v>
      </c>
      <c r="AV399" s="202">
        <f t="shared" si="227"/>
        <v>1.8125263195954056</v>
      </c>
      <c r="AW399" s="202">
        <f t="shared" si="227"/>
        <v>1.7597342908693259</v>
      </c>
      <c r="AX399" s="202">
        <f t="shared" si="227"/>
        <v>1.7084798940478891</v>
      </c>
      <c r="AY399" s="202">
        <f t="shared" si="227"/>
        <v>1.6587183437358151</v>
      </c>
      <c r="AZ399" s="202">
        <f t="shared" si="228"/>
        <v>1.6104061589668108</v>
      </c>
      <c r="BA399" s="202">
        <f t="shared" si="228"/>
        <v>1.5635011252104958</v>
      </c>
      <c r="BB399" s="202">
        <f t="shared" si="228"/>
        <v>1.517962257485918</v>
      </c>
      <c r="BC399" s="202">
        <f t="shared" si="228"/>
        <v>1.4737497645494353</v>
      </c>
      <c r="BD399" s="202">
        <f t="shared" si="228"/>
        <v>1.4308250141256653</v>
      </c>
      <c r="BE399" s="202">
        <f t="shared" si="228"/>
        <v>1.3891504991511314</v>
      </c>
      <c r="BF399" s="202">
        <f t="shared" si="228"/>
        <v>1.3486898050010985</v>
      </c>
      <c r="BG399" s="203">
        <f t="shared" si="191"/>
        <v>36.239800129849542</v>
      </c>
    </row>
    <row r="400" spans="27:59">
      <c r="AA400" s="180">
        <f t="shared" si="196"/>
        <v>693000000</v>
      </c>
      <c r="AB400" s="41">
        <f t="shared" si="217"/>
        <v>825</v>
      </c>
      <c r="AC400" s="21">
        <v>33</v>
      </c>
      <c r="AD400" s="21" t="s">
        <v>283</v>
      </c>
      <c r="AE400" s="175">
        <f t="shared" si="218"/>
        <v>30</v>
      </c>
      <c r="AF400" s="183">
        <f t="shared" si="219"/>
        <v>27</v>
      </c>
      <c r="AG400" s="84">
        <f t="shared" si="226"/>
        <v>0.39750000000000002</v>
      </c>
      <c r="AH400" s="244">
        <f t="shared" si="220"/>
        <v>0.159</v>
      </c>
      <c r="AI400" s="76">
        <f t="shared" si="221"/>
        <v>1.5600000000000002E-3</v>
      </c>
      <c r="AJ400" s="181">
        <f t="shared" si="222"/>
        <v>5.5650000000000005E-2</v>
      </c>
      <c r="AK400" s="182">
        <f t="shared" si="223"/>
        <v>2.3077257367928001</v>
      </c>
      <c r="AM400" s="201">
        <f t="shared" si="189"/>
        <v>2.3649357367928001</v>
      </c>
      <c r="AN400" s="202">
        <f t="shared" si="215"/>
        <v>2.2960541133910679</v>
      </c>
      <c r="AO400" s="202">
        <f t="shared" si="215"/>
        <v>2.2291787508651146</v>
      </c>
      <c r="AP400" s="202">
        <f t="shared" si="227"/>
        <v>2.16425121443215</v>
      </c>
      <c r="AQ400" s="202">
        <f t="shared" si="227"/>
        <v>2.1012147712933498</v>
      </c>
      <c r="AR400" s="202">
        <f t="shared" si="227"/>
        <v>2.0400143410615046</v>
      </c>
      <c r="AS400" s="202">
        <f t="shared" si="227"/>
        <v>1.9805964476325288</v>
      </c>
      <c r="AT400" s="202">
        <f t="shared" si="227"/>
        <v>1.9229091724587657</v>
      </c>
      <c r="AU400" s="202">
        <f t="shared" si="227"/>
        <v>1.8669021091832678</v>
      </c>
      <c r="AV400" s="202">
        <f t="shared" si="227"/>
        <v>1.8125263195954056</v>
      </c>
      <c r="AW400" s="202">
        <f t="shared" si="227"/>
        <v>1.7597342908693259</v>
      </c>
      <c r="AX400" s="202">
        <f t="shared" si="227"/>
        <v>1.7084798940478891</v>
      </c>
      <c r="AY400" s="202">
        <f t="shared" si="227"/>
        <v>1.6587183437358151</v>
      </c>
      <c r="AZ400" s="202">
        <f t="shared" si="228"/>
        <v>1.6104061589668108</v>
      </c>
      <c r="BA400" s="202">
        <f t="shared" si="228"/>
        <v>1.5635011252104958</v>
      </c>
      <c r="BB400" s="202">
        <f t="shared" si="228"/>
        <v>1.517962257485918</v>
      </c>
      <c r="BC400" s="202">
        <f t="shared" si="228"/>
        <v>1.4737497645494353</v>
      </c>
      <c r="BD400" s="202">
        <f t="shared" si="228"/>
        <v>1.4308250141256653</v>
      </c>
      <c r="BE400" s="202">
        <f t="shared" si="228"/>
        <v>1.3891504991511314</v>
      </c>
      <c r="BF400" s="202">
        <f t="shared" si="228"/>
        <v>1.3486898050010985</v>
      </c>
      <c r="BG400" s="203">
        <f t="shared" si="191"/>
        <v>36.239800129849542</v>
      </c>
    </row>
    <row r="401" spans="27:59">
      <c r="AA401" s="180">
        <f t="shared" si="196"/>
        <v>714000000</v>
      </c>
      <c r="AB401" s="41">
        <f t="shared" si="217"/>
        <v>850</v>
      </c>
      <c r="AC401" s="21">
        <v>34</v>
      </c>
      <c r="AD401" s="21" t="s">
        <v>283</v>
      </c>
      <c r="AE401" s="175">
        <f t="shared" si="218"/>
        <v>30</v>
      </c>
      <c r="AF401" s="183">
        <f t="shared" si="219"/>
        <v>27</v>
      </c>
      <c r="AG401" s="84">
        <f t="shared" si="226"/>
        <v>0.39750000000000002</v>
      </c>
      <c r="AH401" s="244">
        <f t="shared" si="220"/>
        <v>0.159</v>
      </c>
      <c r="AI401" s="76">
        <f t="shared" si="221"/>
        <v>1.5600000000000002E-3</v>
      </c>
      <c r="AJ401" s="181">
        <f t="shared" si="222"/>
        <v>5.5650000000000005E-2</v>
      </c>
      <c r="AK401" s="182">
        <f t="shared" si="223"/>
        <v>2.3077257367928001</v>
      </c>
      <c r="AM401" s="201">
        <f t="shared" si="189"/>
        <v>2.3649357367928001</v>
      </c>
      <c r="AN401" s="202">
        <f t="shared" si="215"/>
        <v>2.2960541133910679</v>
      </c>
      <c r="AO401" s="202">
        <f t="shared" si="215"/>
        <v>2.2291787508651146</v>
      </c>
      <c r="AP401" s="202">
        <f t="shared" si="227"/>
        <v>2.16425121443215</v>
      </c>
      <c r="AQ401" s="202">
        <f t="shared" si="227"/>
        <v>2.1012147712933498</v>
      </c>
      <c r="AR401" s="202">
        <f t="shared" si="227"/>
        <v>2.0400143410615046</v>
      </c>
      <c r="AS401" s="202">
        <f t="shared" si="227"/>
        <v>1.9805964476325288</v>
      </c>
      <c r="AT401" s="202">
        <f t="shared" si="227"/>
        <v>1.9229091724587657</v>
      </c>
      <c r="AU401" s="202">
        <f t="shared" si="227"/>
        <v>1.8669021091832678</v>
      </c>
      <c r="AV401" s="202">
        <f t="shared" si="227"/>
        <v>1.8125263195954056</v>
      </c>
      <c r="AW401" s="202">
        <f t="shared" si="227"/>
        <v>1.7597342908693259</v>
      </c>
      <c r="AX401" s="202">
        <f t="shared" si="227"/>
        <v>1.7084798940478891</v>
      </c>
      <c r="AY401" s="202">
        <f t="shared" si="227"/>
        <v>1.6587183437358151</v>
      </c>
      <c r="AZ401" s="202">
        <f t="shared" si="228"/>
        <v>1.6104061589668108</v>
      </c>
      <c r="BA401" s="202">
        <f t="shared" si="228"/>
        <v>1.5635011252104958</v>
      </c>
      <c r="BB401" s="202">
        <f t="shared" si="228"/>
        <v>1.517962257485918</v>
      </c>
      <c r="BC401" s="202">
        <f t="shared" si="228"/>
        <v>1.4737497645494353</v>
      </c>
      <c r="BD401" s="202">
        <f t="shared" si="228"/>
        <v>1.4308250141256653</v>
      </c>
      <c r="BE401" s="202">
        <f t="shared" si="228"/>
        <v>1.3891504991511314</v>
      </c>
      <c r="BF401" s="202">
        <f t="shared" si="228"/>
        <v>1.3486898050010985</v>
      </c>
      <c r="BG401" s="203">
        <f t="shared" si="191"/>
        <v>36.239800129849542</v>
      </c>
    </row>
    <row r="402" spans="27:59">
      <c r="AA402" s="180">
        <f t="shared" si="196"/>
        <v>735000000</v>
      </c>
      <c r="AB402" s="41">
        <f t="shared" si="217"/>
        <v>875</v>
      </c>
      <c r="AC402" s="21">
        <v>35</v>
      </c>
      <c r="AD402" s="21" t="s">
        <v>283</v>
      </c>
      <c r="AE402" s="175">
        <f t="shared" si="218"/>
        <v>30</v>
      </c>
      <c r="AF402" s="183">
        <f t="shared" si="219"/>
        <v>27</v>
      </c>
      <c r="AG402" s="84">
        <f t="shared" si="226"/>
        <v>0.39750000000000002</v>
      </c>
      <c r="AH402" s="244">
        <f t="shared" si="220"/>
        <v>0.159</v>
      </c>
      <c r="AI402" s="76">
        <f t="shared" si="221"/>
        <v>1.5600000000000002E-3</v>
      </c>
      <c r="AJ402" s="181">
        <f t="shared" si="222"/>
        <v>5.5650000000000005E-2</v>
      </c>
      <c r="AK402" s="182">
        <f t="shared" si="223"/>
        <v>2.3077257367928001</v>
      </c>
      <c r="AM402" s="201">
        <f t="shared" si="189"/>
        <v>2.3649357367928001</v>
      </c>
      <c r="AN402" s="202">
        <f t="shared" si="215"/>
        <v>2.2960541133910679</v>
      </c>
      <c r="AO402" s="202">
        <f t="shared" si="215"/>
        <v>2.2291787508651146</v>
      </c>
      <c r="AP402" s="202">
        <f t="shared" si="227"/>
        <v>2.16425121443215</v>
      </c>
      <c r="AQ402" s="202">
        <f t="shared" si="227"/>
        <v>2.1012147712933498</v>
      </c>
      <c r="AR402" s="202">
        <f t="shared" si="227"/>
        <v>2.0400143410615046</v>
      </c>
      <c r="AS402" s="202">
        <f t="shared" si="227"/>
        <v>1.9805964476325288</v>
      </c>
      <c r="AT402" s="202">
        <f t="shared" si="227"/>
        <v>1.9229091724587657</v>
      </c>
      <c r="AU402" s="202">
        <f t="shared" si="227"/>
        <v>1.8669021091832678</v>
      </c>
      <c r="AV402" s="202">
        <f t="shared" si="227"/>
        <v>1.8125263195954056</v>
      </c>
      <c r="AW402" s="202">
        <f t="shared" si="227"/>
        <v>1.7597342908693259</v>
      </c>
      <c r="AX402" s="202">
        <f t="shared" si="227"/>
        <v>1.7084798940478891</v>
      </c>
      <c r="AY402" s="202">
        <f t="shared" si="227"/>
        <v>1.6587183437358151</v>
      </c>
      <c r="AZ402" s="202">
        <f t="shared" si="228"/>
        <v>1.6104061589668108</v>
      </c>
      <c r="BA402" s="202">
        <f t="shared" si="228"/>
        <v>1.5635011252104958</v>
      </c>
      <c r="BB402" s="202">
        <f t="shared" si="228"/>
        <v>1.517962257485918</v>
      </c>
      <c r="BC402" s="202">
        <f t="shared" si="228"/>
        <v>1.4737497645494353</v>
      </c>
      <c r="BD402" s="202">
        <f t="shared" si="228"/>
        <v>1.4308250141256653</v>
      </c>
      <c r="BE402" s="202">
        <f t="shared" si="228"/>
        <v>1.3891504991511314</v>
      </c>
      <c r="BF402" s="202">
        <f t="shared" si="228"/>
        <v>1.3486898050010985</v>
      </c>
      <c r="BG402" s="203">
        <f t="shared" si="191"/>
        <v>36.239800129849542</v>
      </c>
    </row>
    <row r="403" spans="27:59">
      <c r="AA403" s="180">
        <f t="shared" si="196"/>
        <v>756000000</v>
      </c>
      <c r="AB403" s="41">
        <f t="shared" si="217"/>
        <v>900</v>
      </c>
      <c r="AC403" s="21">
        <v>36</v>
      </c>
      <c r="AD403" s="21" t="s">
        <v>283</v>
      </c>
      <c r="AE403" s="175">
        <f t="shared" si="218"/>
        <v>30</v>
      </c>
      <c r="AF403" s="183">
        <f t="shared" si="219"/>
        <v>27</v>
      </c>
      <c r="AG403" s="84">
        <f t="shared" si="226"/>
        <v>0.39750000000000002</v>
      </c>
      <c r="AH403" s="244">
        <f t="shared" si="220"/>
        <v>0.159</v>
      </c>
      <c r="AI403" s="76">
        <f t="shared" si="221"/>
        <v>1.5600000000000002E-3</v>
      </c>
      <c r="AJ403" s="181">
        <f t="shared" si="222"/>
        <v>5.5650000000000005E-2</v>
      </c>
      <c r="AK403" s="182">
        <f t="shared" si="223"/>
        <v>2.3077257367928001</v>
      </c>
      <c r="AM403" s="201">
        <f t="shared" si="189"/>
        <v>2.3649357367928001</v>
      </c>
      <c r="AN403" s="202">
        <f t="shared" si="215"/>
        <v>2.2960541133910679</v>
      </c>
      <c r="AO403" s="202">
        <f t="shared" si="215"/>
        <v>2.2291787508651146</v>
      </c>
      <c r="AP403" s="202">
        <f t="shared" si="227"/>
        <v>2.16425121443215</v>
      </c>
      <c r="AQ403" s="202">
        <f t="shared" si="227"/>
        <v>2.1012147712933498</v>
      </c>
      <c r="AR403" s="202">
        <f t="shared" si="227"/>
        <v>2.0400143410615046</v>
      </c>
      <c r="AS403" s="202">
        <f t="shared" si="227"/>
        <v>1.9805964476325288</v>
      </c>
      <c r="AT403" s="202">
        <f t="shared" si="227"/>
        <v>1.9229091724587657</v>
      </c>
      <c r="AU403" s="202">
        <f t="shared" si="227"/>
        <v>1.8669021091832678</v>
      </c>
      <c r="AV403" s="202">
        <f t="shared" si="227"/>
        <v>1.8125263195954056</v>
      </c>
      <c r="AW403" s="202">
        <f t="shared" si="227"/>
        <v>1.7597342908693259</v>
      </c>
      <c r="AX403" s="202">
        <f t="shared" si="227"/>
        <v>1.7084798940478891</v>
      </c>
      <c r="AY403" s="202">
        <f t="shared" si="227"/>
        <v>1.6587183437358151</v>
      </c>
      <c r="AZ403" s="202">
        <f t="shared" si="228"/>
        <v>1.6104061589668108</v>
      </c>
      <c r="BA403" s="202">
        <f t="shared" si="228"/>
        <v>1.5635011252104958</v>
      </c>
      <c r="BB403" s="202">
        <f t="shared" si="228"/>
        <v>1.517962257485918</v>
      </c>
      <c r="BC403" s="202">
        <f t="shared" si="228"/>
        <v>1.4737497645494353</v>
      </c>
      <c r="BD403" s="202">
        <f t="shared" si="228"/>
        <v>1.4308250141256653</v>
      </c>
      <c r="BE403" s="202">
        <f t="shared" si="228"/>
        <v>1.3891504991511314</v>
      </c>
      <c r="BF403" s="202">
        <f t="shared" si="228"/>
        <v>1.3486898050010985</v>
      </c>
      <c r="BG403" s="203">
        <f t="shared" si="191"/>
        <v>36.239800129849542</v>
      </c>
    </row>
    <row r="404" spans="27:59">
      <c r="AA404" s="180">
        <f t="shared" si="196"/>
        <v>777000000</v>
      </c>
      <c r="AB404" s="41">
        <f t="shared" si="217"/>
        <v>925</v>
      </c>
      <c r="AC404" s="21">
        <v>37</v>
      </c>
      <c r="AD404" s="21" t="s">
        <v>283</v>
      </c>
      <c r="AE404" s="175">
        <f t="shared" si="218"/>
        <v>30</v>
      </c>
      <c r="AF404" s="183">
        <f t="shared" si="219"/>
        <v>27</v>
      </c>
      <c r="AG404" s="84">
        <f t="shared" si="226"/>
        <v>0.39750000000000002</v>
      </c>
      <c r="AH404" s="244">
        <f t="shared" si="220"/>
        <v>0.159</v>
      </c>
      <c r="AI404" s="76">
        <f t="shared" si="221"/>
        <v>1.5600000000000002E-3</v>
      </c>
      <c r="AJ404" s="181">
        <f t="shared" si="222"/>
        <v>5.5650000000000005E-2</v>
      </c>
      <c r="AK404" s="182">
        <f t="shared" si="223"/>
        <v>2.3077257367928001</v>
      </c>
      <c r="AM404" s="201">
        <f t="shared" si="189"/>
        <v>2.3649357367928001</v>
      </c>
      <c r="AN404" s="202">
        <f t="shared" si="215"/>
        <v>2.2960541133910679</v>
      </c>
      <c r="AO404" s="202">
        <f t="shared" si="215"/>
        <v>2.2291787508651146</v>
      </c>
      <c r="AP404" s="202">
        <f t="shared" si="227"/>
        <v>2.16425121443215</v>
      </c>
      <c r="AQ404" s="202">
        <f t="shared" si="227"/>
        <v>2.1012147712933498</v>
      </c>
      <c r="AR404" s="202">
        <f t="shared" si="227"/>
        <v>2.0400143410615046</v>
      </c>
      <c r="AS404" s="202">
        <f t="shared" si="227"/>
        <v>1.9805964476325288</v>
      </c>
      <c r="AT404" s="202">
        <f t="shared" si="227"/>
        <v>1.9229091724587657</v>
      </c>
      <c r="AU404" s="202">
        <f t="shared" si="227"/>
        <v>1.8669021091832678</v>
      </c>
      <c r="AV404" s="202">
        <f t="shared" si="227"/>
        <v>1.8125263195954056</v>
      </c>
      <c r="AW404" s="202">
        <f t="shared" si="227"/>
        <v>1.7597342908693259</v>
      </c>
      <c r="AX404" s="202">
        <f t="shared" si="227"/>
        <v>1.7084798940478891</v>
      </c>
      <c r="AY404" s="202">
        <f t="shared" si="227"/>
        <v>1.6587183437358151</v>
      </c>
      <c r="AZ404" s="202">
        <f t="shared" si="228"/>
        <v>1.6104061589668108</v>
      </c>
      <c r="BA404" s="202">
        <f t="shared" si="228"/>
        <v>1.5635011252104958</v>
      </c>
      <c r="BB404" s="202">
        <f t="shared" si="228"/>
        <v>1.517962257485918</v>
      </c>
      <c r="BC404" s="202">
        <f t="shared" si="228"/>
        <v>1.4737497645494353</v>
      </c>
      <c r="BD404" s="202">
        <f t="shared" si="228"/>
        <v>1.4308250141256653</v>
      </c>
      <c r="BE404" s="202">
        <f t="shared" si="228"/>
        <v>1.3891504991511314</v>
      </c>
      <c r="BF404" s="202">
        <f t="shared" si="228"/>
        <v>1.3486898050010985</v>
      </c>
      <c r="BG404" s="203">
        <f t="shared" si="191"/>
        <v>36.239800129849542</v>
      </c>
    </row>
    <row r="405" spans="27:59">
      <c r="AA405" s="180">
        <f t="shared" si="196"/>
        <v>798000000</v>
      </c>
      <c r="AB405" s="41">
        <f t="shared" si="217"/>
        <v>950</v>
      </c>
      <c r="AC405" s="21">
        <v>38</v>
      </c>
      <c r="AD405" s="21" t="s">
        <v>283</v>
      </c>
      <c r="AE405" s="175">
        <f t="shared" si="218"/>
        <v>30</v>
      </c>
      <c r="AF405" s="183">
        <f t="shared" si="219"/>
        <v>27</v>
      </c>
      <c r="AG405" s="84">
        <f t="shared" si="226"/>
        <v>0.39750000000000002</v>
      </c>
      <c r="AH405" s="244">
        <f t="shared" si="220"/>
        <v>0.159</v>
      </c>
      <c r="AI405" s="76">
        <f t="shared" si="221"/>
        <v>1.5600000000000002E-3</v>
      </c>
      <c r="AJ405" s="181">
        <f t="shared" si="222"/>
        <v>5.5650000000000005E-2</v>
      </c>
      <c r="AK405" s="182">
        <f t="shared" si="223"/>
        <v>2.3077257367928001</v>
      </c>
      <c r="AM405" s="201">
        <f t="shared" si="189"/>
        <v>2.3649357367928001</v>
      </c>
      <c r="AN405" s="202">
        <f t="shared" si="215"/>
        <v>2.2960541133910679</v>
      </c>
      <c r="AO405" s="202">
        <f t="shared" si="215"/>
        <v>2.2291787508651146</v>
      </c>
      <c r="AP405" s="202">
        <f t="shared" si="227"/>
        <v>2.16425121443215</v>
      </c>
      <c r="AQ405" s="202">
        <f t="shared" si="227"/>
        <v>2.1012147712933498</v>
      </c>
      <c r="AR405" s="202">
        <f t="shared" si="227"/>
        <v>2.0400143410615046</v>
      </c>
      <c r="AS405" s="202">
        <f t="shared" si="227"/>
        <v>1.9805964476325288</v>
      </c>
      <c r="AT405" s="202">
        <f t="shared" si="227"/>
        <v>1.9229091724587657</v>
      </c>
      <c r="AU405" s="202">
        <f t="shared" si="227"/>
        <v>1.8669021091832678</v>
      </c>
      <c r="AV405" s="202">
        <f t="shared" si="227"/>
        <v>1.8125263195954056</v>
      </c>
      <c r="AW405" s="202">
        <f t="shared" si="227"/>
        <v>1.7597342908693259</v>
      </c>
      <c r="AX405" s="202">
        <f t="shared" si="227"/>
        <v>1.7084798940478891</v>
      </c>
      <c r="AY405" s="202">
        <f t="shared" si="227"/>
        <v>1.6587183437358151</v>
      </c>
      <c r="AZ405" s="202">
        <f t="shared" si="228"/>
        <v>1.6104061589668108</v>
      </c>
      <c r="BA405" s="202">
        <f t="shared" si="228"/>
        <v>1.5635011252104958</v>
      </c>
      <c r="BB405" s="202">
        <f t="shared" si="228"/>
        <v>1.517962257485918</v>
      </c>
      <c r="BC405" s="202">
        <f t="shared" si="228"/>
        <v>1.4737497645494353</v>
      </c>
      <c r="BD405" s="202">
        <f t="shared" si="228"/>
        <v>1.4308250141256653</v>
      </c>
      <c r="BE405" s="202">
        <f t="shared" si="228"/>
        <v>1.3891504991511314</v>
      </c>
      <c r="BF405" s="202">
        <f t="shared" si="228"/>
        <v>1.3486898050010985</v>
      </c>
      <c r="BG405" s="203">
        <f t="shared" si="191"/>
        <v>36.239800129849542</v>
      </c>
    </row>
    <row r="406" spans="27:59">
      <c r="AA406" s="180">
        <f t="shared" si="196"/>
        <v>819000000</v>
      </c>
      <c r="AB406" s="41">
        <f t="shared" si="217"/>
        <v>975</v>
      </c>
      <c r="AC406" s="21">
        <v>39</v>
      </c>
      <c r="AD406" s="21" t="s">
        <v>283</v>
      </c>
      <c r="AE406" s="175">
        <f t="shared" si="218"/>
        <v>30</v>
      </c>
      <c r="AF406" s="183">
        <f t="shared" si="219"/>
        <v>27</v>
      </c>
      <c r="AG406" s="84">
        <f t="shared" si="226"/>
        <v>0.39750000000000002</v>
      </c>
      <c r="AH406" s="244">
        <f t="shared" si="220"/>
        <v>0.159</v>
      </c>
      <c r="AI406" s="76">
        <f t="shared" si="221"/>
        <v>1.5600000000000002E-3</v>
      </c>
      <c r="AJ406" s="181">
        <f t="shared" si="222"/>
        <v>5.5650000000000005E-2</v>
      </c>
      <c r="AK406" s="182">
        <f t="shared" si="223"/>
        <v>2.3077257367928001</v>
      </c>
      <c r="AM406" s="201">
        <f t="shared" si="189"/>
        <v>2.3649357367928001</v>
      </c>
      <c r="AN406" s="202">
        <f t="shared" si="215"/>
        <v>2.2960541133910679</v>
      </c>
      <c r="AO406" s="202">
        <f t="shared" si="215"/>
        <v>2.2291787508651146</v>
      </c>
      <c r="AP406" s="202">
        <f t="shared" si="227"/>
        <v>2.16425121443215</v>
      </c>
      <c r="AQ406" s="202">
        <f t="shared" si="227"/>
        <v>2.1012147712933498</v>
      </c>
      <c r="AR406" s="202">
        <f t="shared" si="227"/>
        <v>2.0400143410615046</v>
      </c>
      <c r="AS406" s="202">
        <f t="shared" si="227"/>
        <v>1.9805964476325288</v>
      </c>
      <c r="AT406" s="202">
        <f t="shared" si="227"/>
        <v>1.9229091724587657</v>
      </c>
      <c r="AU406" s="202">
        <f t="shared" si="227"/>
        <v>1.8669021091832678</v>
      </c>
      <c r="AV406" s="202">
        <f t="shared" si="227"/>
        <v>1.8125263195954056</v>
      </c>
      <c r="AW406" s="202">
        <f t="shared" si="227"/>
        <v>1.7597342908693259</v>
      </c>
      <c r="AX406" s="202">
        <f t="shared" si="227"/>
        <v>1.7084798940478891</v>
      </c>
      <c r="AY406" s="202">
        <f t="shared" si="227"/>
        <v>1.6587183437358151</v>
      </c>
      <c r="AZ406" s="202">
        <f t="shared" si="228"/>
        <v>1.6104061589668108</v>
      </c>
      <c r="BA406" s="202">
        <f t="shared" si="228"/>
        <v>1.5635011252104958</v>
      </c>
      <c r="BB406" s="202">
        <f t="shared" si="228"/>
        <v>1.517962257485918</v>
      </c>
      <c r="BC406" s="202">
        <f t="shared" si="228"/>
        <v>1.4737497645494353</v>
      </c>
      <c r="BD406" s="202">
        <f t="shared" si="228"/>
        <v>1.4308250141256653</v>
      </c>
      <c r="BE406" s="202">
        <f t="shared" si="228"/>
        <v>1.3891504991511314</v>
      </c>
      <c r="BF406" s="202">
        <f t="shared" si="228"/>
        <v>1.3486898050010985</v>
      </c>
      <c r="BG406" s="203">
        <f t="shared" si="191"/>
        <v>36.239800129849542</v>
      </c>
    </row>
    <row r="407" spans="27:59">
      <c r="AA407" s="180">
        <f t="shared" si="196"/>
        <v>840000000</v>
      </c>
      <c r="AB407" s="41">
        <f t="shared" si="217"/>
        <v>1000</v>
      </c>
      <c r="AC407" s="21">
        <v>40</v>
      </c>
      <c r="AD407" s="21" t="s">
        <v>283</v>
      </c>
      <c r="AE407" s="175">
        <f t="shared" si="218"/>
        <v>30</v>
      </c>
      <c r="AF407" s="183">
        <f t="shared" si="219"/>
        <v>27</v>
      </c>
      <c r="AG407" s="84">
        <f t="shared" si="226"/>
        <v>0.39750000000000002</v>
      </c>
      <c r="AH407" s="244">
        <f t="shared" si="220"/>
        <v>0.159</v>
      </c>
      <c r="AI407" s="76">
        <f t="shared" si="221"/>
        <v>1.5600000000000002E-3</v>
      </c>
      <c r="AJ407" s="181">
        <f t="shared" si="222"/>
        <v>5.5650000000000005E-2</v>
      </c>
      <c r="AK407" s="182">
        <f t="shared" si="223"/>
        <v>2.3077257367928001</v>
      </c>
      <c r="AM407" s="201">
        <f t="shared" si="189"/>
        <v>2.3649357367928001</v>
      </c>
      <c r="AN407" s="202">
        <f t="shared" ref="AN407:AO426" si="229">$AM407/POWER(1+($B$10/100),AN$366-2024)</f>
        <v>2.2960541133910679</v>
      </c>
      <c r="AO407" s="202">
        <f t="shared" si="229"/>
        <v>2.2291787508651146</v>
      </c>
      <c r="AP407" s="202">
        <f t="shared" si="227"/>
        <v>2.16425121443215</v>
      </c>
      <c r="AQ407" s="202">
        <f t="shared" si="227"/>
        <v>2.1012147712933498</v>
      </c>
      <c r="AR407" s="202">
        <f t="shared" si="227"/>
        <v>2.0400143410615046</v>
      </c>
      <c r="AS407" s="202">
        <f t="shared" si="227"/>
        <v>1.9805964476325288</v>
      </c>
      <c r="AT407" s="202">
        <f t="shared" si="227"/>
        <v>1.9229091724587657</v>
      </c>
      <c r="AU407" s="202">
        <f t="shared" si="227"/>
        <v>1.8669021091832678</v>
      </c>
      <c r="AV407" s="202">
        <f t="shared" si="227"/>
        <v>1.8125263195954056</v>
      </c>
      <c r="AW407" s="202">
        <f t="shared" si="227"/>
        <v>1.7597342908693259</v>
      </c>
      <c r="AX407" s="202">
        <f t="shared" si="227"/>
        <v>1.7084798940478891</v>
      </c>
      <c r="AY407" s="202">
        <f t="shared" si="227"/>
        <v>1.6587183437358151</v>
      </c>
      <c r="AZ407" s="202">
        <f t="shared" si="228"/>
        <v>1.6104061589668108</v>
      </c>
      <c r="BA407" s="202">
        <f t="shared" si="228"/>
        <v>1.5635011252104958</v>
      </c>
      <c r="BB407" s="202">
        <f t="shared" si="228"/>
        <v>1.517962257485918</v>
      </c>
      <c r="BC407" s="202">
        <f t="shared" si="228"/>
        <v>1.4737497645494353</v>
      </c>
      <c r="BD407" s="202">
        <f t="shared" si="228"/>
        <v>1.4308250141256653</v>
      </c>
      <c r="BE407" s="202">
        <f t="shared" si="228"/>
        <v>1.3891504991511314</v>
      </c>
      <c r="BF407" s="202">
        <f t="shared" si="228"/>
        <v>1.3486898050010985</v>
      </c>
      <c r="BG407" s="203">
        <f t="shared" si="191"/>
        <v>36.239800129849542</v>
      </c>
    </row>
    <row r="408" spans="27:59">
      <c r="AA408" s="180">
        <f t="shared" si="196"/>
        <v>861000000</v>
      </c>
      <c r="AB408" s="41">
        <f t="shared" si="217"/>
        <v>1025</v>
      </c>
      <c r="AC408" s="21">
        <v>41</v>
      </c>
      <c r="AD408" s="21" t="s">
        <v>283</v>
      </c>
      <c r="AE408" s="175">
        <f t="shared" si="218"/>
        <v>30</v>
      </c>
      <c r="AF408" s="183">
        <f t="shared" si="219"/>
        <v>27</v>
      </c>
      <c r="AG408" s="84">
        <f t="shared" si="226"/>
        <v>0.39750000000000002</v>
      </c>
      <c r="AH408" s="244">
        <f t="shared" si="220"/>
        <v>0.159</v>
      </c>
      <c r="AI408" s="76">
        <f t="shared" si="221"/>
        <v>1.5600000000000002E-3</v>
      </c>
      <c r="AJ408" s="181">
        <f t="shared" si="222"/>
        <v>5.5650000000000005E-2</v>
      </c>
      <c r="AK408" s="182">
        <f t="shared" si="223"/>
        <v>2.3077257367928001</v>
      </c>
      <c r="AM408" s="201">
        <f t="shared" si="189"/>
        <v>2.3649357367928001</v>
      </c>
      <c r="AN408" s="202">
        <f t="shared" si="229"/>
        <v>2.2960541133910679</v>
      </c>
      <c r="AO408" s="202">
        <f t="shared" si="229"/>
        <v>2.2291787508651146</v>
      </c>
      <c r="AP408" s="202">
        <f t="shared" ref="AP408:AY417" si="230">$AM408/POWER(1+($B$10/100),AP$366-2024)</f>
        <v>2.16425121443215</v>
      </c>
      <c r="AQ408" s="202">
        <f t="shared" si="230"/>
        <v>2.1012147712933498</v>
      </c>
      <c r="AR408" s="202">
        <f t="shared" si="230"/>
        <v>2.0400143410615046</v>
      </c>
      <c r="AS408" s="202">
        <f t="shared" si="230"/>
        <v>1.9805964476325288</v>
      </c>
      <c r="AT408" s="202">
        <f t="shared" si="230"/>
        <v>1.9229091724587657</v>
      </c>
      <c r="AU408" s="202">
        <f t="shared" si="230"/>
        <v>1.8669021091832678</v>
      </c>
      <c r="AV408" s="202">
        <f t="shared" si="230"/>
        <v>1.8125263195954056</v>
      </c>
      <c r="AW408" s="202">
        <f t="shared" si="230"/>
        <v>1.7597342908693259</v>
      </c>
      <c r="AX408" s="202">
        <f t="shared" si="230"/>
        <v>1.7084798940478891</v>
      </c>
      <c r="AY408" s="202">
        <f t="shared" si="230"/>
        <v>1.6587183437358151</v>
      </c>
      <c r="AZ408" s="202">
        <f t="shared" ref="AZ408:BF417" si="231">$AM408/POWER(1+($B$10/100),AZ$366-2024)</f>
        <v>1.6104061589668108</v>
      </c>
      <c r="BA408" s="202">
        <f t="shared" si="231"/>
        <v>1.5635011252104958</v>
      </c>
      <c r="BB408" s="202">
        <f t="shared" si="231"/>
        <v>1.517962257485918</v>
      </c>
      <c r="BC408" s="202">
        <f t="shared" si="231"/>
        <v>1.4737497645494353</v>
      </c>
      <c r="BD408" s="202">
        <f t="shared" si="231"/>
        <v>1.4308250141256653</v>
      </c>
      <c r="BE408" s="202">
        <f t="shared" si="231"/>
        <v>1.3891504991511314</v>
      </c>
      <c r="BF408" s="202">
        <f t="shared" si="231"/>
        <v>1.3486898050010985</v>
      </c>
      <c r="BG408" s="203">
        <f t="shared" si="191"/>
        <v>36.239800129849542</v>
      </c>
    </row>
    <row r="409" spans="27:59">
      <c r="AA409" s="180">
        <f t="shared" si="196"/>
        <v>882000000</v>
      </c>
      <c r="AB409" s="41">
        <f t="shared" si="217"/>
        <v>1050</v>
      </c>
      <c r="AC409" s="21">
        <v>42</v>
      </c>
      <c r="AD409" s="21" t="s">
        <v>283</v>
      </c>
      <c r="AE409" s="175">
        <f t="shared" si="218"/>
        <v>30</v>
      </c>
      <c r="AF409" s="183">
        <f t="shared" si="219"/>
        <v>27</v>
      </c>
      <c r="AG409" s="84">
        <f t="shared" si="226"/>
        <v>0.39750000000000002</v>
      </c>
      <c r="AH409" s="244">
        <f t="shared" si="220"/>
        <v>0.159</v>
      </c>
      <c r="AI409" s="76">
        <f t="shared" si="221"/>
        <v>1.5600000000000002E-3</v>
      </c>
      <c r="AJ409" s="181">
        <f t="shared" si="222"/>
        <v>5.5650000000000005E-2</v>
      </c>
      <c r="AK409" s="182">
        <f t="shared" si="223"/>
        <v>2.3077257367928001</v>
      </c>
      <c r="AM409" s="201">
        <f t="shared" si="189"/>
        <v>2.3649357367928001</v>
      </c>
      <c r="AN409" s="202">
        <f t="shared" si="229"/>
        <v>2.2960541133910679</v>
      </c>
      <c r="AO409" s="202">
        <f t="shared" si="229"/>
        <v>2.2291787508651146</v>
      </c>
      <c r="AP409" s="202">
        <f t="shared" si="230"/>
        <v>2.16425121443215</v>
      </c>
      <c r="AQ409" s="202">
        <f t="shared" si="230"/>
        <v>2.1012147712933498</v>
      </c>
      <c r="AR409" s="202">
        <f t="shared" si="230"/>
        <v>2.0400143410615046</v>
      </c>
      <c r="AS409" s="202">
        <f t="shared" si="230"/>
        <v>1.9805964476325288</v>
      </c>
      <c r="AT409" s="202">
        <f t="shared" si="230"/>
        <v>1.9229091724587657</v>
      </c>
      <c r="AU409" s="202">
        <f t="shared" si="230"/>
        <v>1.8669021091832678</v>
      </c>
      <c r="AV409" s="202">
        <f t="shared" si="230"/>
        <v>1.8125263195954056</v>
      </c>
      <c r="AW409" s="202">
        <f t="shared" si="230"/>
        <v>1.7597342908693259</v>
      </c>
      <c r="AX409" s="202">
        <f t="shared" si="230"/>
        <v>1.7084798940478891</v>
      </c>
      <c r="AY409" s="202">
        <f t="shared" si="230"/>
        <v>1.6587183437358151</v>
      </c>
      <c r="AZ409" s="202">
        <f t="shared" si="231"/>
        <v>1.6104061589668108</v>
      </c>
      <c r="BA409" s="202">
        <f t="shared" si="231"/>
        <v>1.5635011252104958</v>
      </c>
      <c r="BB409" s="202">
        <f t="shared" si="231"/>
        <v>1.517962257485918</v>
      </c>
      <c r="BC409" s="202">
        <f t="shared" si="231"/>
        <v>1.4737497645494353</v>
      </c>
      <c r="BD409" s="202">
        <f t="shared" si="231"/>
        <v>1.4308250141256653</v>
      </c>
      <c r="BE409" s="202">
        <f t="shared" si="231"/>
        <v>1.3891504991511314</v>
      </c>
      <c r="BF409" s="202">
        <f t="shared" si="231"/>
        <v>1.3486898050010985</v>
      </c>
      <c r="BG409" s="203">
        <f t="shared" si="191"/>
        <v>36.239800129849542</v>
      </c>
    </row>
    <row r="410" spans="27:59">
      <c r="AA410" s="180">
        <f t="shared" si="196"/>
        <v>903000000</v>
      </c>
      <c r="AB410" s="41">
        <f t="shared" si="217"/>
        <v>1075</v>
      </c>
      <c r="AC410" s="21">
        <v>43</v>
      </c>
      <c r="AD410" s="21" t="s">
        <v>283</v>
      </c>
      <c r="AE410" s="175">
        <f t="shared" si="218"/>
        <v>30</v>
      </c>
      <c r="AF410" s="183">
        <f t="shared" si="219"/>
        <v>27</v>
      </c>
      <c r="AG410" s="84">
        <f t="shared" si="226"/>
        <v>0.39750000000000002</v>
      </c>
      <c r="AH410" s="244">
        <f t="shared" si="220"/>
        <v>0.159</v>
      </c>
      <c r="AI410" s="76">
        <f t="shared" si="221"/>
        <v>1.5600000000000002E-3</v>
      </c>
      <c r="AJ410" s="181">
        <f t="shared" si="222"/>
        <v>5.5650000000000005E-2</v>
      </c>
      <c r="AK410" s="182">
        <f t="shared" si="223"/>
        <v>2.3077257367928001</v>
      </c>
      <c r="AM410" s="201">
        <f t="shared" si="189"/>
        <v>2.3649357367928001</v>
      </c>
      <c r="AN410" s="202">
        <f t="shared" si="229"/>
        <v>2.2960541133910679</v>
      </c>
      <c r="AO410" s="202">
        <f t="shared" si="229"/>
        <v>2.2291787508651146</v>
      </c>
      <c r="AP410" s="202">
        <f t="shared" si="230"/>
        <v>2.16425121443215</v>
      </c>
      <c r="AQ410" s="202">
        <f t="shared" si="230"/>
        <v>2.1012147712933498</v>
      </c>
      <c r="AR410" s="202">
        <f t="shared" si="230"/>
        <v>2.0400143410615046</v>
      </c>
      <c r="AS410" s="202">
        <f t="shared" si="230"/>
        <v>1.9805964476325288</v>
      </c>
      <c r="AT410" s="202">
        <f t="shared" si="230"/>
        <v>1.9229091724587657</v>
      </c>
      <c r="AU410" s="202">
        <f t="shared" si="230"/>
        <v>1.8669021091832678</v>
      </c>
      <c r="AV410" s="202">
        <f t="shared" si="230"/>
        <v>1.8125263195954056</v>
      </c>
      <c r="AW410" s="202">
        <f t="shared" si="230"/>
        <v>1.7597342908693259</v>
      </c>
      <c r="AX410" s="202">
        <f t="shared" si="230"/>
        <v>1.7084798940478891</v>
      </c>
      <c r="AY410" s="202">
        <f t="shared" si="230"/>
        <v>1.6587183437358151</v>
      </c>
      <c r="AZ410" s="202">
        <f t="shared" si="231"/>
        <v>1.6104061589668108</v>
      </c>
      <c r="BA410" s="202">
        <f t="shared" si="231"/>
        <v>1.5635011252104958</v>
      </c>
      <c r="BB410" s="202">
        <f t="shared" si="231"/>
        <v>1.517962257485918</v>
      </c>
      <c r="BC410" s="202">
        <f t="shared" si="231"/>
        <v>1.4737497645494353</v>
      </c>
      <c r="BD410" s="202">
        <f t="shared" si="231"/>
        <v>1.4308250141256653</v>
      </c>
      <c r="BE410" s="202">
        <f t="shared" si="231"/>
        <v>1.3891504991511314</v>
      </c>
      <c r="BF410" s="202">
        <f t="shared" si="231"/>
        <v>1.3486898050010985</v>
      </c>
      <c r="BG410" s="203">
        <f t="shared" si="191"/>
        <v>36.239800129849542</v>
      </c>
    </row>
    <row r="411" spans="27:59">
      <c r="AA411" s="180">
        <f t="shared" si="196"/>
        <v>924000000</v>
      </c>
      <c r="AB411" s="41">
        <f t="shared" si="217"/>
        <v>1100</v>
      </c>
      <c r="AC411" s="21">
        <v>44</v>
      </c>
      <c r="AD411" s="21" t="s">
        <v>283</v>
      </c>
      <c r="AE411" s="175">
        <f t="shared" si="218"/>
        <v>30</v>
      </c>
      <c r="AF411" s="183">
        <f t="shared" si="219"/>
        <v>27</v>
      </c>
      <c r="AG411" s="84">
        <f t="shared" si="226"/>
        <v>0.39750000000000002</v>
      </c>
      <c r="AH411" s="244">
        <f t="shared" si="220"/>
        <v>0.159</v>
      </c>
      <c r="AI411" s="76">
        <f t="shared" si="221"/>
        <v>1.5600000000000002E-3</v>
      </c>
      <c r="AJ411" s="181">
        <f t="shared" si="222"/>
        <v>5.5650000000000005E-2</v>
      </c>
      <c r="AK411" s="182">
        <f t="shared" si="223"/>
        <v>2.3077257367928001</v>
      </c>
      <c r="AM411" s="201">
        <f t="shared" si="189"/>
        <v>2.3649357367928001</v>
      </c>
      <c r="AN411" s="202">
        <f t="shared" si="229"/>
        <v>2.2960541133910679</v>
      </c>
      <c r="AO411" s="202">
        <f t="shared" si="229"/>
        <v>2.2291787508651146</v>
      </c>
      <c r="AP411" s="202">
        <f t="shared" si="230"/>
        <v>2.16425121443215</v>
      </c>
      <c r="AQ411" s="202">
        <f t="shared" si="230"/>
        <v>2.1012147712933498</v>
      </c>
      <c r="AR411" s="202">
        <f t="shared" si="230"/>
        <v>2.0400143410615046</v>
      </c>
      <c r="AS411" s="202">
        <f t="shared" si="230"/>
        <v>1.9805964476325288</v>
      </c>
      <c r="AT411" s="202">
        <f t="shared" si="230"/>
        <v>1.9229091724587657</v>
      </c>
      <c r="AU411" s="202">
        <f t="shared" si="230"/>
        <v>1.8669021091832678</v>
      </c>
      <c r="AV411" s="202">
        <f t="shared" si="230"/>
        <v>1.8125263195954056</v>
      </c>
      <c r="AW411" s="202">
        <f t="shared" si="230"/>
        <v>1.7597342908693259</v>
      </c>
      <c r="AX411" s="202">
        <f t="shared" si="230"/>
        <v>1.7084798940478891</v>
      </c>
      <c r="AY411" s="202">
        <f t="shared" si="230"/>
        <v>1.6587183437358151</v>
      </c>
      <c r="AZ411" s="202">
        <f t="shared" si="231"/>
        <v>1.6104061589668108</v>
      </c>
      <c r="BA411" s="202">
        <f t="shared" si="231"/>
        <v>1.5635011252104958</v>
      </c>
      <c r="BB411" s="202">
        <f t="shared" si="231"/>
        <v>1.517962257485918</v>
      </c>
      <c r="BC411" s="202">
        <f t="shared" si="231"/>
        <v>1.4737497645494353</v>
      </c>
      <c r="BD411" s="202">
        <f t="shared" si="231"/>
        <v>1.4308250141256653</v>
      </c>
      <c r="BE411" s="202">
        <f t="shared" si="231"/>
        <v>1.3891504991511314</v>
      </c>
      <c r="BF411" s="202">
        <f t="shared" si="231"/>
        <v>1.3486898050010985</v>
      </c>
      <c r="BG411" s="203">
        <f t="shared" si="191"/>
        <v>36.239800129849542</v>
      </c>
    </row>
    <row r="412" spans="27:59">
      <c r="AA412" s="180">
        <f t="shared" si="196"/>
        <v>945000000</v>
      </c>
      <c r="AB412" s="41">
        <f t="shared" si="217"/>
        <v>1125</v>
      </c>
      <c r="AC412" s="21">
        <v>45</v>
      </c>
      <c r="AD412" s="21" t="s">
        <v>283</v>
      </c>
      <c r="AE412" s="175">
        <f t="shared" si="218"/>
        <v>30</v>
      </c>
      <c r="AF412" s="183">
        <f t="shared" si="219"/>
        <v>27</v>
      </c>
      <c r="AG412" s="84">
        <f t="shared" si="226"/>
        <v>0.39750000000000002</v>
      </c>
      <c r="AH412" s="244">
        <f t="shared" si="220"/>
        <v>0.159</v>
      </c>
      <c r="AI412" s="76">
        <f t="shared" si="221"/>
        <v>1.5600000000000002E-3</v>
      </c>
      <c r="AJ412" s="181">
        <f t="shared" si="222"/>
        <v>5.5650000000000005E-2</v>
      </c>
      <c r="AK412" s="182">
        <f t="shared" si="223"/>
        <v>2.3077257367928001</v>
      </c>
      <c r="AM412" s="201">
        <f t="shared" si="189"/>
        <v>2.3649357367928001</v>
      </c>
      <c r="AN412" s="202">
        <f t="shared" si="229"/>
        <v>2.2960541133910679</v>
      </c>
      <c r="AO412" s="202">
        <f t="shared" si="229"/>
        <v>2.2291787508651146</v>
      </c>
      <c r="AP412" s="202">
        <f t="shared" si="230"/>
        <v>2.16425121443215</v>
      </c>
      <c r="AQ412" s="202">
        <f t="shared" si="230"/>
        <v>2.1012147712933498</v>
      </c>
      <c r="AR412" s="202">
        <f t="shared" si="230"/>
        <v>2.0400143410615046</v>
      </c>
      <c r="AS412" s="202">
        <f t="shared" si="230"/>
        <v>1.9805964476325288</v>
      </c>
      <c r="AT412" s="202">
        <f t="shared" si="230"/>
        <v>1.9229091724587657</v>
      </c>
      <c r="AU412" s="202">
        <f t="shared" si="230"/>
        <v>1.8669021091832678</v>
      </c>
      <c r="AV412" s="202">
        <f t="shared" si="230"/>
        <v>1.8125263195954056</v>
      </c>
      <c r="AW412" s="202">
        <f t="shared" si="230"/>
        <v>1.7597342908693259</v>
      </c>
      <c r="AX412" s="202">
        <f t="shared" si="230"/>
        <v>1.7084798940478891</v>
      </c>
      <c r="AY412" s="202">
        <f t="shared" si="230"/>
        <v>1.6587183437358151</v>
      </c>
      <c r="AZ412" s="202">
        <f t="shared" si="231"/>
        <v>1.6104061589668108</v>
      </c>
      <c r="BA412" s="202">
        <f t="shared" si="231"/>
        <v>1.5635011252104958</v>
      </c>
      <c r="BB412" s="202">
        <f t="shared" si="231"/>
        <v>1.517962257485918</v>
      </c>
      <c r="BC412" s="202">
        <f t="shared" si="231"/>
        <v>1.4737497645494353</v>
      </c>
      <c r="BD412" s="202">
        <f t="shared" si="231"/>
        <v>1.4308250141256653</v>
      </c>
      <c r="BE412" s="202">
        <f t="shared" si="231"/>
        <v>1.3891504991511314</v>
      </c>
      <c r="BF412" s="202">
        <f t="shared" si="231"/>
        <v>1.3486898050010985</v>
      </c>
      <c r="BG412" s="203">
        <f t="shared" si="191"/>
        <v>36.239800129849542</v>
      </c>
    </row>
    <row r="413" spans="27:59">
      <c r="AA413" s="180">
        <f t="shared" si="196"/>
        <v>966000000</v>
      </c>
      <c r="AB413" s="41">
        <f t="shared" si="217"/>
        <v>1150</v>
      </c>
      <c r="AC413" s="21">
        <v>46</v>
      </c>
      <c r="AD413" s="21" t="s">
        <v>283</v>
      </c>
      <c r="AE413" s="175">
        <f t="shared" si="218"/>
        <v>30</v>
      </c>
      <c r="AF413" s="183">
        <f t="shared" si="219"/>
        <v>27</v>
      </c>
      <c r="AG413" s="84">
        <f t="shared" si="226"/>
        <v>0.39750000000000002</v>
      </c>
      <c r="AH413" s="244">
        <f t="shared" si="220"/>
        <v>0.159</v>
      </c>
      <c r="AI413" s="76">
        <f t="shared" si="221"/>
        <v>1.5600000000000002E-3</v>
      </c>
      <c r="AJ413" s="181">
        <f t="shared" si="222"/>
        <v>5.5650000000000005E-2</v>
      </c>
      <c r="AK413" s="182">
        <f t="shared" si="223"/>
        <v>2.3077257367928001</v>
      </c>
      <c r="AM413" s="201">
        <f t="shared" si="189"/>
        <v>2.3649357367928001</v>
      </c>
      <c r="AN413" s="202">
        <f t="shared" si="229"/>
        <v>2.2960541133910679</v>
      </c>
      <c r="AO413" s="202">
        <f t="shared" si="229"/>
        <v>2.2291787508651146</v>
      </c>
      <c r="AP413" s="202">
        <f t="shared" si="230"/>
        <v>2.16425121443215</v>
      </c>
      <c r="AQ413" s="202">
        <f t="shared" si="230"/>
        <v>2.1012147712933498</v>
      </c>
      <c r="AR413" s="202">
        <f t="shared" si="230"/>
        <v>2.0400143410615046</v>
      </c>
      <c r="AS413" s="202">
        <f t="shared" si="230"/>
        <v>1.9805964476325288</v>
      </c>
      <c r="AT413" s="202">
        <f t="shared" si="230"/>
        <v>1.9229091724587657</v>
      </c>
      <c r="AU413" s="202">
        <f t="shared" si="230"/>
        <v>1.8669021091832678</v>
      </c>
      <c r="AV413" s="202">
        <f t="shared" si="230"/>
        <v>1.8125263195954056</v>
      </c>
      <c r="AW413" s="202">
        <f t="shared" si="230"/>
        <v>1.7597342908693259</v>
      </c>
      <c r="AX413" s="202">
        <f t="shared" si="230"/>
        <v>1.7084798940478891</v>
      </c>
      <c r="AY413" s="202">
        <f t="shared" si="230"/>
        <v>1.6587183437358151</v>
      </c>
      <c r="AZ413" s="202">
        <f t="shared" si="231"/>
        <v>1.6104061589668108</v>
      </c>
      <c r="BA413" s="202">
        <f t="shared" si="231"/>
        <v>1.5635011252104958</v>
      </c>
      <c r="BB413" s="202">
        <f t="shared" si="231"/>
        <v>1.517962257485918</v>
      </c>
      <c r="BC413" s="202">
        <f t="shared" si="231"/>
        <v>1.4737497645494353</v>
      </c>
      <c r="BD413" s="202">
        <f t="shared" si="231"/>
        <v>1.4308250141256653</v>
      </c>
      <c r="BE413" s="202">
        <f t="shared" si="231"/>
        <v>1.3891504991511314</v>
      </c>
      <c r="BF413" s="202">
        <f t="shared" si="231"/>
        <v>1.3486898050010985</v>
      </c>
      <c r="BG413" s="203">
        <f t="shared" si="191"/>
        <v>36.239800129849542</v>
      </c>
    </row>
    <row r="414" spans="27:59">
      <c r="AA414" s="180">
        <f t="shared" si="196"/>
        <v>987000000</v>
      </c>
      <c r="AB414" s="41">
        <f t="shared" si="217"/>
        <v>1175</v>
      </c>
      <c r="AC414" s="21">
        <v>47</v>
      </c>
      <c r="AD414" s="21" t="s">
        <v>283</v>
      </c>
      <c r="AE414" s="175">
        <f t="shared" si="218"/>
        <v>30</v>
      </c>
      <c r="AF414" s="183">
        <f t="shared" si="219"/>
        <v>27</v>
      </c>
      <c r="AG414" s="84">
        <f t="shared" si="226"/>
        <v>0.39750000000000002</v>
      </c>
      <c r="AH414" s="244">
        <f t="shared" si="220"/>
        <v>0.159</v>
      </c>
      <c r="AI414" s="76">
        <f t="shared" si="221"/>
        <v>1.5600000000000002E-3</v>
      </c>
      <c r="AJ414" s="181">
        <f t="shared" si="222"/>
        <v>5.5650000000000005E-2</v>
      </c>
      <c r="AK414" s="182">
        <f t="shared" si="223"/>
        <v>2.3077257367928001</v>
      </c>
      <c r="AM414" s="201">
        <f t="shared" si="189"/>
        <v>2.3649357367928001</v>
      </c>
      <c r="AN414" s="202">
        <f t="shared" si="229"/>
        <v>2.2960541133910679</v>
      </c>
      <c r="AO414" s="202">
        <f t="shared" si="229"/>
        <v>2.2291787508651146</v>
      </c>
      <c r="AP414" s="202">
        <f t="shared" si="230"/>
        <v>2.16425121443215</v>
      </c>
      <c r="AQ414" s="202">
        <f t="shared" si="230"/>
        <v>2.1012147712933498</v>
      </c>
      <c r="AR414" s="202">
        <f t="shared" si="230"/>
        <v>2.0400143410615046</v>
      </c>
      <c r="AS414" s="202">
        <f t="shared" si="230"/>
        <v>1.9805964476325288</v>
      </c>
      <c r="AT414" s="202">
        <f t="shared" si="230"/>
        <v>1.9229091724587657</v>
      </c>
      <c r="AU414" s="202">
        <f t="shared" si="230"/>
        <v>1.8669021091832678</v>
      </c>
      <c r="AV414" s="202">
        <f t="shared" si="230"/>
        <v>1.8125263195954056</v>
      </c>
      <c r="AW414" s="202">
        <f t="shared" si="230"/>
        <v>1.7597342908693259</v>
      </c>
      <c r="AX414" s="202">
        <f t="shared" si="230"/>
        <v>1.7084798940478891</v>
      </c>
      <c r="AY414" s="202">
        <f t="shared" si="230"/>
        <v>1.6587183437358151</v>
      </c>
      <c r="AZ414" s="202">
        <f t="shared" si="231"/>
        <v>1.6104061589668108</v>
      </c>
      <c r="BA414" s="202">
        <f t="shared" si="231"/>
        <v>1.5635011252104958</v>
      </c>
      <c r="BB414" s="202">
        <f t="shared" si="231"/>
        <v>1.517962257485918</v>
      </c>
      <c r="BC414" s="202">
        <f t="shared" si="231"/>
        <v>1.4737497645494353</v>
      </c>
      <c r="BD414" s="202">
        <f t="shared" si="231"/>
        <v>1.4308250141256653</v>
      </c>
      <c r="BE414" s="202">
        <f t="shared" si="231"/>
        <v>1.3891504991511314</v>
      </c>
      <c r="BF414" s="202">
        <f t="shared" si="231"/>
        <v>1.3486898050010985</v>
      </c>
      <c r="BG414" s="203">
        <f t="shared" si="191"/>
        <v>36.239800129849542</v>
      </c>
    </row>
    <row r="415" spans="27:59">
      <c r="AA415" s="180">
        <f t="shared" si="196"/>
        <v>1008000000</v>
      </c>
      <c r="AB415" s="41">
        <f t="shared" si="217"/>
        <v>1200</v>
      </c>
      <c r="AC415" s="21">
        <v>48</v>
      </c>
      <c r="AD415" s="21" t="s">
        <v>283</v>
      </c>
      <c r="AE415" s="175">
        <f t="shared" si="218"/>
        <v>30</v>
      </c>
      <c r="AF415" s="183">
        <f t="shared" si="219"/>
        <v>27</v>
      </c>
      <c r="AG415" s="84">
        <f t="shared" si="226"/>
        <v>0.39750000000000002</v>
      </c>
      <c r="AH415" s="244">
        <f t="shared" si="220"/>
        <v>0.159</v>
      </c>
      <c r="AI415" s="76">
        <f t="shared" si="221"/>
        <v>1.5600000000000002E-3</v>
      </c>
      <c r="AJ415" s="181">
        <f t="shared" si="222"/>
        <v>5.5650000000000005E-2</v>
      </c>
      <c r="AK415" s="182">
        <f t="shared" si="223"/>
        <v>2.3077257367928001</v>
      </c>
      <c r="AM415" s="201">
        <f t="shared" si="189"/>
        <v>2.3649357367928001</v>
      </c>
      <c r="AN415" s="202">
        <f t="shared" si="229"/>
        <v>2.2960541133910679</v>
      </c>
      <c r="AO415" s="202">
        <f t="shared" si="229"/>
        <v>2.2291787508651146</v>
      </c>
      <c r="AP415" s="202">
        <f t="shared" si="230"/>
        <v>2.16425121443215</v>
      </c>
      <c r="AQ415" s="202">
        <f t="shared" si="230"/>
        <v>2.1012147712933498</v>
      </c>
      <c r="AR415" s="202">
        <f t="shared" si="230"/>
        <v>2.0400143410615046</v>
      </c>
      <c r="AS415" s="202">
        <f t="shared" si="230"/>
        <v>1.9805964476325288</v>
      </c>
      <c r="AT415" s="202">
        <f t="shared" si="230"/>
        <v>1.9229091724587657</v>
      </c>
      <c r="AU415" s="202">
        <f t="shared" si="230"/>
        <v>1.8669021091832678</v>
      </c>
      <c r="AV415" s="202">
        <f t="shared" si="230"/>
        <v>1.8125263195954056</v>
      </c>
      <c r="AW415" s="202">
        <f t="shared" si="230"/>
        <v>1.7597342908693259</v>
      </c>
      <c r="AX415" s="202">
        <f t="shared" si="230"/>
        <v>1.7084798940478891</v>
      </c>
      <c r="AY415" s="202">
        <f t="shared" si="230"/>
        <v>1.6587183437358151</v>
      </c>
      <c r="AZ415" s="202">
        <f t="shared" si="231"/>
        <v>1.6104061589668108</v>
      </c>
      <c r="BA415" s="202">
        <f t="shared" si="231"/>
        <v>1.5635011252104958</v>
      </c>
      <c r="BB415" s="202">
        <f t="shared" si="231"/>
        <v>1.517962257485918</v>
      </c>
      <c r="BC415" s="202">
        <f t="shared" si="231"/>
        <v>1.4737497645494353</v>
      </c>
      <c r="BD415" s="202">
        <f t="shared" si="231"/>
        <v>1.4308250141256653</v>
      </c>
      <c r="BE415" s="202">
        <f t="shared" si="231"/>
        <v>1.3891504991511314</v>
      </c>
      <c r="BF415" s="202">
        <f t="shared" si="231"/>
        <v>1.3486898050010985</v>
      </c>
      <c r="BG415" s="203">
        <f t="shared" si="191"/>
        <v>36.239800129849542</v>
      </c>
    </row>
    <row r="416" spans="27:59">
      <c r="AA416" s="180">
        <f t="shared" si="196"/>
        <v>1029000000</v>
      </c>
      <c r="AB416" s="41">
        <f t="shared" si="217"/>
        <v>1225</v>
      </c>
      <c r="AC416" s="21">
        <v>49</v>
      </c>
      <c r="AD416" s="21" t="s">
        <v>283</v>
      </c>
      <c r="AE416" s="175">
        <f t="shared" si="218"/>
        <v>30</v>
      </c>
      <c r="AF416" s="183">
        <f t="shared" si="219"/>
        <v>27</v>
      </c>
      <c r="AG416" s="84">
        <f t="shared" si="226"/>
        <v>0.39750000000000002</v>
      </c>
      <c r="AH416" s="244">
        <f t="shared" si="220"/>
        <v>0.159</v>
      </c>
      <c r="AI416" s="76">
        <f t="shared" si="221"/>
        <v>1.5600000000000002E-3</v>
      </c>
      <c r="AJ416" s="181">
        <f t="shared" si="222"/>
        <v>5.5650000000000005E-2</v>
      </c>
      <c r="AK416" s="182">
        <f t="shared" si="223"/>
        <v>2.3077257367928001</v>
      </c>
      <c r="AM416" s="201">
        <f t="shared" si="189"/>
        <v>2.3649357367928001</v>
      </c>
      <c r="AN416" s="202">
        <f t="shared" si="229"/>
        <v>2.2960541133910679</v>
      </c>
      <c r="AO416" s="202">
        <f t="shared" si="229"/>
        <v>2.2291787508651146</v>
      </c>
      <c r="AP416" s="202">
        <f t="shared" si="230"/>
        <v>2.16425121443215</v>
      </c>
      <c r="AQ416" s="202">
        <f t="shared" si="230"/>
        <v>2.1012147712933498</v>
      </c>
      <c r="AR416" s="202">
        <f t="shared" si="230"/>
        <v>2.0400143410615046</v>
      </c>
      <c r="AS416" s="202">
        <f t="shared" si="230"/>
        <v>1.9805964476325288</v>
      </c>
      <c r="AT416" s="202">
        <f t="shared" si="230"/>
        <v>1.9229091724587657</v>
      </c>
      <c r="AU416" s="202">
        <f t="shared" si="230"/>
        <v>1.8669021091832678</v>
      </c>
      <c r="AV416" s="202">
        <f t="shared" si="230"/>
        <v>1.8125263195954056</v>
      </c>
      <c r="AW416" s="202">
        <f t="shared" si="230"/>
        <v>1.7597342908693259</v>
      </c>
      <c r="AX416" s="202">
        <f t="shared" si="230"/>
        <v>1.7084798940478891</v>
      </c>
      <c r="AY416" s="202">
        <f t="shared" si="230"/>
        <v>1.6587183437358151</v>
      </c>
      <c r="AZ416" s="202">
        <f t="shared" si="231"/>
        <v>1.6104061589668108</v>
      </c>
      <c r="BA416" s="202">
        <f t="shared" si="231"/>
        <v>1.5635011252104958</v>
      </c>
      <c r="BB416" s="202">
        <f t="shared" si="231"/>
        <v>1.517962257485918</v>
      </c>
      <c r="BC416" s="202">
        <f t="shared" si="231"/>
        <v>1.4737497645494353</v>
      </c>
      <c r="BD416" s="202">
        <f t="shared" si="231"/>
        <v>1.4308250141256653</v>
      </c>
      <c r="BE416" s="202">
        <f t="shared" si="231"/>
        <v>1.3891504991511314</v>
      </c>
      <c r="BF416" s="202">
        <f t="shared" si="231"/>
        <v>1.3486898050010985</v>
      </c>
      <c r="BG416" s="203">
        <f t="shared" si="191"/>
        <v>36.239800129849542</v>
      </c>
    </row>
    <row r="417" spans="27:59">
      <c r="AA417" s="180">
        <f t="shared" si="196"/>
        <v>1050000000</v>
      </c>
      <c r="AB417" s="41">
        <f t="shared" si="217"/>
        <v>1250</v>
      </c>
      <c r="AC417" s="21">
        <v>50</v>
      </c>
      <c r="AD417" s="21" t="s">
        <v>283</v>
      </c>
      <c r="AE417" s="175">
        <f t="shared" si="218"/>
        <v>30</v>
      </c>
      <c r="AF417" s="183">
        <f t="shared" si="219"/>
        <v>27</v>
      </c>
      <c r="AG417" s="84">
        <f t="shared" si="226"/>
        <v>0.39750000000000002</v>
      </c>
      <c r="AH417" s="244">
        <f t="shared" si="220"/>
        <v>0.159</v>
      </c>
      <c r="AI417" s="76">
        <f t="shared" si="221"/>
        <v>1.5600000000000002E-3</v>
      </c>
      <c r="AJ417" s="181">
        <f t="shared" si="222"/>
        <v>5.5650000000000005E-2</v>
      </c>
      <c r="AK417" s="182">
        <f t="shared" si="223"/>
        <v>2.3077257367928001</v>
      </c>
      <c r="AM417" s="201">
        <f t="shared" si="189"/>
        <v>2.3649357367928001</v>
      </c>
      <c r="AN417" s="202">
        <f t="shared" si="229"/>
        <v>2.2960541133910679</v>
      </c>
      <c r="AO417" s="202">
        <f t="shared" si="229"/>
        <v>2.2291787508651146</v>
      </c>
      <c r="AP417" s="202">
        <f t="shared" si="230"/>
        <v>2.16425121443215</v>
      </c>
      <c r="AQ417" s="202">
        <f t="shared" si="230"/>
        <v>2.1012147712933498</v>
      </c>
      <c r="AR417" s="202">
        <f t="shared" si="230"/>
        <v>2.0400143410615046</v>
      </c>
      <c r="AS417" s="202">
        <f t="shared" si="230"/>
        <v>1.9805964476325288</v>
      </c>
      <c r="AT417" s="202">
        <f t="shared" si="230"/>
        <v>1.9229091724587657</v>
      </c>
      <c r="AU417" s="202">
        <f t="shared" si="230"/>
        <v>1.8669021091832678</v>
      </c>
      <c r="AV417" s="202">
        <f t="shared" si="230"/>
        <v>1.8125263195954056</v>
      </c>
      <c r="AW417" s="202">
        <f t="shared" si="230"/>
        <v>1.7597342908693259</v>
      </c>
      <c r="AX417" s="202">
        <f t="shared" si="230"/>
        <v>1.7084798940478891</v>
      </c>
      <c r="AY417" s="202">
        <f t="shared" si="230"/>
        <v>1.6587183437358151</v>
      </c>
      <c r="AZ417" s="202">
        <f t="shared" si="231"/>
        <v>1.6104061589668108</v>
      </c>
      <c r="BA417" s="202">
        <f t="shared" si="231"/>
        <v>1.5635011252104958</v>
      </c>
      <c r="BB417" s="202">
        <f t="shared" si="231"/>
        <v>1.517962257485918</v>
      </c>
      <c r="BC417" s="202">
        <f t="shared" si="231"/>
        <v>1.4737497645494353</v>
      </c>
      <c r="BD417" s="202">
        <f t="shared" si="231"/>
        <v>1.4308250141256653</v>
      </c>
      <c r="BE417" s="202">
        <f t="shared" si="231"/>
        <v>1.3891504991511314</v>
      </c>
      <c r="BF417" s="202">
        <f t="shared" si="231"/>
        <v>1.3486898050010985</v>
      </c>
      <c r="BG417" s="203">
        <f t="shared" si="191"/>
        <v>36.239800129849542</v>
      </c>
    </row>
    <row r="418" spans="27:59">
      <c r="AA418" s="180">
        <f t="shared" si="196"/>
        <v>1071000000</v>
      </c>
      <c r="AB418" s="41">
        <f t="shared" si="217"/>
        <v>1275</v>
      </c>
      <c r="AC418" s="21">
        <v>51</v>
      </c>
      <c r="AD418" s="21" t="s">
        <v>283</v>
      </c>
      <c r="AE418" s="175">
        <f t="shared" si="218"/>
        <v>30</v>
      </c>
      <c r="AF418" s="183">
        <f t="shared" si="219"/>
        <v>27</v>
      </c>
      <c r="AG418" s="84">
        <f t="shared" si="226"/>
        <v>0.39750000000000002</v>
      </c>
      <c r="AH418" s="244">
        <f t="shared" si="220"/>
        <v>0.159</v>
      </c>
      <c r="AI418" s="76">
        <f t="shared" si="221"/>
        <v>1.5600000000000002E-3</v>
      </c>
      <c r="AJ418" s="181">
        <f t="shared" si="222"/>
        <v>5.5650000000000005E-2</v>
      </c>
      <c r="AK418" s="182">
        <f t="shared" si="223"/>
        <v>2.3077257367928001</v>
      </c>
      <c r="AM418" s="201">
        <f t="shared" si="189"/>
        <v>2.3649357367928001</v>
      </c>
      <c r="AN418" s="202">
        <f t="shared" si="229"/>
        <v>2.2960541133910679</v>
      </c>
      <c r="AO418" s="202">
        <f t="shared" si="229"/>
        <v>2.2291787508651146</v>
      </c>
      <c r="AP418" s="202">
        <f t="shared" ref="AP418:AY427" si="232">$AM418/POWER(1+($B$10/100),AP$366-2024)</f>
        <v>2.16425121443215</v>
      </c>
      <c r="AQ418" s="202">
        <f t="shared" si="232"/>
        <v>2.1012147712933498</v>
      </c>
      <c r="AR418" s="202">
        <f t="shared" si="232"/>
        <v>2.0400143410615046</v>
      </c>
      <c r="AS418" s="202">
        <f t="shared" si="232"/>
        <v>1.9805964476325288</v>
      </c>
      <c r="AT418" s="202">
        <f t="shared" si="232"/>
        <v>1.9229091724587657</v>
      </c>
      <c r="AU418" s="202">
        <f t="shared" si="232"/>
        <v>1.8669021091832678</v>
      </c>
      <c r="AV418" s="202">
        <f t="shared" si="232"/>
        <v>1.8125263195954056</v>
      </c>
      <c r="AW418" s="202">
        <f t="shared" si="232"/>
        <v>1.7597342908693259</v>
      </c>
      <c r="AX418" s="202">
        <f t="shared" si="232"/>
        <v>1.7084798940478891</v>
      </c>
      <c r="AY418" s="202">
        <f t="shared" si="232"/>
        <v>1.6587183437358151</v>
      </c>
      <c r="AZ418" s="202">
        <f t="shared" ref="AZ418:BF427" si="233">$AM418/POWER(1+($B$10/100),AZ$366-2024)</f>
        <v>1.6104061589668108</v>
      </c>
      <c r="BA418" s="202">
        <f t="shared" si="233"/>
        <v>1.5635011252104958</v>
      </c>
      <c r="BB418" s="202">
        <f t="shared" si="233"/>
        <v>1.517962257485918</v>
      </c>
      <c r="BC418" s="202">
        <f t="shared" si="233"/>
        <v>1.4737497645494353</v>
      </c>
      <c r="BD418" s="202">
        <f t="shared" si="233"/>
        <v>1.4308250141256653</v>
      </c>
      <c r="BE418" s="202">
        <f t="shared" si="233"/>
        <v>1.3891504991511314</v>
      </c>
      <c r="BF418" s="202">
        <f t="shared" si="233"/>
        <v>1.3486898050010985</v>
      </c>
      <c r="BG418" s="203">
        <f t="shared" si="191"/>
        <v>36.239800129849542</v>
      </c>
    </row>
    <row r="419" spans="27:59">
      <c r="AA419" s="180">
        <f t="shared" si="196"/>
        <v>1092000000</v>
      </c>
      <c r="AB419" s="41">
        <f t="shared" si="217"/>
        <v>1300</v>
      </c>
      <c r="AC419" s="21">
        <v>52</v>
      </c>
      <c r="AD419" s="21" t="s">
        <v>283</v>
      </c>
      <c r="AE419" s="175">
        <f t="shared" si="218"/>
        <v>30</v>
      </c>
      <c r="AF419" s="183">
        <f t="shared" si="219"/>
        <v>27</v>
      </c>
      <c r="AG419" s="84">
        <f t="shared" si="226"/>
        <v>0.39750000000000002</v>
      </c>
      <c r="AH419" s="244">
        <f t="shared" si="220"/>
        <v>0.159</v>
      </c>
      <c r="AI419" s="76">
        <f t="shared" si="221"/>
        <v>1.5600000000000002E-3</v>
      </c>
      <c r="AJ419" s="181">
        <f t="shared" si="222"/>
        <v>5.5650000000000005E-2</v>
      </c>
      <c r="AK419" s="182">
        <f t="shared" si="223"/>
        <v>2.3077257367928001</v>
      </c>
      <c r="AM419" s="201">
        <f t="shared" si="189"/>
        <v>2.3649357367928001</v>
      </c>
      <c r="AN419" s="202">
        <f t="shared" si="229"/>
        <v>2.2960541133910679</v>
      </c>
      <c r="AO419" s="202">
        <f t="shared" si="229"/>
        <v>2.2291787508651146</v>
      </c>
      <c r="AP419" s="202">
        <f t="shared" si="232"/>
        <v>2.16425121443215</v>
      </c>
      <c r="AQ419" s="202">
        <f t="shared" si="232"/>
        <v>2.1012147712933498</v>
      </c>
      <c r="AR419" s="202">
        <f t="shared" si="232"/>
        <v>2.0400143410615046</v>
      </c>
      <c r="AS419" s="202">
        <f t="shared" si="232"/>
        <v>1.9805964476325288</v>
      </c>
      <c r="AT419" s="202">
        <f t="shared" si="232"/>
        <v>1.9229091724587657</v>
      </c>
      <c r="AU419" s="202">
        <f t="shared" si="232"/>
        <v>1.8669021091832678</v>
      </c>
      <c r="AV419" s="202">
        <f t="shared" si="232"/>
        <v>1.8125263195954056</v>
      </c>
      <c r="AW419" s="202">
        <f t="shared" si="232"/>
        <v>1.7597342908693259</v>
      </c>
      <c r="AX419" s="202">
        <f t="shared" si="232"/>
        <v>1.7084798940478891</v>
      </c>
      <c r="AY419" s="202">
        <f t="shared" si="232"/>
        <v>1.6587183437358151</v>
      </c>
      <c r="AZ419" s="202">
        <f t="shared" si="233"/>
        <v>1.6104061589668108</v>
      </c>
      <c r="BA419" s="202">
        <f t="shared" si="233"/>
        <v>1.5635011252104958</v>
      </c>
      <c r="BB419" s="202">
        <f t="shared" si="233"/>
        <v>1.517962257485918</v>
      </c>
      <c r="BC419" s="202">
        <f t="shared" si="233"/>
        <v>1.4737497645494353</v>
      </c>
      <c r="BD419" s="202">
        <f t="shared" si="233"/>
        <v>1.4308250141256653</v>
      </c>
      <c r="BE419" s="202">
        <f t="shared" si="233"/>
        <v>1.3891504991511314</v>
      </c>
      <c r="BF419" s="202">
        <f t="shared" si="233"/>
        <v>1.3486898050010985</v>
      </c>
      <c r="BG419" s="203">
        <f t="shared" si="191"/>
        <v>36.239800129849542</v>
      </c>
    </row>
    <row r="420" spans="27:59">
      <c r="AA420" s="180">
        <f t="shared" si="196"/>
        <v>1113000000</v>
      </c>
      <c r="AB420" s="41">
        <f t="shared" si="217"/>
        <v>1325</v>
      </c>
      <c r="AC420" s="21">
        <v>53</v>
      </c>
      <c r="AD420" s="21" t="s">
        <v>283</v>
      </c>
      <c r="AE420" s="175">
        <f t="shared" si="218"/>
        <v>30</v>
      </c>
      <c r="AF420" s="183">
        <f t="shared" si="219"/>
        <v>27</v>
      </c>
      <c r="AG420" s="84">
        <f t="shared" si="226"/>
        <v>0.39750000000000002</v>
      </c>
      <c r="AH420" s="244">
        <f t="shared" si="220"/>
        <v>0.159</v>
      </c>
      <c r="AI420" s="76">
        <f t="shared" si="221"/>
        <v>1.5600000000000002E-3</v>
      </c>
      <c r="AJ420" s="181">
        <f t="shared" si="222"/>
        <v>5.5650000000000005E-2</v>
      </c>
      <c r="AK420" s="182">
        <f t="shared" si="223"/>
        <v>2.3077257367928001</v>
      </c>
      <c r="AM420" s="201">
        <f t="shared" si="189"/>
        <v>2.3649357367928001</v>
      </c>
      <c r="AN420" s="202">
        <f t="shared" si="229"/>
        <v>2.2960541133910679</v>
      </c>
      <c r="AO420" s="202">
        <f t="shared" si="229"/>
        <v>2.2291787508651146</v>
      </c>
      <c r="AP420" s="202">
        <f t="shared" si="232"/>
        <v>2.16425121443215</v>
      </c>
      <c r="AQ420" s="202">
        <f t="shared" si="232"/>
        <v>2.1012147712933498</v>
      </c>
      <c r="AR420" s="202">
        <f t="shared" si="232"/>
        <v>2.0400143410615046</v>
      </c>
      <c r="AS420" s="202">
        <f t="shared" si="232"/>
        <v>1.9805964476325288</v>
      </c>
      <c r="AT420" s="202">
        <f t="shared" si="232"/>
        <v>1.9229091724587657</v>
      </c>
      <c r="AU420" s="202">
        <f t="shared" si="232"/>
        <v>1.8669021091832678</v>
      </c>
      <c r="AV420" s="202">
        <f t="shared" si="232"/>
        <v>1.8125263195954056</v>
      </c>
      <c r="AW420" s="202">
        <f t="shared" si="232"/>
        <v>1.7597342908693259</v>
      </c>
      <c r="AX420" s="202">
        <f t="shared" si="232"/>
        <v>1.7084798940478891</v>
      </c>
      <c r="AY420" s="202">
        <f t="shared" si="232"/>
        <v>1.6587183437358151</v>
      </c>
      <c r="AZ420" s="202">
        <f t="shared" si="233"/>
        <v>1.6104061589668108</v>
      </c>
      <c r="BA420" s="202">
        <f t="shared" si="233"/>
        <v>1.5635011252104958</v>
      </c>
      <c r="BB420" s="202">
        <f t="shared" si="233"/>
        <v>1.517962257485918</v>
      </c>
      <c r="BC420" s="202">
        <f t="shared" si="233"/>
        <v>1.4737497645494353</v>
      </c>
      <c r="BD420" s="202">
        <f t="shared" si="233"/>
        <v>1.4308250141256653</v>
      </c>
      <c r="BE420" s="202">
        <f t="shared" si="233"/>
        <v>1.3891504991511314</v>
      </c>
      <c r="BF420" s="202">
        <f t="shared" si="233"/>
        <v>1.3486898050010985</v>
      </c>
      <c r="BG420" s="203">
        <f t="shared" si="191"/>
        <v>36.239800129849542</v>
      </c>
    </row>
    <row r="421" spans="27:59">
      <c r="AA421" s="180">
        <f t="shared" si="196"/>
        <v>1134000000</v>
      </c>
      <c r="AB421" s="41">
        <f t="shared" si="217"/>
        <v>1350</v>
      </c>
      <c r="AC421" s="21">
        <v>54</v>
      </c>
      <c r="AD421" s="21" t="s">
        <v>283</v>
      </c>
      <c r="AE421" s="175">
        <f t="shared" si="218"/>
        <v>30</v>
      </c>
      <c r="AF421" s="183">
        <f t="shared" si="219"/>
        <v>27</v>
      </c>
      <c r="AG421" s="84">
        <f t="shared" si="226"/>
        <v>0.39750000000000002</v>
      </c>
      <c r="AH421" s="244">
        <f t="shared" si="220"/>
        <v>0.159</v>
      </c>
      <c r="AI421" s="76">
        <f t="shared" si="221"/>
        <v>1.5600000000000002E-3</v>
      </c>
      <c r="AJ421" s="181">
        <f t="shared" si="222"/>
        <v>5.5650000000000005E-2</v>
      </c>
      <c r="AK421" s="182">
        <f t="shared" si="223"/>
        <v>2.3077257367928001</v>
      </c>
      <c r="AM421" s="201">
        <f t="shared" si="189"/>
        <v>2.3649357367928001</v>
      </c>
      <c r="AN421" s="202">
        <f t="shared" si="229"/>
        <v>2.2960541133910679</v>
      </c>
      <c r="AO421" s="202">
        <f t="shared" si="229"/>
        <v>2.2291787508651146</v>
      </c>
      <c r="AP421" s="202">
        <f t="shared" si="232"/>
        <v>2.16425121443215</v>
      </c>
      <c r="AQ421" s="202">
        <f t="shared" si="232"/>
        <v>2.1012147712933498</v>
      </c>
      <c r="AR421" s="202">
        <f t="shared" si="232"/>
        <v>2.0400143410615046</v>
      </c>
      <c r="AS421" s="202">
        <f t="shared" si="232"/>
        <v>1.9805964476325288</v>
      </c>
      <c r="AT421" s="202">
        <f t="shared" si="232"/>
        <v>1.9229091724587657</v>
      </c>
      <c r="AU421" s="202">
        <f t="shared" si="232"/>
        <v>1.8669021091832678</v>
      </c>
      <c r="AV421" s="202">
        <f t="shared" si="232"/>
        <v>1.8125263195954056</v>
      </c>
      <c r="AW421" s="202">
        <f t="shared" si="232"/>
        <v>1.7597342908693259</v>
      </c>
      <c r="AX421" s="202">
        <f t="shared" si="232"/>
        <v>1.7084798940478891</v>
      </c>
      <c r="AY421" s="202">
        <f t="shared" si="232"/>
        <v>1.6587183437358151</v>
      </c>
      <c r="AZ421" s="202">
        <f t="shared" si="233"/>
        <v>1.6104061589668108</v>
      </c>
      <c r="BA421" s="202">
        <f t="shared" si="233"/>
        <v>1.5635011252104958</v>
      </c>
      <c r="BB421" s="202">
        <f t="shared" si="233"/>
        <v>1.517962257485918</v>
      </c>
      <c r="BC421" s="202">
        <f t="shared" si="233"/>
        <v>1.4737497645494353</v>
      </c>
      <c r="BD421" s="202">
        <f t="shared" si="233"/>
        <v>1.4308250141256653</v>
      </c>
      <c r="BE421" s="202">
        <f t="shared" si="233"/>
        <v>1.3891504991511314</v>
      </c>
      <c r="BF421" s="202">
        <f t="shared" si="233"/>
        <v>1.3486898050010985</v>
      </c>
      <c r="BG421" s="203">
        <f t="shared" si="191"/>
        <v>36.239800129849542</v>
      </c>
    </row>
    <row r="422" spans="27:59">
      <c r="AA422" s="180">
        <f t="shared" si="196"/>
        <v>1155000000</v>
      </c>
      <c r="AB422" s="41">
        <f t="shared" si="217"/>
        <v>1375</v>
      </c>
      <c r="AC422" s="21">
        <v>55</v>
      </c>
      <c r="AD422" s="21" t="s">
        <v>283</v>
      </c>
      <c r="AE422" s="175">
        <f t="shared" si="218"/>
        <v>30</v>
      </c>
      <c r="AF422" s="183">
        <f t="shared" si="219"/>
        <v>27</v>
      </c>
      <c r="AG422" s="84">
        <f t="shared" si="226"/>
        <v>0.39750000000000002</v>
      </c>
      <c r="AH422" s="244">
        <f t="shared" si="220"/>
        <v>0.159</v>
      </c>
      <c r="AI422" s="76">
        <f t="shared" si="221"/>
        <v>1.5600000000000002E-3</v>
      </c>
      <c r="AJ422" s="181">
        <f t="shared" si="222"/>
        <v>5.5650000000000005E-2</v>
      </c>
      <c r="AK422" s="182">
        <f t="shared" si="223"/>
        <v>2.3077257367928001</v>
      </c>
      <c r="AM422" s="201">
        <f t="shared" si="189"/>
        <v>2.3649357367928001</v>
      </c>
      <c r="AN422" s="202">
        <f t="shared" si="229"/>
        <v>2.2960541133910679</v>
      </c>
      <c r="AO422" s="202">
        <f t="shared" si="229"/>
        <v>2.2291787508651146</v>
      </c>
      <c r="AP422" s="202">
        <f t="shared" si="232"/>
        <v>2.16425121443215</v>
      </c>
      <c r="AQ422" s="202">
        <f t="shared" si="232"/>
        <v>2.1012147712933498</v>
      </c>
      <c r="AR422" s="202">
        <f t="shared" si="232"/>
        <v>2.0400143410615046</v>
      </c>
      <c r="AS422" s="202">
        <f t="shared" si="232"/>
        <v>1.9805964476325288</v>
      </c>
      <c r="AT422" s="202">
        <f t="shared" si="232"/>
        <v>1.9229091724587657</v>
      </c>
      <c r="AU422" s="202">
        <f t="shared" si="232"/>
        <v>1.8669021091832678</v>
      </c>
      <c r="AV422" s="202">
        <f t="shared" si="232"/>
        <v>1.8125263195954056</v>
      </c>
      <c r="AW422" s="202">
        <f t="shared" si="232"/>
        <v>1.7597342908693259</v>
      </c>
      <c r="AX422" s="202">
        <f t="shared" si="232"/>
        <v>1.7084798940478891</v>
      </c>
      <c r="AY422" s="202">
        <f t="shared" si="232"/>
        <v>1.6587183437358151</v>
      </c>
      <c r="AZ422" s="202">
        <f t="shared" si="233"/>
        <v>1.6104061589668108</v>
      </c>
      <c r="BA422" s="202">
        <f t="shared" si="233"/>
        <v>1.5635011252104958</v>
      </c>
      <c r="BB422" s="202">
        <f t="shared" si="233"/>
        <v>1.517962257485918</v>
      </c>
      <c r="BC422" s="202">
        <f t="shared" si="233"/>
        <v>1.4737497645494353</v>
      </c>
      <c r="BD422" s="202">
        <f t="shared" si="233"/>
        <v>1.4308250141256653</v>
      </c>
      <c r="BE422" s="202">
        <f t="shared" si="233"/>
        <v>1.3891504991511314</v>
      </c>
      <c r="BF422" s="202">
        <f t="shared" si="233"/>
        <v>1.3486898050010985</v>
      </c>
      <c r="BG422" s="203">
        <f t="shared" si="191"/>
        <v>36.239800129849542</v>
      </c>
    </row>
    <row r="423" spans="27:59">
      <c r="AA423" s="180">
        <f t="shared" si="196"/>
        <v>1176000000</v>
      </c>
      <c r="AB423" s="41">
        <f t="shared" si="217"/>
        <v>1400</v>
      </c>
      <c r="AC423" s="21">
        <v>56</v>
      </c>
      <c r="AD423" s="21" t="s">
        <v>283</v>
      </c>
      <c r="AE423" s="175">
        <f t="shared" si="218"/>
        <v>30</v>
      </c>
      <c r="AF423" s="183">
        <f t="shared" si="219"/>
        <v>27</v>
      </c>
      <c r="AG423" s="84">
        <f t="shared" si="226"/>
        <v>0.39750000000000002</v>
      </c>
      <c r="AH423" s="244">
        <f t="shared" si="220"/>
        <v>0.159</v>
      </c>
      <c r="AI423" s="76">
        <f t="shared" si="221"/>
        <v>1.5600000000000002E-3</v>
      </c>
      <c r="AJ423" s="181">
        <f t="shared" si="222"/>
        <v>5.5650000000000005E-2</v>
      </c>
      <c r="AK423" s="182">
        <f t="shared" si="223"/>
        <v>2.3077257367928001</v>
      </c>
      <c r="AM423" s="201">
        <f t="shared" si="189"/>
        <v>2.3649357367928001</v>
      </c>
      <c r="AN423" s="202">
        <f t="shared" si="229"/>
        <v>2.2960541133910679</v>
      </c>
      <c r="AO423" s="202">
        <f t="shared" si="229"/>
        <v>2.2291787508651146</v>
      </c>
      <c r="AP423" s="202">
        <f t="shared" si="232"/>
        <v>2.16425121443215</v>
      </c>
      <c r="AQ423" s="202">
        <f t="shared" si="232"/>
        <v>2.1012147712933498</v>
      </c>
      <c r="AR423" s="202">
        <f t="shared" si="232"/>
        <v>2.0400143410615046</v>
      </c>
      <c r="AS423" s="202">
        <f t="shared" si="232"/>
        <v>1.9805964476325288</v>
      </c>
      <c r="AT423" s="202">
        <f t="shared" si="232"/>
        <v>1.9229091724587657</v>
      </c>
      <c r="AU423" s="202">
        <f t="shared" si="232"/>
        <v>1.8669021091832678</v>
      </c>
      <c r="AV423" s="202">
        <f t="shared" si="232"/>
        <v>1.8125263195954056</v>
      </c>
      <c r="AW423" s="202">
        <f t="shared" si="232"/>
        <v>1.7597342908693259</v>
      </c>
      <c r="AX423" s="202">
        <f t="shared" si="232"/>
        <v>1.7084798940478891</v>
      </c>
      <c r="AY423" s="202">
        <f t="shared" si="232"/>
        <v>1.6587183437358151</v>
      </c>
      <c r="AZ423" s="202">
        <f t="shared" si="233"/>
        <v>1.6104061589668108</v>
      </c>
      <c r="BA423" s="202">
        <f t="shared" si="233"/>
        <v>1.5635011252104958</v>
      </c>
      <c r="BB423" s="202">
        <f t="shared" si="233"/>
        <v>1.517962257485918</v>
      </c>
      <c r="BC423" s="202">
        <f t="shared" si="233"/>
        <v>1.4737497645494353</v>
      </c>
      <c r="BD423" s="202">
        <f t="shared" si="233"/>
        <v>1.4308250141256653</v>
      </c>
      <c r="BE423" s="202">
        <f t="shared" si="233"/>
        <v>1.3891504991511314</v>
      </c>
      <c r="BF423" s="202">
        <f t="shared" si="233"/>
        <v>1.3486898050010985</v>
      </c>
      <c r="BG423" s="203">
        <f t="shared" si="191"/>
        <v>36.239800129849542</v>
      </c>
    </row>
    <row r="424" spans="27:59">
      <c r="AA424" s="180">
        <f t="shared" si="196"/>
        <v>1197000000</v>
      </c>
      <c r="AB424" s="41">
        <f t="shared" si="217"/>
        <v>1425</v>
      </c>
      <c r="AC424" s="21">
        <v>57</v>
      </c>
      <c r="AD424" s="21" t="s">
        <v>283</v>
      </c>
      <c r="AE424" s="175">
        <f t="shared" si="218"/>
        <v>30</v>
      </c>
      <c r="AF424" s="183">
        <f t="shared" si="219"/>
        <v>27</v>
      </c>
      <c r="AG424" s="84">
        <f t="shared" si="226"/>
        <v>0.39750000000000002</v>
      </c>
      <c r="AH424" s="244">
        <f t="shared" si="220"/>
        <v>0.159</v>
      </c>
      <c r="AI424" s="76">
        <f t="shared" si="221"/>
        <v>1.5600000000000002E-3</v>
      </c>
      <c r="AJ424" s="181">
        <f t="shared" si="222"/>
        <v>5.5650000000000005E-2</v>
      </c>
      <c r="AK424" s="182">
        <f t="shared" si="223"/>
        <v>2.3077257367928001</v>
      </c>
      <c r="AM424" s="201">
        <f t="shared" si="189"/>
        <v>2.3649357367928001</v>
      </c>
      <c r="AN424" s="202">
        <f t="shared" si="229"/>
        <v>2.2960541133910679</v>
      </c>
      <c r="AO424" s="202">
        <f t="shared" si="229"/>
        <v>2.2291787508651146</v>
      </c>
      <c r="AP424" s="202">
        <f t="shared" si="232"/>
        <v>2.16425121443215</v>
      </c>
      <c r="AQ424" s="202">
        <f t="shared" si="232"/>
        <v>2.1012147712933498</v>
      </c>
      <c r="AR424" s="202">
        <f t="shared" si="232"/>
        <v>2.0400143410615046</v>
      </c>
      <c r="AS424" s="202">
        <f t="shared" si="232"/>
        <v>1.9805964476325288</v>
      </c>
      <c r="AT424" s="202">
        <f t="shared" si="232"/>
        <v>1.9229091724587657</v>
      </c>
      <c r="AU424" s="202">
        <f t="shared" si="232"/>
        <v>1.8669021091832678</v>
      </c>
      <c r="AV424" s="202">
        <f t="shared" si="232"/>
        <v>1.8125263195954056</v>
      </c>
      <c r="AW424" s="202">
        <f t="shared" si="232"/>
        <v>1.7597342908693259</v>
      </c>
      <c r="AX424" s="202">
        <f t="shared" si="232"/>
        <v>1.7084798940478891</v>
      </c>
      <c r="AY424" s="202">
        <f t="shared" si="232"/>
        <v>1.6587183437358151</v>
      </c>
      <c r="AZ424" s="202">
        <f t="shared" si="233"/>
        <v>1.6104061589668108</v>
      </c>
      <c r="BA424" s="202">
        <f t="shared" si="233"/>
        <v>1.5635011252104958</v>
      </c>
      <c r="BB424" s="202">
        <f t="shared" si="233"/>
        <v>1.517962257485918</v>
      </c>
      <c r="BC424" s="202">
        <f t="shared" si="233"/>
        <v>1.4737497645494353</v>
      </c>
      <c r="BD424" s="202">
        <f t="shared" si="233"/>
        <v>1.4308250141256653</v>
      </c>
      <c r="BE424" s="202">
        <f t="shared" si="233"/>
        <v>1.3891504991511314</v>
      </c>
      <c r="BF424" s="202">
        <f t="shared" si="233"/>
        <v>1.3486898050010985</v>
      </c>
      <c r="BG424" s="203">
        <f t="shared" si="191"/>
        <v>36.239800129849542</v>
      </c>
    </row>
    <row r="425" spans="27:59">
      <c r="AA425" s="180">
        <f t="shared" si="196"/>
        <v>1218000000</v>
      </c>
      <c r="AB425" s="41">
        <f t="shared" si="217"/>
        <v>1450</v>
      </c>
      <c r="AC425" s="21">
        <v>58</v>
      </c>
      <c r="AD425" s="21" t="s">
        <v>283</v>
      </c>
      <c r="AE425" s="175">
        <f t="shared" si="218"/>
        <v>30</v>
      </c>
      <c r="AF425" s="183">
        <f t="shared" si="219"/>
        <v>27</v>
      </c>
      <c r="AG425" s="84">
        <f t="shared" si="226"/>
        <v>0.39750000000000002</v>
      </c>
      <c r="AH425" s="244">
        <f t="shared" si="220"/>
        <v>0.159</v>
      </c>
      <c r="AI425" s="76">
        <f t="shared" si="221"/>
        <v>1.5600000000000002E-3</v>
      </c>
      <c r="AJ425" s="181">
        <f t="shared" si="222"/>
        <v>5.5650000000000005E-2</v>
      </c>
      <c r="AK425" s="182">
        <f t="shared" si="223"/>
        <v>2.3077257367928001</v>
      </c>
      <c r="AM425" s="201">
        <f t="shared" si="189"/>
        <v>2.3649357367928001</v>
      </c>
      <c r="AN425" s="202">
        <f t="shared" si="229"/>
        <v>2.2960541133910679</v>
      </c>
      <c r="AO425" s="202">
        <f t="shared" si="229"/>
        <v>2.2291787508651146</v>
      </c>
      <c r="AP425" s="202">
        <f t="shared" si="232"/>
        <v>2.16425121443215</v>
      </c>
      <c r="AQ425" s="202">
        <f t="shared" si="232"/>
        <v>2.1012147712933498</v>
      </c>
      <c r="AR425" s="202">
        <f t="shared" si="232"/>
        <v>2.0400143410615046</v>
      </c>
      <c r="AS425" s="202">
        <f t="shared" si="232"/>
        <v>1.9805964476325288</v>
      </c>
      <c r="AT425" s="202">
        <f t="shared" si="232"/>
        <v>1.9229091724587657</v>
      </c>
      <c r="AU425" s="202">
        <f t="shared" si="232"/>
        <v>1.8669021091832678</v>
      </c>
      <c r="AV425" s="202">
        <f t="shared" si="232"/>
        <v>1.8125263195954056</v>
      </c>
      <c r="AW425" s="202">
        <f t="shared" si="232"/>
        <v>1.7597342908693259</v>
      </c>
      <c r="AX425" s="202">
        <f t="shared" si="232"/>
        <v>1.7084798940478891</v>
      </c>
      <c r="AY425" s="202">
        <f t="shared" si="232"/>
        <v>1.6587183437358151</v>
      </c>
      <c r="AZ425" s="202">
        <f t="shared" si="233"/>
        <v>1.6104061589668108</v>
      </c>
      <c r="BA425" s="202">
        <f t="shared" si="233"/>
        <v>1.5635011252104958</v>
      </c>
      <c r="BB425" s="202">
        <f t="shared" si="233"/>
        <v>1.517962257485918</v>
      </c>
      <c r="BC425" s="202">
        <f t="shared" si="233"/>
        <v>1.4737497645494353</v>
      </c>
      <c r="BD425" s="202">
        <f t="shared" si="233"/>
        <v>1.4308250141256653</v>
      </c>
      <c r="BE425" s="202">
        <f t="shared" si="233"/>
        <v>1.3891504991511314</v>
      </c>
      <c r="BF425" s="202">
        <f t="shared" si="233"/>
        <v>1.3486898050010985</v>
      </c>
      <c r="BG425" s="203">
        <f t="shared" si="191"/>
        <v>36.239800129849542</v>
      </c>
    </row>
    <row r="426" spans="27:59">
      <c r="AA426" s="180">
        <f t="shared" si="196"/>
        <v>1239000000</v>
      </c>
      <c r="AB426" s="41">
        <f t="shared" si="217"/>
        <v>1475</v>
      </c>
      <c r="AC426" s="21">
        <v>59</v>
      </c>
      <c r="AD426" s="21" t="s">
        <v>283</v>
      </c>
      <c r="AE426" s="175">
        <f t="shared" si="218"/>
        <v>30</v>
      </c>
      <c r="AF426" s="183">
        <f t="shared" si="219"/>
        <v>27</v>
      </c>
      <c r="AG426" s="84">
        <f t="shared" si="226"/>
        <v>0.39750000000000002</v>
      </c>
      <c r="AH426" s="244">
        <f t="shared" si="220"/>
        <v>0.159</v>
      </c>
      <c r="AI426" s="76">
        <f t="shared" si="221"/>
        <v>1.5600000000000002E-3</v>
      </c>
      <c r="AJ426" s="181">
        <f t="shared" si="222"/>
        <v>5.5650000000000005E-2</v>
      </c>
      <c r="AK426" s="182">
        <f t="shared" si="223"/>
        <v>2.3077257367928001</v>
      </c>
      <c r="AM426" s="201">
        <f t="shared" si="189"/>
        <v>2.3649357367928001</v>
      </c>
      <c r="AN426" s="202">
        <f t="shared" si="229"/>
        <v>2.2960541133910679</v>
      </c>
      <c r="AO426" s="202">
        <f t="shared" si="229"/>
        <v>2.2291787508651146</v>
      </c>
      <c r="AP426" s="202">
        <f t="shared" si="232"/>
        <v>2.16425121443215</v>
      </c>
      <c r="AQ426" s="202">
        <f t="shared" si="232"/>
        <v>2.1012147712933498</v>
      </c>
      <c r="AR426" s="202">
        <f t="shared" si="232"/>
        <v>2.0400143410615046</v>
      </c>
      <c r="AS426" s="202">
        <f t="shared" si="232"/>
        <v>1.9805964476325288</v>
      </c>
      <c r="AT426" s="202">
        <f t="shared" si="232"/>
        <v>1.9229091724587657</v>
      </c>
      <c r="AU426" s="202">
        <f t="shared" si="232"/>
        <v>1.8669021091832678</v>
      </c>
      <c r="AV426" s="202">
        <f t="shared" si="232"/>
        <v>1.8125263195954056</v>
      </c>
      <c r="AW426" s="202">
        <f t="shared" si="232"/>
        <v>1.7597342908693259</v>
      </c>
      <c r="AX426" s="202">
        <f t="shared" si="232"/>
        <v>1.7084798940478891</v>
      </c>
      <c r="AY426" s="202">
        <f t="shared" si="232"/>
        <v>1.6587183437358151</v>
      </c>
      <c r="AZ426" s="202">
        <f t="shared" si="233"/>
        <v>1.6104061589668108</v>
      </c>
      <c r="BA426" s="202">
        <f t="shared" si="233"/>
        <v>1.5635011252104958</v>
      </c>
      <c r="BB426" s="202">
        <f t="shared" si="233"/>
        <v>1.517962257485918</v>
      </c>
      <c r="BC426" s="202">
        <f t="shared" si="233"/>
        <v>1.4737497645494353</v>
      </c>
      <c r="BD426" s="202">
        <f t="shared" si="233"/>
        <v>1.4308250141256653</v>
      </c>
      <c r="BE426" s="202">
        <f t="shared" si="233"/>
        <v>1.3891504991511314</v>
      </c>
      <c r="BF426" s="202">
        <f t="shared" si="233"/>
        <v>1.3486898050010985</v>
      </c>
      <c r="BG426" s="203">
        <f t="shared" si="191"/>
        <v>36.239800129849542</v>
      </c>
    </row>
    <row r="427" spans="27:59">
      <c r="AA427" s="180">
        <f t="shared" si="196"/>
        <v>1260000000</v>
      </c>
      <c r="AB427" s="41">
        <f t="shared" si="217"/>
        <v>1500</v>
      </c>
      <c r="AC427" s="21">
        <v>60</v>
      </c>
      <c r="AD427" s="21" t="s">
        <v>283</v>
      </c>
      <c r="AE427" s="175">
        <f t="shared" si="218"/>
        <v>30</v>
      </c>
      <c r="AF427" s="183">
        <f t="shared" si="219"/>
        <v>27</v>
      </c>
      <c r="AG427" s="84">
        <f t="shared" si="226"/>
        <v>0.39750000000000002</v>
      </c>
      <c r="AH427" s="244">
        <f t="shared" si="220"/>
        <v>0.159</v>
      </c>
      <c r="AI427" s="76">
        <f t="shared" si="221"/>
        <v>1.5600000000000002E-3</v>
      </c>
      <c r="AJ427" s="181">
        <f t="shared" si="222"/>
        <v>5.5650000000000005E-2</v>
      </c>
      <c r="AK427" s="182">
        <f t="shared" si="223"/>
        <v>2.3077257367928001</v>
      </c>
      <c r="AM427" s="201">
        <f t="shared" si="189"/>
        <v>2.3649357367928001</v>
      </c>
      <c r="AN427" s="202">
        <f t="shared" ref="AN427:AO446" si="234">$AM427/POWER(1+($B$10/100),AN$366-2024)</f>
        <v>2.2960541133910679</v>
      </c>
      <c r="AO427" s="202">
        <f t="shared" si="234"/>
        <v>2.2291787508651146</v>
      </c>
      <c r="AP427" s="202">
        <f t="shared" si="232"/>
        <v>2.16425121443215</v>
      </c>
      <c r="AQ427" s="202">
        <f t="shared" si="232"/>
        <v>2.1012147712933498</v>
      </c>
      <c r="AR427" s="202">
        <f t="shared" si="232"/>
        <v>2.0400143410615046</v>
      </c>
      <c r="AS427" s="202">
        <f t="shared" si="232"/>
        <v>1.9805964476325288</v>
      </c>
      <c r="AT427" s="202">
        <f t="shared" si="232"/>
        <v>1.9229091724587657</v>
      </c>
      <c r="AU427" s="202">
        <f t="shared" si="232"/>
        <v>1.8669021091832678</v>
      </c>
      <c r="AV427" s="202">
        <f t="shared" si="232"/>
        <v>1.8125263195954056</v>
      </c>
      <c r="AW427" s="202">
        <f t="shared" si="232"/>
        <v>1.7597342908693259</v>
      </c>
      <c r="AX427" s="202">
        <f t="shared" si="232"/>
        <v>1.7084798940478891</v>
      </c>
      <c r="AY427" s="202">
        <f t="shared" si="232"/>
        <v>1.6587183437358151</v>
      </c>
      <c r="AZ427" s="202">
        <f t="shared" si="233"/>
        <v>1.6104061589668108</v>
      </c>
      <c r="BA427" s="202">
        <f t="shared" si="233"/>
        <v>1.5635011252104958</v>
      </c>
      <c r="BB427" s="202">
        <f t="shared" si="233"/>
        <v>1.517962257485918</v>
      </c>
      <c r="BC427" s="202">
        <f t="shared" si="233"/>
        <v>1.4737497645494353</v>
      </c>
      <c r="BD427" s="202">
        <f t="shared" si="233"/>
        <v>1.4308250141256653</v>
      </c>
      <c r="BE427" s="202">
        <f t="shared" si="233"/>
        <v>1.3891504991511314</v>
      </c>
      <c r="BF427" s="202">
        <f t="shared" si="233"/>
        <v>1.3486898050010985</v>
      </c>
      <c r="BG427" s="203">
        <f t="shared" si="191"/>
        <v>36.239800129849542</v>
      </c>
    </row>
    <row r="428" spans="27:59">
      <c r="AA428" s="180">
        <f t="shared" si="196"/>
        <v>1281000000</v>
      </c>
      <c r="AB428" s="41">
        <f t="shared" si="217"/>
        <v>1525</v>
      </c>
      <c r="AC428" s="21">
        <v>61</v>
      </c>
      <c r="AD428" s="21" t="s">
        <v>283</v>
      </c>
      <c r="AE428" s="175">
        <f t="shared" si="218"/>
        <v>30</v>
      </c>
      <c r="AF428" s="183">
        <f t="shared" si="219"/>
        <v>27</v>
      </c>
      <c r="AG428" s="84">
        <f t="shared" si="226"/>
        <v>0.39750000000000002</v>
      </c>
      <c r="AH428" s="244">
        <f t="shared" si="220"/>
        <v>0.159</v>
      </c>
      <c r="AI428" s="76">
        <f t="shared" si="221"/>
        <v>1.5600000000000002E-3</v>
      </c>
      <c r="AJ428" s="181">
        <f t="shared" si="222"/>
        <v>5.5650000000000005E-2</v>
      </c>
      <c r="AK428" s="182">
        <f t="shared" si="223"/>
        <v>2.3077257367928001</v>
      </c>
      <c r="AM428" s="201">
        <f t="shared" si="189"/>
        <v>2.3649357367928001</v>
      </c>
      <c r="AN428" s="202">
        <f t="shared" si="234"/>
        <v>2.2960541133910679</v>
      </c>
      <c r="AO428" s="202">
        <f t="shared" si="234"/>
        <v>2.2291787508651146</v>
      </c>
      <c r="AP428" s="202">
        <f t="shared" ref="AP428:AY437" si="235">$AM428/POWER(1+($B$10/100),AP$366-2024)</f>
        <v>2.16425121443215</v>
      </c>
      <c r="AQ428" s="202">
        <f t="shared" si="235"/>
        <v>2.1012147712933498</v>
      </c>
      <c r="AR428" s="202">
        <f t="shared" si="235"/>
        <v>2.0400143410615046</v>
      </c>
      <c r="AS428" s="202">
        <f t="shared" si="235"/>
        <v>1.9805964476325288</v>
      </c>
      <c r="AT428" s="202">
        <f t="shared" si="235"/>
        <v>1.9229091724587657</v>
      </c>
      <c r="AU428" s="202">
        <f t="shared" si="235"/>
        <v>1.8669021091832678</v>
      </c>
      <c r="AV428" s="202">
        <f t="shared" si="235"/>
        <v>1.8125263195954056</v>
      </c>
      <c r="AW428" s="202">
        <f t="shared" si="235"/>
        <v>1.7597342908693259</v>
      </c>
      <c r="AX428" s="202">
        <f t="shared" si="235"/>
        <v>1.7084798940478891</v>
      </c>
      <c r="AY428" s="202">
        <f t="shared" si="235"/>
        <v>1.6587183437358151</v>
      </c>
      <c r="AZ428" s="202">
        <f t="shared" ref="AZ428:BF437" si="236">$AM428/POWER(1+($B$10/100),AZ$366-2024)</f>
        <v>1.6104061589668108</v>
      </c>
      <c r="BA428" s="202">
        <f t="shared" si="236"/>
        <v>1.5635011252104958</v>
      </c>
      <c r="BB428" s="202">
        <f t="shared" si="236"/>
        <v>1.517962257485918</v>
      </c>
      <c r="BC428" s="202">
        <f t="shared" si="236"/>
        <v>1.4737497645494353</v>
      </c>
      <c r="BD428" s="202">
        <f t="shared" si="236"/>
        <v>1.4308250141256653</v>
      </c>
      <c r="BE428" s="202">
        <f t="shared" si="236"/>
        <v>1.3891504991511314</v>
      </c>
      <c r="BF428" s="202">
        <f t="shared" si="236"/>
        <v>1.3486898050010985</v>
      </c>
      <c r="BG428" s="203">
        <f t="shared" si="191"/>
        <v>36.239800129849542</v>
      </c>
    </row>
    <row r="429" spans="27:59">
      <c r="AA429" s="180">
        <f t="shared" si="196"/>
        <v>1302000000</v>
      </c>
      <c r="AB429" s="41">
        <f t="shared" si="217"/>
        <v>1550</v>
      </c>
      <c r="AC429" s="21">
        <v>62</v>
      </c>
      <c r="AD429" s="21" t="s">
        <v>283</v>
      </c>
      <c r="AE429" s="175">
        <f t="shared" si="218"/>
        <v>30</v>
      </c>
      <c r="AF429" s="183">
        <f t="shared" si="219"/>
        <v>27</v>
      </c>
      <c r="AG429" s="84">
        <f t="shared" si="226"/>
        <v>0.39750000000000002</v>
      </c>
      <c r="AH429" s="244">
        <f t="shared" si="220"/>
        <v>0.159</v>
      </c>
      <c r="AI429" s="76">
        <f t="shared" si="221"/>
        <v>1.5600000000000002E-3</v>
      </c>
      <c r="AJ429" s="181">
        <f t="shared" si="222"/>
        <v>5.5650000000000005E-2</v>
      </c>
      <c r="AK429" s="182">
        <f t="shared" si="223"/>
        <v>2.3077257367928001</v>
      </c>
      <c r="AM429" s="201">
        <f t="shared" si="189"/>
        <v>2.3649357367928001</v>
      </c>
      <c r="AN429" s="202">
        <f t="shared" si="234"/>
        <v>2.2960541133910679</v>
      </c>
      <c r="AO429" s="202">
        <f t="shared" si="234"/>
        <v>2.2291787508651146</v>
      </c>
      <c r="AP429" s="202">
        <f t="shared" si="235"/>
        <v>2.16425121443215</v>
      </c>
      <c r="AQ429" s="202">
        <f t="shared" si="235"/>
        <v>2.1012147712933498</v>
      </c>
      <c r="AR429" s="202">
        <f t="shared" si="235"/>
        <v>2.0400143410615046</v>
      </c>
      <c r="AS429" s="202">
        <f t="shared" si="235"/>
        <v>1.9805964476325288</v>
      </c>
      <c r="AT429" s="202">
        <f t="shared" si="235"/>
        <v>1.9229091724587657</v>
      </c>
      <c r="AU429" s="202">
        <f t="shared" si="235"/>
        <v>1.8669021091832678</v>
      </c>
      <c r="AV429" s="202">
        <f t="shared" si="235"/>
        <v>1.8125263195954056</v>
      </c>
      <c r="AW429" s="202">
        <f t="shared" si="235"/>
        <v>1.7597342908693259</v>
      </c>
      <c r="AX429" s="202">
        <f t="shared" si="235"/>
        <v>1.7084798940478891</v>
      </c>
      <c r="AY429" s="202">
        <f t="shared" si="235"/>
        <v>1.6587183437358151</v>
      </c>
      <c r="AZ429" s="202">
        <f t="shared" si="236"/>
        <v>1.6104061589668108</v>
      </c>
      <c r="BA429" s="202">
        <f t="shared" si="236"/>
        <v>1.5635011252104958</v>
      </c>
      <c r="BB429" s="202">
        <f t="shared" si="236"/>
        <v>1.517962257485918</v>
      </c>
      <c r="BC429" s="202">
        <f t="shared" si="236"/>
        <v>1.4737497645494353</v>
      </c>
      <c r="BD429" s="202">
        <f t="shared" si="236"/>
        <v>1.4308250141256653</v>
      </c>
      <c r="BE429" s="202">
        <f t="shared" si="236"/>
        <v>1.3891504991511314</v>
      </c>
      <c r="BF429" s="202">
        <f t="shared" si="236"/>
        <v>1.3486898050010985</v>
      </c>
      <c r="BG429" s="203">
        <f t="shared" si="191"/>
        <v>36.239800129849542</v>
      </c>
    </row>
    <row r="430" spans="27:59">
      <c r="AA430" s="180">
        <f t="shared" si="196"/>
        <v>1323000000</v>
      </c>
      <c r="AB430" s="41">
        <f t="shared" si="217"/>
        <v>1575</v>
      </c>
      <c r="AC430" s="21">
        <v>63</v>
      </c>
      <c r="AD430" s="21" t="s">
        <v>283</v>
      </c>
      <c r="AE430" s="175">
        <f t="shared" si="218"/>
        <v>30</v>
      </c>
      <c r="AF430" s="183">
        <f t="shared" si="219"/>
        <v>27</v>
      </c>
      <c r="AG430" s="84">
        <f t="shared" si="226"/>
        <v>0.39750000000000002</v>
      </c>
      <c r="AH430" s="244">
        <f t="shared" si="220"/>
        <v>0.159</v>
      </c>
      <c r="AI430" s="76">
        <f t="shared" si="221"/>
        <v>1.5600000000000002E-3</v>
      </c>
      <c r="AJ430" s="181">
        <f t="shared" si="222"/>
        <v>5.5650000000000005E-2</v>
      </c>
      <c r="AK430" s="182">
        <f t="shared" si="223"/>
        <v>2.3077257367928001</v>
      </c>
      <c r="AM430" s="201">
        <f t="shared" si="189"/>
        <v>2.3649357367928001</v>
      </c>
      <c r="AN430" s="202">
        <f t="shared" si="234"/>
        <v>2.2960541133910679</v>
      </c>
      <c r="AO430" s="202">
        <f t="shared" si="234"/>
        <v>2.2291787508651146</v>
      </c>
      <c r="AP430" s="202">
        <f t="shared" si="235"/>
        <v>2.16425121443215</v>
      </c>
      <c r="AQ430" s="202">
        <f t="shared" si="235"/>
        <v>2.1012147712933498</v>
      </c>
      <c r="AR430" s="202">
        <f t="shared" si="235"/>
        <v>2.0400143410615046</v>
      </c>
      <c r="AS430" s="202">
        <f t="shared" si="235"/>
        <v>1.9805964476325288</v>
      </c>
      <c r="AT430" s="202">
        <f t="shared" si="235"/>
        <v>1.9229091724587657</v>
      </c>
      <c r="AU430" s="202">
        <f t="shared" si="235"/>
        <v>1.8669021091832678</v>
      </c>
      <c r="AV430" s="202">
        <f t="shared" si="235"/>
        <v>1.8125263195954056</v>
      </c>
      <c r="AW430" s="202">
        <f t="shared" si="235"/>
        <v>1.7597342908693259</v>
      </c>
      <c r="AX430" s="202">
        <f t="shared" si="235"/>
        <v>1.7084798940478891</v>
      </c>
      <c r="AY430" s="202">
        <f t="shared" si="235"/>
        <v>1.6587183437358151</v>
      </c>
      <c r="AZ430" s="202">
        <f t="shared" si="236"/>
        <v>1.6104061589668108</v>
      </c>
      <c r="BA430" s="202">
        <f t="shared" si="236"/>
        <v>1.5635011252104958</v>
      </c>
      <c r="BB430" s="202">
        <f t="shared" si="236"/>
        <v>1.517962257485918</v>
      </c>
      <c r="BC430" s="202">
        <f t="shared" si="236"/>
        <v>1.4737497645494353</v>
      </c>
      <c r="BD430" s="202">
        <f t="shared" si="236"/>
        <v>1.4308250141256653</v>
      </c>
      <c r="BE430" s="202">
        <f t="shared" si="236"/>
        <v>1.3891504991511314</v>
      </c>
      <c r="BF430" s="202">
        <f t="shared" si="236"/>
        <v>1.3486898050010985</v>
      </c>
      <c r="BG430" s="203">
        <f t="shared" si="191"/>
        <v>36.239800129849542</v>
      </c>
    </row>
    <row r="431" spans="27:59">
      <c r="AA431" s="180">
        <f t="shared" si="196"/>
        <v>1344000000</v>
      </c>
      <c r="AB431" s="41">
        <f t="shared" si="217"/>
        <v>1600</v>
      </c>
      <c r="AC431" s="21">
        <v>64</v>
      </c>
      <c r="AD431" s="21" t="s">
        <v>283</v>
      </c>
      <c r="AE431" s="175">
        <f t="shared" si="218"/>
        <v>30</v>
      </c>
      <c r="AF431" s="183">
        <f t="shared" si="219"/>
        <v>27</v>
      </c>
      <c r="AG431" s="84">
        <f t="shared" si="226"/>
        <v>0.39750000000000002</v>
      </c>
      <c r="AH431" s="244">
        <f t="shared" si="220"/>
        <v>0.159</v>
      </c>
      <c r="AI431" s="76">
        <f t="shared" si="221"/>
        <v>1.5600000000000002E-3</v>
      </c>
      <c r="AJ431" s="181">
        <f t="shared" si="222"/>
        <v>5.5650000000000005E-2</v>
      </c>
      <c r="AK431" s="182">
        <f t="shared" si="223"/>
        <v>2.3077257367928001</v>
      </c>
      <c r="AM431" s="201">
        <f t="shared" ref="AM431:AM494" si="237">(AI431+AJ431+AK431)</f>
        <v>2.3649357367928001</v>
      </c>
      <c r="AN431" s="202">
        <f t="shared" si="234"/>
        <v>2.2960541133910679</v>
      </c>
      <c r="AO431" s="202">
        <f t="shared" si="234"/>
        <v>2.2291787508651146</v>
      </c>
      <c r="AP431" s="202">
        <f t="shared" si="235"/>
        <v>2.16425121443215</v>
      </c>
      <c r="AQ431" s="202">
        <f t="shared" si="235"/>
        <v>2.1012147712933498</v>
      </c>
      <c r="AR431" s="202">
        <f t="shared" si="235"/>
        <v>2.0400143410615046</v>
      </c>
      <c r="AS431" s="202">
        <f t="shared" si="235"/>
        <v>1.9805964476325288</v>
      </c>
      <c r="AT431" s="202">
        <f t="shared" si="235"/>
        <v>1.9229091724587657</v>
      </c>
      <c r="AU431" s="202">
        <f t="shared" si="235"/>
        <v>1.8669021091832678</v>
      </c>
      <c r="AV431" s="202">
        <f t="shared" si="235"/>
        <v>1.8125263195954056</v>
      </c>
      <c r="AW431" s="202">
        <f t="shared" si="235"/>
        <v>1.7597342908693259</v>
      </c>
      <c r="AX431" s="202">
        <f t="shared" si="235"/>
        <v>1.7084798940478891</v>
      </c>
      <c r="AY431" s="202">
        <f t="shared" si="235"/>
        <v>1.6587183437358151</v>
      </c>
      <c r="AZ431" s="202">
        <f t="shared" si="236"/>
        <v>1.6104061589668108</v>
      </c>
      <c r="BA431" s="202">
        <f t="shared" si="236"/>
        <v>1.5635011252104958</v>
      </c>
      <c r="BB431" s="202">
        <f t="shared" si="236"/>
        <v>1.517962257485918</v>
      </c>
      <c r="BC431" s="202">
        <f t="shared" si="236"/>
        <v>1.4737497645494353</v>
      </c>
      <c r="BD431" s="202">
        <f t="shared" si="236"/>
        <v>1.4308250141256653</v>
      </c>
      <c r="BE431" s="202">
        <f t="shared" si="236"/>
        <v>1.3891504991511314</v>
      </c>
      <c r="BF431" s="202">
        <f t="shared" si="236"/>
        <v>1.3486898050010985</v>
      </c>
      <c r="BG431" s="203">
        <f t="shared" ref="BG431:BG494" si="238">SUM(AM431:BF431)</f>
        <v>36.239800129849542</v>
      </c>
    </row>
    <row r="432" spans="27:59">
      <c r="AA432" s="180">
        <f t="shared" si="196"/>
        <v>1365000000</v>
      </c>
      <c r="AB432" s="41">
        <f t="shared" si="217"/>
        <v>1625</v>
      </c>
      <c r="AC432" s="21">
        <v>65</v>
      </c>
      <c r="AD432" s="21" t="s">
        <v>283</v>
      </c>
      <c r="AE432" s="175">
        <f t="shared" si="218"/>
        <v>30</v>
      </c>
      <c r="AF432" s="183">
        <f t="shared" si="219"/>
        <v>27</v>
      </c>
      <c r="AG432" s="84">
        <f t="shared" si="226"/>
        <v>0.39750000000000002</v>
      </c>
      <c r="AH432" s="244">
        <f t="shared" si="220"/>
        <v>0.159</v>
      </c>
      <c r="AI432" s="76">
        <f t="shared" si="221"/>
        <v>1.5600000000000002E-3</v>
      </c>
      <c r="AJ432" s="181">
        <f t="shared" si="222"/>
        <v>5.5650000000000005E-2</v>
      </c>
      <c r="AK432" s="182">
        <f t="shared" si="223"/>
        <v>2.3077257367928001</v>
      </c>
      <c r="AM432" s="201">
        <f t="shared" si="237"/>
        <v>2.3649357367928001</v>
      </c>
      <c r="AN432" s="202">
        <f t="shared" si="234"/>
        <v>2.2960541133910679</v>
      </c>
      <c r="AO432" s="202">
        <f t="shared" si="234"/>
        <v>2.2291787508651146</v>
      </c>
      <c r="AP432" s="202">
        <f t="shared" si="235"/>
        <v>2.16425121443215</v>
      </c>
      <c r="AQ432" s="202">
        <f t="shared" si="235"/>
        <v>2.1012147712933498</v>
      </c>
      <c r="AR432" s="202">
        <f t="shared" si="235"/>
        <v>2.0400143410615046</v>
      </c>
      <c r="AS432" s="202">
        <f t="shared" si="235"/>
        <v>1.9805964476325288</v>
      </c>
      <c r="AT432" s="202">
        <f t="shared" si="235"/>
        <v>1.9229091724587657</v>
      </c>
      <c r="AU432" s="202">
        <f t="shared" si="235"/>
        <v>1.8669021091832678</v>
      </c>
      <c r="AV432" s="202">
        <f t="shared" si="235"/>
        <v>1.8125263195954056</v>
      </c>
      <c r="AW432" s="202">
        <f t="shared" si="235"/>
        <v>1.7597342908693259</v>
      </c>
      <c r="AX432" s="202">
        <f t="shared" si="235"/>
        <v>1.7084798940478891</v>
      </c>
      <c r="AY432" s="202">
        <f t="shared" si="235"/>
        <v>1.6587183437358151</v>
      </c>
      <c r="AZ432" s="202">
        <f t="shared" si="236"/>
        <v>1.6104061589668108</v>
      </c>
      <c r="BA432" s="202">
        <f t="shared" si="236"/>
        <v>1.5635011252104958</v>
      </c>
      <c r="BB432" s="202">
        <f t="shared" si="236"/>
        <v>1.517962257485918</v>
      </c>
      <c r="BC432" s="202">
        <f t="shared" si="236"/>
        <v>1.4737497645494353</v>
      </c>
      <c r="BD432" s="202">
        <f t="shared" si="236"/>
        <v>1.4308250141256653</v>
      </c>
      <c r="BE432" s="202">
        <f t="shared" si="236"/>
        <v>1.3891504991511314</v>
      </c>
      <c r="BF432" s="202">
        <f t="shared" si="236"/>
        <v>1.3486898050010985</v>
      </c>
      <c r="BG432" s="203">
        <f t="shared" si="238"/>
        <v>36.239800129849542</v>
      </c>
    </row>
    <row r="433" spans="27:59">
      <c r="AA433" s="180">
        <f t="shared" ref="AA433:AA496" si="239">AA251</f>
        <v>1386000000</v>
      </c>
      <c r="AB433" s="41">
        <f t="shared" ref="AB433:AB496" si="240">AB251</f>
        <v>1650</v>
      </c>
      <c r="AC433" s="21">
        <v>66</v>
      </c>
      <c r="AD433" s="21" t="s">
        <v>283</v>
      </c>
      <c r="AE433" s="175">
        <f t="shared" si="218"/>
        <v>30</v>
      </c>
      <c r="AF433" s="183">
        <f t="shared" si="219"/>
        <v>27</v>
      </c>
      <c r="AG433" s="84">
        <f t="shared" si="226"/>
        <v>0.39750000000000002</v>
      </c>
      <c r="AH433" s="244">
        <f t="shared" si="220"/>
        <v>0.159</v>
      </c>
      <c r="AI433" s="76">
        <f t="shared" si="221"/>
        <v>1.5600000000000002E-3</v>
      </c>
      <c r="AJ433" s="181">
        <f t="shared" si="222"/>
        <v>5.5650000000000005E-2</v>
      </c>
      <c r="AK433" s="182">
        <f t="shared" si="223"/>
        <v>2.3077257367928001</v>
      </c>
      <c r="AM433" s="201">
        <f t="shared" si="237"/>
        <v>2.3649357367928001</v>
      </c>
      <c r="AN433" s="202">
        <f t="shared" si="234"/>
        <v>2.2960541133910679</v>
      </c>
      <c r="AO433" s="202">
        <f t="shared" si="234"/>
        <v>2.2291787508651146</v>
      </c>
      <c r="AP433" s="202">
        <f t="shared" si="235"/>
        <v>2.16425121443215</v>
      </c>
      <c r="AQ433" s="202">
        <f t="shared" si="235"/>
        <v>2.1012147712933498</v>
      </c>
      <c r="AR433" s="202">
        <f t="shared" si="235"/>
        <v>2.0400143410615046</v>
      </c>
      <c r="AS433" s="202">
        <f t="shared" si="235"/>
        <v>1.9805964476325288</v>
      </c>
      <c r="AT433" s="202">
        <f t="shared" si="235"/>
        <v>1.9229091724587657</v>
      </c>
      <c r="AU433" s="202">
        <f t="shared" si="235"/>
        <v>1.8669021091832678</v>
      </c>
      <c r="AV433" s="202">
        <f t="shared" si="235"/>
        <v>1.8125263195954056</v>
      </c>
      <c r="AW433" s="202">
        <f t="shared" si="235"/>
        <v>1.7597342908693259</v>
      </c>
      <c r="AX433" s="202">
        <f t="shared" si="235"/>
        <v>1.7084798940478891</v>
      </c>
      <c r="AY433" s="202">
        <f t="shared" si="235"/>
        <v>1.6587183437358151</v>
      </c>
      <c r="AZ433" s="202">
        <f t="shared" si="236"/>
        <v>1.6104061589668108</v>
      </c>
      <c r="BA433" s="202">
        <f t="shared" si="236"/>
        <v>1.5635011252104958</v>
      </c>
      <c r="BB433" s="202">
        <f t="shared" si="236"/>
        <v>1.517962257485918</v>
      </c>
      <c r="BC433" s="202">
        <f t="shared" si="236"/>
        <v>1.4737497645494353</v>
      </c>
      <c r="BD433" s="202">
        <f t="shared" si="236"/>
        <v>1.4308250141256653</v>
      </c>
      <c r="BE433" s="202">
        <f t="shared" si="236"/>
        <v>1.3891504991511314</v>
      </c>
      <c r="BF433" s="202">
        <f t="shared" si="236"/>
        <v>1.3486898050010985</v>
      </c>
      <c r="BG433" s="203">
        <f t="shared" si="238"/>
        <v>36.239800129849542</v>
      </c>
    </row>
    <row r="434" spans="27:59">
      <c r="AA434" s="180">
        <f t="shared" si="239"/>
        <v>1407000000</v>
      </c>
      <c r="AB434" s="41">
        <f t="shared" si="240"/>
        <v>1675</v>
      </c>
      <c r="AC434" s="21">
        <v>67</v>
      </c>
      <c r="AD434" s="21" t="s">
        <v>283</v>
      </c>
      <c r="AE434" s="175">
        <f t="shared" si="218"/>
        <v>30</v>
      </c>
      <c r="AF434" s="183">
        <f t="shared" si="219"/>
        <v>27</v>
      </c>
      <c r="AG434" s="84">
        <f t="shared" si="226"/>
        <v>0.39750000000000002</v>
      </c>
      <c r="AH434" s="244">
        <f t="shared" si="220"/>
        <v>0.159</v>
      </c>
      <c r="AI434" s="76">
        <f t="shared" si="221"/>
        <v>1.5600000000000002E-3</v>
      </c>
      <c r="AJ434" s="181">
        <f t="shared" si="222"/>
        <v>5.5650000000000005E-2</v>
      </c>
      <c r="AK434" s="182">
        <f t="shared" si="223"/>
        <v>2.3077257367928001</v>
      </c>
      <c r="AM434" s="201">
        <f t="shared" si="237"/>
        <v>2.3649357367928001</v>
      </c>
      <c r="AN434" s="202">
        <f t="shared" si="234"/>
        <v>2.2960541133910679</v>
      </c>
      <c r="AO434" s="202">
        <f t="shared" si="234"/>
        <v>2.2291787508651146</v>
      </c>
      <c r="AP434" s="202">
        <f t="shared" si="235"/>
        <v>2.16425121443215</v>
      </c>
      <c r="AQ434" s="202">
        <f t="shared" si="235"/>
        <v>2.1012147712933498</v>
      </c>
      <c r="AR434" s="202">
        <f t="shared" si="235"/>
        <v>2.0400143410615046</v>
      </c>
      <c r="AS434" s="202">
        <f t="shared" si="235"/>
        <v>1.9805964476325288</v>
      </c>
      <c r="AT434" s="202">
        <f t="shared" si="235"/>
        <v>1.9229091724587657</v>
      </c>
      <c r="AU434" s="202">
        <f t="shared" si="235"/>
        <v>1.8669021091832678</v>
      </c>
      <c r="AV434" s="202">
        <f t="shared" si="235"/>
        <v>1.8125263195954056</v>
      </c>
      <c r="AW434" s="202">
        <f t="shared" si="235"/>
        <v>1.7597342908693259</v>
      </c>
      <c r="AX434" s="202">
        <f t="shared" si="235"/>
        <v>1.7084798940478891</v>
      </c>
      <c r="AY434" s="202">
        <f t="shared" si="235"/>
        <v>1.6587183437358151</v>
      </c>
      <c r="AZ434" s="202">
        <f t="shared" si="236"/>
        <v>1.6104061589668108</v>
      </c>
      <c r="BA434" s="202">
        <f t="shared" si="236"/>
        <v>1.5635011252104958</v>
      </c>
      <c r="BB434" s="202">
        <f t="shared" si="236"/>
        <v>1.517962257485918</v>
      </c>
      <c r="BC434" s="202">
        <f t="shared" si="236"/>
        <v>1.4737497645494353</v>
      </c>
      <c r="BD434" s="202">
        <f t="shared" si="236"/>
        <v>1.4308250141256653</v>
      </c>
      <c r="BE434" s="202">
        <f t="shared" si="236"/>
        <v>1.3891504991511314</v>
      </c>
      <c r="BF434" s="202">
        <f t="shared" si="236"/>
        <v>1.3486898050010985</v>
      </c>
      <c r="BG434" s="203">
        <f t="shared" si="238"/>
        <v>36.239800129849542</v>
      </c>
    </row>
    <row r="435" spans="27:59">
      <c r="AA435" s="180">
        <f t="shared" si="239"/>
        <v>1428000000</v>
      </c>
      <c r="AB435" s="41">
        <f t="shared" si="240"/>
        <v>1700</v>
      </c>
      <c r="AC435" s="21">
        <v>68</v>
      </c>
      <c r="AD435" s="21" t="s">
        <v>283</v>
      </c>
      <c r="AE435" s="175">
        <f t="shared" si="218"/>
        <v>30</v>
      </c>
      <c r="AF435" s="183">
        <f t="shared" si="219"/>
        <v>27</v>
      </c>
      <c r="AG435" s="84">
        <f t="shared" si="226"/>
        <v>0.39750000000000002</v>
      </c>
      <c r="AH435" s="244">
        <f t="shared" si="220"/>
        <v>0.159</v>
      </c>
      <c r="AI435" s="76">
        <f t="shared" si="221"/>
        <v>1.5600000000000002E-3</v>
      </c>
      <c r="AJ435" s="181">
        <f t="shared" si="222"/>
        <v>5.5650000000000005E-2</v>
      </c>
      <c r="AK435" s="182">
        <f t="shared" si="223"/>
        <v>2.3077257367928001</v>
      </c>
      <c r="AM435" s="201">
        <f t="shared" si="237"/>
        <v>2.3649357367928001</v>
      </c>
      <c r="AN435" s="202">
        <f t="shared" si="234"/>
        <v>2.2960541133910679</v>
      </c>
      <c r="AO435" s="202">
        <f t="shared" si="234"/>
        <v>2.2291787508651146</v>
      </c>
      <c r="AP435" s="202">
        <f t="shared" si="235"/>
        <v>2.16425121443215</v>
      </c>
      <c r="AQ435" s="202">
        <f t="shared" si="235"/>
        <v>2.1012147712933498</v>
      </c>
      <c r="AR435" s="202">
        <f t="shared" si="235"/>
        <v>2.0400143410615046</v>
      </c>
      <c r="AS435" s="202">
        <f t="shared" si="235"/>
        <v>1.9805964476325288</v>
      </c>
      <c r="AT435" s="202">
        <f t="shared" si="235"/>
        <v>1.9229091724587657</v>
      </c>
      <c r="AU435" s="202">
        <f t="shared" si="235"/>
        <v>1.8669021091832678</v>
      </c>
      <c r="AV435" s="202">
        <f t="shared" si="235"/>
        <v>1.8125263195954056</v>
      </c>
      <c r="AW435" s="202">
        <f t="shared" si="235"/>
        <v>1.7597342908693259</v>
      </c>
      <c r="AX435" s="202">
        <f t="shared" si="235"/>
        <v>1.7084798940478891</v>
      </c>
      <c r="AY435" s="202">
        <f t="shared" si="235"/>
        <v>1.6587183437358151</v>
      </c>
      <c r="AZ435" s="202">
        <f t="shared" si="236"/>
        <v>1.6104061589668108</v>
      </c>
      <c r="BA435" s="202">
        <f t="shared" si="236"/>
        <v>1.5635011252104958</v>
      </c>
      <c r="BB435" s="202">
        <f t="shared" si="236"/>
        <v>1.517962257485918</v>
      </c>
      <c r="BC435" s="202">
        <f t="shared" si="236"/>
        <v>1.4737497645494353</v>
      </c>
      <c r="BD435" s="202">
        <f t="shared" si="236"/>
        <v>1.4308250141256653</v>
      </c>
      <c r="BE435" s="202">
        <f t="shared" si="236"/>
        <v>1.3891504991511314</v>
      </c>
      <c r="BF435" s="202">
        <f t="shared" si="236"/>
        <v>1.3486898050010985</v>
      </c>
      <c r="BG435" s="203">
        <f t="shared" si="238"/>
        <v>36.239800129849542</v>
      </c>
    </row>
    <row r="436" spans="27:59">
      <c r="AA436" s="180">
        <f t="shared" si="239"/>
        <v>1449000000</v>
      </c>
      <c r="AB436" s="41">
        <f t="shared" si="240"/>
        <v>1725</v>
      </c>
      <c r="AC436" s="21">
        <v>69</v>
      </c>
      <c r="AD436" s="21" t="s">
        <v>283</v>
      </c>
      <c r="AE436" s="175">
        <f t="shared" si="218"/>
        <v>30</v>
      </c>
      <c r="AF436" s="183">
        <f t="shared" si="219"/>
        <v>27</v>
      </c>
      <c r="AG436" s="84">
        <f t="shared" si="226"/>
        <v>0.39750000000000002</v>
      </c>
      <c r="AH436" s="244">
        <f t="shared" si="220"/>
        <v>0.159</v>
      </c>
      <c r="AI436" s="76">
        <f t="shared" si="221"/>
        <v>1.5600000000000002E-3</v>
      </c>
      <c r="AJ436" s="181">
        <f t="shared" si="222"/>
        <v>5.5650000000000005E-2</v>
      </c>
      <c r="AK436" s="182">
        <f t="shared" si="223"/>
        <v>2.3077257367928001</v>
      </c>
      <c r="AM436" s="201">
        <f t="shared" si="237"/>
        <v>2.3649357367928001</v>
      </c>
      <c r="AN436" s="202">
        <f t="shared" si="234"/>
        <v>2.2960541133910679</v>
      </c>
      <c r="AO436" s="202">
        <f t="shared" si="234"/>
        <v>2.2291787508651146</v>
      </c>
      <c r="AP436" s="202">
        <f t="shared" si="235"/>
        <v>2.16425121443215</v>
      </c>
      <c r="AQ436" s="202">
        <f t="shared" si="235"/>
        <v>2.1012147712933498</v>
      </c>
      <c r="AR436" s="202">
        <f t="shared" si="235"/>
        <v>2.0400143410615046</v>
      </c>
      <c r="AS436" s="202">
        <f t="shared" si="235"/>
        <v>1.9805964476325288</v>
      </c>
      <c r="AT436" s="202">
        <f t="shared" si="235"/>
        <v>1.9229091724587657</v>
      </c>
      <c r="AU436" s="202">
        <f t="shared" si="235"/>
        <v>1.8669021091832678</v>
      </c>
      <c r="AV436" s="202">
        <f t="shared" si="235"/>
        <v>1.8125263195954056</v>
      </c>
      <c r="AW436" s="202">
        <f t="shared" si="235"/>
        <v>1.7597342908693259</v>
      </c>
      <c r="AX436" s="202">
        <f t="shared" si="235"/>
        <v>1.7084798940478891</v>
      </c>
      <c r="AY436" s="202">
        <f t="shared" si="235"/>
        <v>1.6587183437358151</v>
      </c>
      <c r="AZ436" s="202">
        <f t="shared" si="236"/>
        <v>1.6104061589668108</v>
      </c>
      <c r="BA436" s="202">
        <f t="shared" si="236"/>
        <v>1.5635011252104958</v>
      </c>
      <c r="BB436" s="202">
        <f t="shared" si="236"/>
        <v>1.517962257485918</v>
      </c>
      <c r="BC436" s="202">
        <f t="shared" si="236"/>
        <v>1.4737497645494353</v>
      </c>
      <c r="BD436" s="202">
        <f t="shared" si="236"/>
        <v>1.4308250141256653</v>
      </c>
      <c r="BE436" s="202">
        <f t="shared" si="236"/>
        <v>1.3891504991511314</v>
      </c>
      <c r="BF436" s="202">
        <f t="shared" si="236"/>
        <v>1.3486898050010985</v>
      </c>
      <c r="BG436" s="203">
        <f t="shared" si="238"/>
        <v>36.239800129849542</v>
      </c>
    </row>
    <row r="437" spans="27:59">
      <c r="AA437" s="180">
        <f t="shared" si="239"/>
        <v>1470000000</v>
      </c>
      <c r="AB437" s="41">
        <f t="shared" si="240"/>
        <v>1750</v>
      </c>
      <c r="AC437" s="21">
        <v>70</v>
      </c>
      <c r="AD437" s="21" t="s">
        <v>283</v>
      </c>
      <c r="AE437" s="175">
        <f t="shared" si="218"/>
        <v>30</v>
      </c>
      <c r="AF437" s="183">
        <f t="shared" si="219"/>
        <v>27</v>
      </c>
      <c r="AG437" s="84">
        <f t="shared" si="226"/>
        <v>0.39750000000000002</v>
      </c>
      <c r="AH437" s="244">
        <f t="shared" si="220"/>
        <v>0.159</v>
      </c>
      <c r="AI437" s="76">
        <f t="shared" si="221"/>
        <v>1.5600000000000002E-3</v>
      </c>
      <c r="AJ437" s="181">
        <f t="shared" si="222"/>
        <v>5.5650000000000005E-2</v>
      </c>
      <c r="AK437" s="182">
        <f t="shared" si="223"/>
        <v>2.3077257367928001</v>
      </c>
      <c r="AM437" s="201">
        <f t="shared" si="237"/>
        <v>2.3649357367928001</v>
      </c>
      <c r="AN437" s="202">
        <f t="shared" si="234"/>
        <v>2.2960541133910679</v>
      </c>
      <c r="AO437" s="202">
        <f t="shared" si="234"/>
        <v>2.2291787508651146</v>
      </c>
      <c r="AP437" s="202">
        <f t="shared" si="235"/>
        <v>2.16425121443215</v>
      </c>
      <c r="AQ437" s="202">
        <f t="shared" si="235"/>
        <v>2.1012147712933498</v>
      </c>
      <c r="AR437" s="202">
        <f t="shared" si="235"/>
        <v>2.0400143410615046</v>
      </c>
      <c r="AS437" s="202">
        <f t="shared" si="235"/>
        <v>1.9805964476325288</v>
      </c>
      <c r="AT437" s="202">
        <f t="shared" si="235"/>
        <v>1.9229091724587657</v>
      </c>
      <c r="AU437" s="202">
        <f t="shared" si="235"/>
        <v>1.8669021091832678</v>
      </c>
      <c r="AV437" s="202">
        <f t="shared" si="235"/>
        <v>1.8125263195954056</v>
      </c>
      <c r="AW437" s="202">
        <f t="shared" si="235"/>
        <v>1.7597342908693259</v>
      </c>
      <c r="AX437" s="202">
        <f t="shared" si="235"/>
        <v>1.7084798940478891</v>
      </c>
      <c r="AY437" s="202">
        <f t="shared" si="235"/>
        <v>1.6587183437358151</v>
      </c>
      <c r="AZ437" s="202">
        <f t="shared" si="236"/>
        <v>1.6104061589668108</v>
      </c>
      <c r="BA437" s="202">
        <f t="shared" si="236"/>
        <v>1.5635011252104958</v>
      </c>
      <c r="BB437" s="202">
        <f t="shared" si="236"/>
        <v>1.517962257485918</v>
      </c>
      <c r="BC437" s="202">
        <f t="shared" si="236"/>
        <v>1.4737497645494353</v>
      </c>
      <c r="BD437" s="202">
        <f t="shared" si="236"/>
        <v>1.4308250141256653</v>
      </c>
      <c r="BE437" s="202">
        <f t="shared" si="236"/>
        <v>1.3891504991511314</v>
      </c>
      <c r="BF437" s="202">
        <f t="shared" si="236"/>
        <v>1.3486898050010985</v>
      </c>
      <c r="BG437" s="203">
        <f t="shared" si="238"/>
        <v>36.239800129849542</v>
      </c>
    </row>
    <row r="438" spans="27:59">
      <c r="AA438" s="180">
        <f t="shared" si="239"/>
        <v>1491000000</v>
      </c>
      <c r="AB438" s="41">
        <f t="shared" si="240"/>
        <v>1775</v>
      </c>
      <c r="AC438" s="21">
        <v>71</v>
      </c>
      <c r="AD438" s="21" t="s">
        <v>283</v>
      </c>
      <c r="AE438" s="175">
        <f t="shared" si="218"/>
        <v>30</v>
      </c>
      <c r="AF438" s="183">
        <f t="shared" si="219"/>
        <v>27</v>
      </c>
      <c r="AG438" s="84">
        <f t="shared" si="226"/>
        <v>0.39750000000000002</v>
      </c>
      <c r="AH438" s="244">
        <f t="shared" si="220"/>
        <v>0.159</v>
      </c>
      <c r="AI438" s="76">
        <f t="shared" si="221"/>
        <v>1.5600000000000002E-3</v>
      </c>
      <c r="AJ438" s="181">
        <f t="shared" si="222"/>
        <v>5.5650000000000005E-2</v>
      </c>
      <c r="AK438" s="182">
        <f t="shared" si="223"/>
        <v>2.3077257367928001</v>
      </c>
      <c r="AM438" s="201">
        <f t="shared" si="237"/>
        <v>2.3649357367928001</v>
      </c>
      <c r="AN438" s="202">
        <f t="shared" si="234"/>
        <v>2.2960541133910679</v>
      </c>
      <c r="AO438" s="202">
        <f t="shared" si="234"/>
        <v>2.2291787508651146</v>
      </c>
      <c r="AP438" s="202">
        <f t="shared" ref="AP438:AY447" si="241">$AM438/POWER(1+($B$10/100),AP$366-2024)</f>
        <v>2.16425121443215</v>
      </c>
      <c r="AQ438" s="202">
        <f t="shared" si="241"/>
        <v>2.1012147712933498</v>
      </c>
      <c r="AR438" s="202">
        <f t="shared" si="241"/>
        <v>2.0400143410615046</v>
      </c>
      <c r="AS438" s="202">
        <f t="shared" si="241"/>
        <v>1.9805964476325288</v>
      </c>
      <c r="AT438" s="202">
        <f t="shared" si="241"/>
        <v>1.9229091724587657</v>
      </c>
      <c r="AU438" s="202">
        <f t="shared" si="241"/>
        <v>1.8669021091832678</v>
      </c>
      <c r="AV438" s="202">
        <f t="shared" si="241"/>
        <v>1.8125263195954056</v>
      </c>
      <c r="AW438" s="202">
        <f t="shared" si="241"/>
        <v>1.7597342908693259</v>
      </c>
      <c r="AX438" s="202">
        <f t="shared" si="241"/>
        <v>1.7084798940478891</v>
      </c>
      <c r="AY438" s="202">
        <f t="shared" si="241"/>
        <v>1.6587183437358151</v>
      </c>
      <c r="AZ438" s="202">
        <f t="shared" ref="AZ438:BF447" si="242">$AM438/POWER(1+($B$10/100),AZ$366-2024)</f>
        <v>1.6104061589668108</v>
      </c>
      <c r="BA438" s="202">
        <f t="shared" si="242"/>
        <v>1.5635011252104958</v>
      </c>
      <c r="BB438" s="202">
        <f t="shared" si="242"/>
        <v>1.517962257485918</v>
      </c>
      <c r="BC438" s="202">
        <f t="shared" si="242"/>
        <v>1.4737497645494353</v>
      </c>
      <c r="BD438" s="202">
        <f t="shared" si="242"/>
        <v>1.4308250141256653</v>
      </c>
      <c r="BE438" s="202">
        <f t="shared" si="242"/>
        <v>1.3891504991511314</v>
      </c>
      <c r="BF438" s="202">
        <f t="shared" si="242"/>
        <v>1.3486898050010985</v>
      </c>
      <c r="BG438" s="203">
        <f t="shared" si="238"/>
        <v>36.239800129849542</v>
      </c>
    </row>
    <row r="439" spans="27:59">
      <c r="AA439" s="180">
        <f t="shared" si="239"/>
        <v>1512000000</v>
      </c>
      <c r="AB439" s="41">
        <f t="shared" si="240"/>
        <v>1800</v>
      </c>
      <c r="AC439" s="21">
        <v>72</v>
      </c>
      <c r="AD439" s="21" t="s">
        <v>283</v>
      </c>
      <c r="AE439" s="175">
        <f t="shared" si="218"/>
        <v>30</v>
      </c>
      <c r="AF439" s="183">
        <f t="shared" si="219"/>
        <v>27</v>
      </c>
      <c r="AG439" s="84">
        <f t="shared" si="226"/>
        <v>0.39750000000000002</v>
      </c>
      <c r="AH439" s="244">
        <f t="shared" si="220"/>
        <v>0.159</v>
      </c>
      <c r="AI439" s="76">
        <f t="shared" si="221"/>
        <v>1.5600000000000002E-3</v>
      </c>
      <c r="AJ439" s="181">
        <f t="shared" si="222"/>
        <v>5.5650000000000005E-2</v>
      </c>
      <c r="AK439" s="182">
        <f t="shared" si="223"/>
        <v>2.3077257367928001</v>
      </c>
      <c r="AM439" s="201">
        <f t="shared" si="237"/>
        <v>2.3649357367928001</v>
      </c>
      <c r="AN439" s="202">
        <f t="shared" si="234"/>
        <v>2.2960541133910679</v>
      </c>
      <c r="AO439" s="202">
        <f t="shared" si="234"/>
        <v>2.2291787508651146</v>
      </c>
      <c r="AP439" s="202">
        <f t="shared" si="241"/>
        <v>2.16425121443215</v>
      </c>
      <c r="AQ439" s="202">
        <f t="shared" si="241"/>
        <v>2.1012147712933498</v>
      </c>
      <c r="AR439" s="202">
        <f t="shared" si="241"/>
        <v>2.0400143410615046</v>
      </c>
      <c r="AS439" s="202">
        <f t="shared" si="241"/>
        <v>1.9805964476325288</v>
      </c>
      <c r="AT439" s="202">
        <f t="shared" si="241"/>
        <v>1.9229091724587657</v>
      </c>
      <c r="AU439" s="202">
        <f t="shared" si="241"/>
        <v>1.8669021091832678</v>
      </c>
      <c r="AV439" s="202">
        <f t="shared" si="241"/>
        <v>1.8125263195954056</v>
      </c>
      <c r="AW439" s="202">
        <f t="shared" si="241"/>
        <v>1.7597342908693259</v>
      </c>
      <c r="AX439" s="202">
        <f t="shared" si="241"/>
        <v>1.7084798940478891</v>
      </c>
      <c r="AY439" s="202">
        <f t="shared" si="241"/>
        <v>1.6587183437358151</v>
      </c>
      <c r="AZ439" s="202">
        <f t="shared" si="242"/>
        <v>1.6104061589668108</v>
      </c>
      <c r="BA439" s="202">
        <f t="shared" si="242"/>
        <v>1.5635011252104958</v>
      </c>
      <c r="BB439" s="202">
        <f t="shared" si="242"/>
        <v>1.517962257485918</v>
      </c>
      <c r="BC439" s="202">
        <f t="shared" si="242"/>
        <v>1.4737497645494353</v>
      </c>
      <c r="BD439" s="202">
        <f t="shared" si="242"/>
        <v>1.4308250141256653</v>
      </c>
      <c r="BE439" s="202">
        <f t="shared" si="242"/>
        <v>1.3891504991511314</v>
      </c>
      <c r="BF439" s="202">
        <f t="shared" si="242"/>
        <v>1.3486898050010985</v>
      </c>
      <c r="BG439" s="203">
        <f t="shared" si="238"/>
        <v>36.239800129849542</v>
      </c>
    </row>
    <row r="440" spans="27:59">
      <c r="AA440" s="180">
        <f t="shared" si="239"/>
        <v>1533000000</v>
      </c>
      <c r="AB440" s="41">
        <f t="shared" si="240"/>
        <v>1825</v>
      </c>
      <c r="AC440" s="21">
        <v>73</v>
      </c>
      <c r="AD440" s="21" t="s">
        <v>283</v>
      </c>
      <c r="AE440" s="175">
        <f t="shared" si="218"/>
        <v>30</v>
      </c>
      <c r="AF440" s="183">
        <f t="shared" si="219"/>
        <v>27</v>
      </c>
      <c r="AG440" s="84">
        <f t="shared" si="226"/>
        <v>0.39750000000000002</v>
      </c>
      <c r="AH440" s="244">
        <f t="shared" si="220"/>
        <v>0.159</v>
      </c>
      <c r="AI440" s="76">
        <f t="shared" si="221"/>
        <v>1.5600000000000002E-3</v>
      </c>
      <c r="AJ440" s="181">
        <f t="shared" si="222"/>
        <v>5.5650000000000005E-2</v>
      </c>
      <c r="AK440" s="182">
        <f t="shared" si="223"/>
        <v>2.3077257367928001</v>
      </c>
      <c r="AM440" s="201">
        <f t="shared" si="237"/>
        <v>2.3649357367928001</v>
      </c>
      <c r="AN440" s="202">
        <f t="shared" si="234"/>
        <v>2.2960541133910679</v>
      </c>
      <c r="AO440" s="202">
        <f t="shared" si="234"/>
        <v>2.2291787508651146</v>
      </c>
      <c r="AP440" s="202">
        <f t="shared" si="241"/>
        <v>2.16425121443215</v>
      </c>
      <c r="AQ440" s="202">
        <f t="shared" si="241"/>
        <v>2.1012147712933498</v>
      </c>
      <c r="AR440" s="202">
        <f t="shared" si="241"/>
        <v>2.0400143410615046</v>
      </c>
      <c r="AS440" s="202">
        <f t="shared" si="241"/>
        <v>1.9805964476325288</v>
      </c>
      <c r="AT440" s="202">
        <f t="shared" si="241"/>
        <v>1.9229091724587657</v>
      </c>
      <c r="AU440" s="202">
        <f t="shared" si="241"/>
        <v>1.8669021091832678</v>
      </c>
      <c r="AV440" s="202">
        <f t="shared" si="241"/>
        <v>1.8125263195954056</v>
      </c>
      <c r="AW440" s="202">
        <f t="shared" si="241"/>
        <v>1.7597342908693259</v>
      </c>
      <c r="AX440" s="202">
        <f t="shared" si="241"/>
        <v>1.7084798940478891</v>
      </c>
      <c r="AY440" s="202">
        <f t="shared" si="241"/>
        <v>1.6587183437358151</v>
      </c>
      <c r="AZ440" s="202">
        <f t="shared" si="242"/>
        <v>1.6104061589668108</v>
      </c>
      <c r="BA440" s="202">
        <f t="shared" si="242"/>
        <v>1.5635011252104958</v>
      </c>
      <c r="BB440" s="202">
        <f t="shared" si="242"/>
        <v>1.517962257485918</v>
      </c>
      <c r="BC440" s="202">
        <f t="shared" si="242"/>
        <v>1.4737497645494353</v>
      </c>
      <c r="BD440" s="202">
        <f t="shared" si="242"/>
        <v>1.4308250141256653</v>
      </c>
      <c r="BE440" s="202">
        <f t="shared" si="242"/>
        <v>1.3891504991511314</v>
      </c>
      <c r="BF440" s="202">
        <f t="shared" si="242"/>
        <v>1.3486898050010985</v>
      </c>
      <c r="BG440" s="203">
        <f t="shared" si="238"/>
        <v>36.239800129849542</v>
      </c>
    </row>
    <row r="441" spans="27:59">
      <c r="AA441" s="180">
        <f t="shared" si="239"/>
        <v>1554000000</v>
      </c>
      <c r="AB441" s="41">
        <f t="shared" si="240"/>
        <v>1850</v>
      </c>
      <c r="AC441" s="21">
        <v>74</v>
      </c>
      <c r="AD441" s="21" t="s">
        <v>283</v>
      </c>
      <c r="AE441" s="175">
        <f t="shared" si="218"/>
        <v>30</v>
      </c>
      <c r="AF441" s="183">
        <f t="shared" si="219"/>
        <v>27</v>
      </c>
      <c r="AG441" s="84">
        <f t="shared" si="226"/>
        <v>0.39750000000000002</v>
      </c>
      <c r="AH441" s="244">
        <f t="shared" si="220"/>
        <v>0.159</v>
      </c>
      <c r="AI441" s="76">
        <f t="shared" si="221"/>
        <v>1.5600000000000002E-3</v>
      </c>
      <c r="AJ441" s="181">
        <f t="shared" si="222"/>
        <v>5.5650000000000005E-2</v>
      </c>
      <c r="AK441" s="182">
        <f t="shared" si="223"/>
        <v>2.3077257367928001</v>
      </c>
      <c r="AM441" s="201">
        <f t="shared" si="237"/>
        <v>2.3649357367928001</v>
      </c>
      <c r="AN441" s="202">
        <f t="shared" si="234"/>
        <v>2.2960541133910679</v>
      </c>
      <c r="AO441" s="202">
        <f t="shared" si="234"/>
        <v>2.2291787508651146</v>
      </c>
      <c r="AP441" s="202">
        <f t="shared" si="241"/>
        <v>2.16425121443215</v>
      </c>
      <c r="AQ441" s="202">
        <f t="shared" si="241"/>
        <v>2.1012147712933498</v>
      </c>
      <c r="AR441" s="202">
        <f t="shared" si="241"/>
        <v>2.0400143410615046</v>
      </c>
      <c r="AS441" s="202">
        <f t="shared" si="241"/>
        <v>1.9805964476325288</v>
      </c>
      <c r="AT441" s="202">
        <f t="shared" si="241"/>
        <v>1.9229091724587657</v>
      </c>
      <c r="AU441" s="202">
        <f t="shared" si="241"/>
        <v>1.8669021091832678</v>
      </c>
      <c r="AV441" s="202">
        <f t="shared" si="241"/>
        <v>1.8125263195954056</v>
      </c>
      <c r="AW441" s="202">
        <f t="shared" si="241"/>
        <v>1.7597342908693259</v>
      </c>
      <c r="AX441" s="202">
        <f t="shared" si="241"/>
        <v>1.7084798940478891</v>
      </c>
      <c r="AY441" s="202">
        <f t="shared" si="241"/>
        <v>1.6587183437358151</v>
      </c>
      <c r="AZ441" s="202">
        <f t="shared" si="242"/>
        <v>1.6104061589668108</v>
      </c>
      <c r="BA441" s="202">
        <f t="shared" si="242"/>
        <v>1.5635011252104958</v>
      </c>
      <c r="BB441" s="202">
        <f t="shared" si="242"/>
        <v>1.517962257485918</v>
      </c>
      <c r="BC441" s="202">
        <f t="shared" si="242"/>
        <v>1.4737497645494353</v>
      </c>
      <c r="BD441" s="202">
        <f t="shared" si="242"/>
        <v>1.4308250141256653</v>
      </c>
      <c r="BE441" s="202">
        <f t="shared" si="242"/>
        <v>1.3891504991511314</v>
      </c>
      <c r="BF441" s="202">
        <f t="shared" si="242"/>
        <v>1.3486898050010985</v>
      </c>
      <c r="BG441" s="203">
        <f t="shared" si="238"/>
        <v>36.239800129849542</v>
      </c>
    </row>
    <row r="442" spans="27:59">
      <c r="AA442" s="180">
        <f t="shared" si="239"/>
        <v>1575000000</v>
      </c>
      <c r="AB442" s="41">
        <f t="shared" si="240"/>
        <v>1875</v>
      </c>
      <c r="AC442" s="21">
        <v>75</v>
      </c>
      <c r="AD442" s="21" t="s">
        <v>283</v>
      </c>
      <c r="AE442" s="175">
        <f t="shared" si="218"/>
        <v>30</v>
      </c>
      <c r="AF442" s="183">
        <f t="shared" si="219"/>
        <v>27</v>
      </c>
      <c r="AG442" s="84">
        <f t="shared" si="226"/>
        <v>0.39750000000000002</v>
      </c>
      <c r="AH442" s="244">
        <f t="shared" si="220"/>
        <v>0.159</v>
      </c>
      <c r="AI442" s="76">
        <f t="shared" si="221"/>
        <v>1.5600000000000002E-3</v>
      </c>
      <c r="AJ442" s="181">
        <f t="shared" si="222"/>
        <v>5.5650000000000005E-2</v>
      </c>
      <c r="AK442" s="182">
        <f t="shared" si="223"/>
        <v>2.3077257367928001</v>
      </c>
      <c r="AM442" s="201">
        <f t="shared" si="237"/>
        <v>2.3649357367928001</v>
      </c>
      <c r="AN442" s="202">
        <f t="shared" si="234"/>
        <v>2.2960541133910679</v>
      </c>
      <c r="AO442" s="202">
        <f t="shared" si="234"/>
        <v>2.2291787508651146</v>
      </c>
      <c r="AP442" s="202">
        <f t="shared" si="241"/>
        <v>2.16425121443215</v>
      </c>
      <c r="AQ442" s="202">
        <f t="shared" si="241"/>
        <v>2.1012147712933498</v>
      </c>
      <c r="AR442" s="202">
        <f t="shared" si="241"/>
        <v>2.0400143410615046</v>
      </c>
      <c r="AS442" s="202">
        <f t="shared" si="241"/>
        <v>1.9805964476325288</v>
      </c>
      <c r="AT442" s="202">
        <f t="shared" si="241"/>
        <v>1.9229091724587657</v>
      </c>
      <c r="AU442" s="202">
        <f t="shared" si="241"/>
        <v>1.8669021091832678</v>
      </c>
      <c r="AV442" s="202">
        <f t="shared" si="241"/>
        <v>1.8125263195954056</v>
      </c>
      <c r="AW442" s="202">
        <f t="shared" si="241"/>
        <v>1.7597342908693259</v>
      </c>
      <c r="AX442" s="202">
        <f t="shared" si="241"/>
        <v>1.7084798940478891</v>
      </c>
      <c r="AY442" s="202">
        <f t="shared" si="241"/>
        <v>1.6587183437358151</v>
      </c>
      <c r="AZ442" s="202">
        <f t="shared" si="242"/>
        <v>1.6104061589668108</v>
      </c>
      <c r="BA442" s="202">
        <f t="shared" si="242"/>
        <v>1.5635011252104958</v>
      </c>
      <c r="BB442" s="202">
        <f t="shared" si="242"/>
        <v>1.517962257485918</v>
      </c>
      <c r="BC442" s="202">
        <f t="shared" si="242"/>
        <v>1.4737497645494353</v>
      </c>
      <c r="BD442" s="202">
        <f t="shared" si="242"/>
        <v>1.4308250141256653</v>
      </c>
      <c r="BE442" s="202">
        <f t="shared" si="242"/>
        <v>1.3891504991511314</v>
      </c>
      <c r="BF442" s="202">
        <f t="shared" si="242"/>
        <v>1.3486898050010985</v>
      </c>
      <c r="BG442" s="203">
        <f t="shared" si="238"/>
        <v>36.239800129849542</v>
      </c>
    </row>
    <row r="443" spans="27:59">
      <c r="AA443" s="180">
        <f t="shared" si="239"/>
        <v>1596000000</v>
      </c>
      <c r="AB443" s="41">
        <f t="shared" si="240"/>
        <v>1900</v>
      </c>
      <c r="AC443" s="21">
        <v>76</v>
      </c>
      <c r="AD443" s="21" t="s">
        <v>283</v>
      </c>
      <c r="AE443" s="175">
        <f t="shared" si="218"/>
        <v>30</v>
      </c>
      <c r="AF443" s="183">
        <f t="shared" si="219"/>
        <v>27</v>
      </c>
      <c r="AG443" s="84">
        <f t="shared" si="226"/>
        <v>0.39750000000000002</v>
      </c>
      <c r="AH443" s="244">
        <f t="shared" si="220"/>
        <v>0.159</v>
      </c>
      <c r="AI443" s="76">
        <f t="shared" si="221"/>
        <v>1.5600000000000002E-3</v>
      </c>
      <c r="AJ443" s="181">
        <f t="shared" si="222"/>
        <v>5.5650000000000005E-2</v>
      </c>
      <c r="AK443" s="182">
        <f t="shared" si="223"/>
        <v>2.3077257367928001</v>
      </c>
      <c r="AM443" s="201">
        <f t="shared" si="237"/>
        <v>2.3649357367928001</v>
      </c>
      <c r="AN443" s="202">
        <f t="shared" si="234"/>
        <v>2.2960541133910679</v>
      </c>
      <c r="AO443" s="202">
        <f t="shared" si="234"/>
        <v>2.2291787508651146</v>
      </c>
      <c r="AP443" s="202">
        <f t="shared" si="241"/>
        <v>2.16425121443215</v>
      </c>
      <c r="AQ443" s="202">
        <f t="shared" si="241"/>
        <v>2.1012147712933498</v>
      </c>
      <c r="AR443" s="202">
        <f t="shared" si="241"/>
        <v>2.0400143410615046</v>
      </c>
      <c r="AS443" s="202">
        <f t="shared" si="241"/>
        <v>1.9805964476325288</v>
      </c>
      <c r="AT443" s="202">
        <f t="shared" si="241"/>
        <v>1.9229091724587657</v>
      </c>
      <c r="AU443" s="202">
        <f t="shared" si="241"/>
        <v>1.8669021091832678</v>
      </c>
      <c r="AV443" s="202">
        <f t="shared" si="241"/>
        <v>1.8125263195954056</v>
      </c>
      <c r="AW443" s="202">
        <f t="shared" si="241"/>
        <v>1.7597342908693259</v>
      </c>
      <c r="AX443" s="202">
        <f t="shared" si="241"/>
        <v>1.7084798940478891</v>
      </c>
      <c r="AY443" s="202">
        <f t="shared" si="241"/>
        <v>1.6587183437358151</v>
      </c>
      <c r="AZ443" s="202">
        <f t="shared" si="242"/>
        <v>1.6104061589668108</v>
      </c>
      <c r="BA443" s="202">
        <f t="shared" si="242"/>
        <v>1.5635011252104958</v>
      </c>
      <c r="BB443" s="202">
        <f t="shared" si="242"/>
        <v>1.517962257485918</v>
      </c>
      <c r="BC443" s="202">
        <f t="shared" si="242"/>
        <v>1.4737497645494353</v>
      </c>
      <c r="BD443" s="202">
        <f t="shared" si="242"/>
        <v>1.4308250141256653</v>
      </c>
      <c r="BE443" s="202">
        <f t="shared" si="242"/>
        <v>1.3891504991511314</v>
      </c>
      <c r="BF443" s="202">
        <f t="shared" si="242"/>
        <v>1.3486898050010985</v>
      </c>
      <c r="BG443" s="203">
        <f t="shared" si="238"/>
        <v>36.239800129849542</v>
      </c>
    </row>
    <row r="444" spans="27:59">
      <c r="AA444" s="180">
        <f t="shared" si="239"/>
        <v>1617000000</v>
      </c>
      <c r="AB444" s="41">
        <f t="shared" si="240"/>
        <v>1925</v>
      </c>
      <c r="AC444" s="21">
        <v>77</v>
      </c>
      <c r="AD444" s="21" t="s">
        <v>283</v>
      </c>
      <c r="AE444" s="175">
        <f t="shared" si="218"/>
        <v>30</v>
      </c>
      <c r="AF444" s="183">
        <f t="shared" si="219"/>
        <v>27</v>
      </c>
      <c r="AG444" s="84">
        <f t="shared" si="226"/>
        <v>0.39750000000000002</v>
      </c>
      <c r="AH444" s="244">
        <f t="shared" si="220"/>
        <v>0.159</v>
      </c>
      <c r="AI444" s="76">
        <f t="shared" si="221"/>
        <v>1.5600000000000002E-3</v>
      </c>
      <c r="AJ444" s="181">
        <f t="shared" si="222"/>
        <v>5.5650000000000005E-2</v>
      </c>
      <c r="AK444" s="182">
        <f t="shared" si="223"/>
        <v>2.3077257367928001</v>
      </c>
      <c r="AM444" s="201">
        <f t="shared" si="237"/>
        <v>2.3649357367928001</v>
      </c>
      <c r="AN444" s="202">
        <f t="shared" si="234"/>
        <v>2.2960541133910679</v>
      </c>
      <c r="AO444" s="202">
        <f t="shared" si="234"/>
        <v>2.2291787508651146</v>
      </c>
      <c r="AP444" s="202">
        <f t="shared" si="241"/>
        <v>2.16425121443215</v>
      </c>
      <c r="AQ444" s="202">
        <f t="shared" si="241"/>
        <v>2.1012147712933498</v>
      </c>
      <c r="AR444" s="202">
        <f t="shared" si="241"/>
        <v>2.0400143410615046</v>
      </c>
      <c r="AS444" s="202">
        <f t="shared" si="241"/>
        <v>1.9805964476325288</v>
      </c>
      <c r="AT444" s="202">
        <f t="shared" si="241"/>
        <v>1.9229091724587657</v>
      </c>
      <c r="AU444" s="202">
        <f t="shared" si="241"/>
        <v>1.8669021091832678</v>
      </c>
      <c r="AV444" s="202">
        <f t="shared" si="241"/>
        <v>1.8125263195954056</v>
      </c>
      <c r="AW444" s="202">
        <f t="shared" si="241"/>
        <v>1.7597342908693259</v>
      </c>
      <c r="AX444" s="202">
        <f t="shared" si="241"/>
        <v>1.7084798940478891</v>
      </c>
      <c r="AY444" s="202">
        <f t="shared" si="241"/>
        <v>1.6587183437358151</v>
      </c>
      <c r="AZ444" s="202">
        <f t="shared" si="242"/>
        <v>1.6104061589668108</v>
      </c>
      <c r="BA444" s="202">
        <f t="shared" si="242"/>
        <v>1.5635011252104958</v>
      </c>
      <c r="BB444" s="202">
        <f t="shared" si="242"/>
        <v>1.517962257485918</v>
      </c>
      <c r="BC444" s="202">
        <f t="shared" si="242"/>
        <v>1.4737497645494353</v>
      </c>
      <c r="BD444" s="202">
        <f t="shared" si="242"/>
        <v>1.4308250141256653</v>
      </c>
      <c r="BE444" s="202">
        <f t="shared" si="242"/>
        <v>1.3891504991511314</v>
      </c>
      <c r="BF444" s="202">
        <f t="shared" si="242"/>
        <v>1.3486898050010985</v>
      </c>
      <c r="BG444" s="203">
        <f t="shared" si="238"/>
        <v>36.239800129849542</v>
      </c>
    </row>
    <row r="445" spans="27:59">
      <c r="AA445" s="180">
        <f t="shared" si="239"/>
        <v>1638000000</v>
      </c>
      <c r="AB445" s="41">
        <f t="shared" si="240"/>
        <v>1950</v>
      </c>
      <c r="AC445" s="21">
        <v>78</v>
      </c>
      <c r="AD445" s="21" t="s">
        <v>283</v>
      </c>
      <c r="AE445" s="175">
        <f t="shared" si="218"/>
        <v>30</v>
      </c>
      <c r="AF445" s="183">
        <f t="shared" si="219"/>
        <v>27</v>
      </c>
      <c r="AG445" s="84">
        <f t="shared" si="226"/>
        <v>0.39750000000000002</v>
      </c>
      <c r="AH445" s="244">
        <f t="shared" si="220"/>
        <v>0.159</v>
      </c>
      <c r="AI445" s="76">
        <f t="shared" si="221"/>
        <v>1.5600000000000002E-3</v>
      </c>
      <c r="AJ445" s="181">
        <f t="shared" si="222"/>
        <v>5.5650000000000005E-2</v>
      </c>
      <c r="AK445" s="182">
        <f t="shared" si="223"/>
        <v>2.3077257367928001</v>
      </c>
      <c r="AM445" s="201">
        <f t="shared" si="237"/>
        <v>2.3649357367928001</v>
      </c>
      <c r="AN445" s="202">
        <f t="shared" si="234"/>
        <v>2.2960541133910679</v>
      </c>
      <c r="AO445" s="202">
        <f t="shared" si="234"/>
        <v>2.2291787508651146</v>
      </c>
      <c r="AP445" s="202">
        <f t="shared" si="241"/>
        <v>2.16425121443215</v>
      </c>
      <c r="AQ445" s="202">
        <f t="shared" si="241"/>
        <v>2.1012147712933498</v>
      </c>
      <c r="AR445" s="202">
        <f t="shared" si="241"/>
        <v>2.0400143410615046</v>
      </c>
      <c r="AS445" s="202">
        <f t="shared" si="241"/>
        <v>1.9805964476325288</v>
      </c>
      <c r="AT445" s="202">
        <f t="shared" si="241"/>
        <v>1.9229091724587657</v>
      </c>
      <c r="AU445" s="202">
        <f t="shared" si="241"/>
        <v>1.8669021091832678</v>
      </c>
      <c r="AV445" s="202">
        <f t="shared" si="241"/>
        <v>1.8125263195954056</v>
      </c>
      <c r="AW445" s="202">
        <f t="shared" si="241"/>
        <v>1.7597342908693259</v>
      </c>
      <c r="AX445" s="202">
        <f t="shared" si="241"/>
        <v>1.7084798940478891</v>
      </c>
      <c r="AY445" s="202">
        <f t="shared" si="241"/>
        <v>1.6587183437358151</v>
      </c>
      <c r="AZ445" s="202">
        <f t="shared" si="242"/>
        <v>1.6104061589668108</v>
      </c>
      <c r="BA445" s="202">
        <f t="shared" si="242"/>
        <v>1.5635011252104958</v>
      </c>
      <c r="BB445" s="202">
        <f t="shared" si="242"/>
        <v>1.517962257485918</v>
      </c>
      <c r="BC445" s="202">
        <f t="shared" si="242"/>
        <v>1.4737497645494353</v>
      </c>
      <c r="BD445" s="202">
        <f t="shared" si="242"/>
        <v>1.4308250141256653</v>
      </c>
      <c r="BE445" s="202">
        <f t="shared" si="242"/>
        <v>1.3891504991511314</v>
      </c>
      <c r="BF445" s="202">
        <f t="shared" si="242"/>
        <v>1.3486898050010985</v>
      </c>
      <c r="BG445" s="203">
        <f t="shared" si="238"/>
        <v>36.239800129849542</v>
      </c>
    </row>
    <row r="446" spans="27:59">
      <c r="AA446" s="180">
        <f t="shared" si="239"/>
        <v>1659000000</v>
      </c>
      <c r="AB446" s="41">
        <f t="shared" si="240"/>
        <v>1975</v>
      </c>
      <c r="AC446" s="21">
        <v>79</v>
      </c>
      <c r="AD446" s="21" t="s">
        <v>283</v>
      </c>
      <c r="AE446" s="175">
        <f t="shared" si="218"/>
        <v>30</v>
      </c>
      <c r="AF446" s="183">
        <f t="shared" si="219"/>
        <v>27</v>
      </c>
      <c r="AG446" s="84">
        <f t="shared" si="226"/>
        <v>0.39750000000000002</v>
      </c>
      <c r="AH446" s="244">
        <f t="shared" si="220"/>
        <v>0.159</v>
      </c>
      <c r="AI446" s="76">
        <f t="shared" si="221"/>
        <v>1.5600000000000002E-3</v>
      </c>
      <c r="AJ446" s="181">
        <f t="shared" si="222"/>
        <v>5.5650000000000005E-2</v>
      </c>
      <c r="AK446" s="182">
        <f t="shared" si="223"/>
        <v>2.3077257367928001</v>
      </c>
      <c r="AM446" s="201">
        <f t="shared" si="237"/>
        <v>2.3649357367928001</v>
      </c>
      <c r="AN446" s="202">
        <f t="shared" si="234"/>
        <v>2.2960541133910679</v>
      </c>
      <c r="AO446" s="202">
        <f t="shared" si="234"/>
        <v>2.2291787508651146</v>
      </c>
      <c r="AP446" s="202">
        <f t="shared" si="241"/>
        <v>2.16425121443215</v>
      </c>
      <c r="AQ446" s="202">
        <f t="shared" si="241"/>
        <v>2.1012147712933498</v>
      </c>
      <c r="AR446" s="202">
        <f t="shared" si="241"/>
        <v>2.0400143410615046</v>
      </c>
      <c r="AS446" s="202">
        <f t="shared" si="241"/>
        <v>1.9805964476325288</v>
      </c>
      <c r="AT446" s="202">
        <f t="shared" si="241"/>
        <v>1.9229091724587657</v>
      </c>
      <c r="AU446" s="202">
        <f t="shared" si="241"/>
        <v>1.8669021091832678</v>
      </c>
      <c r="AV446" s="202">
        <f t="shared" si="241"/>
        <v>1.8125263195954056</v>
      </c>
      <c r="AW446" s="202">
        <f t="shared" si="241"/>
        <v>1.7597342908693259</v>
      </c>
      <c r="AX446" s="202">
        <f t="shared" si="241"/>
        <v>1.7084798940478891</v>
      </c>
      <c r="AY446" s="202">
        <f t="shared" si="241"/>
        <v>1.6587183437358151</v>
      </c>
      <c r="AZ446" s="202">
        <f t="shared" si="242"/>
        <v>1.6104061589668108</v>
      </c>
      <c r="BA446" s="202">
        <f t="shared" si="242"/>
        <v>1.5635011252104958</v>
      </c>
      <c r="BB446" s="202">
        <f t="shared" si="242"/>
        <v>1.517962257485918</v>
      </c>
      <c r="BC446" s="202">
        <f t="shared" si="242"/>
        <v>1.4737497645494353</v>
      </c>
      <c r="BD446" s="202">
        <f t="shared" si="242"/>
        <v>1.4308250141256653</v>
      </c>
      <c r="BE446" s="202">
        <f t="shared" si="242"/>
        <v>1.3891504991511314</v>
      </c>
      <c r="BF446" s="202">
        <f t="shared" si="242"/>
        <v>1.3486898050010985</v>
      </c>
      <c r="BG446" s="203">
        <f t="shared" si="238"/>
        <v>36.239800129849542</v>
      </c>
    </row>
    <row r="447" spans="27:59">
      <c r="AA447" s="180">
        <f t="shared" si="239"/>
        <v>1680000000</v>
      </c>
      <c r="AB447" s="41">
        <f t="shared" si="240"/>
        <v>2000</v>
      </c>
      <c r="AC447" s="21">
        <v>80</v>
      </c>
      <c r="AD447" s="21" t="s">
        <v>283</v>
      </c>
      <c r="AE447" s="175">
        <f t="shared" si="218"/>
        <v>30</v>
      </c>
      <c r="AF447" s="183">
        <f t="shared" si="219"/>
        <v>27</v>
      </c>
      <c r="AG447" s="84">
        <f t="shared" si="226"/>
        <v>0.39750000000000002</v>
      </c>
      <c r="AH447" s="244">
        <f t="shared" si="220"/>
        <v>0.159</v>
      </c>
      <c r="AI447" s="76">
        <f t="shared" si="221"/>
        <v>1.5600000000000002E-3</v>
      </c>
      <c r="AJ447" s="181">
        <f t="shared" si="222"/>
        <v>5.5650000000000005E-2</v>
      </c>
      <c r="AK447" s="182">
        <f t="shared" si="223"/>
        <v>2.3077257367928001</v>
      </c>
      <c r="AM447" s="201">
        <f t="shared" si="237"/>
        <v>2.3649357367928001</v>
      </c>
      <c r="AN447" s="202">
        <f t="shared" ref="AN447:AO466" si="243">$AM447/POWER(1+($B$10/100),AN$366-2024)</f>
        <v>2.2960541133910679</v>
      </c>
      <c r="AO447" s="202">
        <f t="shared" si="243"/>
        <v>2.2291787508651146</v>
      </c>
      <c r="AP447" s="202">
        <f t="shared" si="241"/>
        <v>2.16425121443215</v>
      </c>
      <c r="AQ447" s="202">
        <f t="shared" si="241"/>
        <v>2.1012147712933498</v>
      </c>
      <c r="AR447" s="202">
        <f t="shared" si="241"/>
        <v>2.0400143410615046</v>
      </c>
      <c r="AS447" s="202">
        <f t="shared" si="241"/>
        <v>1.9805964476325288</v>
      </c>
      <c r="AT447" s="202">
        <f t="shared" si="241"/>
        <v>1.9229091724587657</v>
      </c>
      <c r="AU447" s="202">
        <f t="shared" si="241"/>
        <v>1.8669021091832678</v>
      </c>
      <c r="AV447" s="202">
        <f t="shared" si="241"/>
        <v>1.8125263195954056</v>
      </c>
      <c r="AW447" s="202">
        <f t="shared" si="241"/>
        <v>1.7597342908693259</v>
      </c>
      <c r="AX447" s="202">
        <f t="shared" si="241"/>
        <v>1.7084798940478891</v>
      </c>
      <c r="AY447" s="202">
        <f t="shared" si="241"/>
        <v>1.6587183437358151</v>
      </c>
      <c r="AZ447" s="202">
        <f t="shared" si="242"/>
        <v>1.6104061589668108</v>
      </c>
      <c r="BA447" s="202">
        <f t="shared" si="242"/>
        <v>1.5635011252104958</v>
      </c>
      <c r="BB447" s="202">
        <f t="shared" si="242"/>
        <v>1.517962257485918</v>
      </c>
      <c r="BC447" s="202">
        <f t="shared" si="242"/>
        <v>1.4737497645494353</v>
      </c>
      <c r="BD447" s="202">
        <f t="shared" si="242"/>
        <v>1.4308250141256653</v>
      </c>
      <c r="BE447" s="202">
        <f t="shared" si="242"/>
        <v>1.3891504991511314</v>
      </c>
      <c r="BF447" s="202">
        <f t="shared" si="242"/>
        <v>1.3486898050010985</v>
      </c>
      <c r="BG447" s="203">
        <f t="shared" si="238"/>
        <v>36.239800129849542</v>
      </c>
    </row>
    <row r="448" spans="27:59">
      <c r="AA448" s="180">
        <f t="shared" si="239"/>
        <v>1701000000</v>
      </c>
      <c r="AB448" s="41">
        <f t="shared" si="240"/>
        <v>2025</v>
      </c>
      <c r="AC448" s="21">
        <v>81</v>
      </c>
      <c r="AD448" s="21" t="s">
        <v>283</v>
      </c>
      <c r="AE448" s="175">
        <f t="shared" si="218"/>
        <v>30</v>
      </c>
      <c r="AF448" s="183">
        <f t="shared" si="219"/>
        <v>27</v>
      </c>
      <c r="AG448" s="84">
        <f t="shared" si="226"/>
        <v>0.39750000000000002</v>
      </c>
      <c r="AH448" s="244">
        <f t="shared" si="220"/>
        <v>0.159</v>
      </c>
      <c r="AI448" s="76">
        <f t="shared" si="221"/>
        <v>1.5600000000000002E-3</v>
      </c>
      <c r="AJ448" s="181">
        <f t="shared" si="222"/>
        <v>5.5650000000000005E-2</v>
      </c>
      <c r="AK448" s="182">
        <f t="shared" si="223"/>
        <v>2.3077257367928001</v>
      </c>
      <c r="AM448" s="201">
        <f t="shared" si="237"/>
        <v>2.3649357367928001</v>
      </c>
      <c r="AN448" s="202">
        <f t="shared" si="243"/>
        <v>2.2960541133910679</v>
      </c>
      <c r="AO448" s="202">
        <f t="shared" si="243"/>
        <v>2.2291787508651146</v>
      </c>
      <c r="AP448" s="202">
        <f t="shared" ref="AP448:AY457" si="244">$AM448/POWER(1+($B$10/100),AP$366-2024)</f>
        <v>2.16425121443215</v>
      </c>
      <c r="AQ448" s="202">
        <f t="shared" si="244"/>
        <v>2.1012147712933498</v>
      </c>
      <c r="AR448" s="202">
        <f t="shared" si="244"/>
        <v>2.0400143410615046</v>
      </c>
      <c r="AS448" s="202">
        <f t="shared" si="244"/>
        <v>1.9805964476325288</v>
      </c>
      <c r="AT448" s="202">
        <f t="shared" si="244"/>
        <v>1.9229091724587657</v>
      </c>
      <c r="AU448" s="202">
        <f t="shared" si="244"/>
        <v>1.8669021091832678</v>
      </c>
      <c r="AV448" s="202">
        <f t="shared" si="244"/>
        <v>1.8125263195954056</v>
      </c>
      <c r="AW448" s="202">
        <f t="shared" si="244"/>
        <v>1.7597342908693259</v>
      </c>
      <c r="AX448" s="202">
        <f t="shared" si="244"/>
        <v>1.7084798940478891</v>
      </c>
      <c r="AY448" s="202">
        <f t="shared" si="244"/>
        <v>1.6587183437358151</v>
      </c>
      <c r="AZ448" s="202">
        <f t="shared" ref="AZ448:BF457" si="245">$AM448/POWER(1+($B$10/100),AZ$366-2024)</f>
        <v>1.6104061589668108</v>
      </c>
      <c r="BA448" s="202">
        <f t="shared" si="245"/>
        <v>1.5635011252104958</v>
      </c>
      <c r="BB448" s="202">
        <f t="shared" si="245"/>
        <v>1.517962257485918</v>
      </c>
      <c r="BC448" s="202">
        <f t="shared" si="245"/>
        <v>1.4737497645494353</v>
      </c>
      <c r="BD448" s="202">
        <f t="shared" si="245"/>
        <v>1.4308250141256653</v>
      </c>
      <c r="BE448" s="202">
        <f t="shared" si="245"/>
        <v>1.3891504991511314</v>
      </c>
      <c r="BF448" s="202">
        <f t="shared" si="245"/>
        <v>1.3486898050010985</v>
      </c>
      <c r="BG448" s="203">
        <f t="shared" si="238"/>
        <v>36.239800129849542</v>
      </c>
    </row>
    <row r="449" spans="27:59">
      <c r="AA449" s="180">
        <f t="shared" si="239"/>
        <v>1722000000</v>
      </c>
      <c r="AB449" s="41">
        <f t="shared" si="240"/>
        <v>2050</v>
      </c>
      <c r="AC449" s="21">
        <v>82</v>
      </c>
      <c r="AD449" s="21" t="s">
        <v>283</v>
      </c>
      <c r="AE449" s="175">
        <f t="shared" si="218"/>
        <v>30</v>
      </c>
      <c r="AF449" s="183">
        <f t="shared" si="219"/>
        <v>27</v>
      </c>
      <c r="AG449" s="84">
        <f t="shared" si="226"/>
        <v>0.39750000000000002</v>
      </c>
      <c r="AH449" s="244">
        <f t="shared" si="220"/>
        <v>0.159</v>
      </c>
      <c r="AI449" s="76">
        <f t="shared" si="221"/>
        <v>1.5600000000000002E-3</v>
      </c>
      <c r="AJ449" s="181">
        <f t="shared" si="222"/>
        <v>5.5650000000000005E-2</v>
      </c>
      <c r="AK449" s="182">
        <f t="shared" si="223"/>
        <v>2.3077257367928001</v>
      </c>
      <c r="AM449" s="201">
        <f t="shared" si="237"/>
        <v>2.3649357367928001</v>
      </c>
      <c r="AN449" s="202">
        <f t="shared" si="243"/>
        <v>2.2960541133910679</v>
      </c>
      <c r="AO449" s="202">
        <f t="shared" si="243"/>
        <v>2.2291787508651146</v>
      </c>
      <c r="AP449" s="202">
        <f t="shared" si="244"/>
        <v>2.16425121443215</v>
      </c>
      <c r="AQ449" s="202">
        <f t="shared" si="244"/>
        <v>2.1012147712933498</v>
      </c>
      <c r="AR449" s="202">
        <f t="shared" si="244"/>
        <v>2.0400143410615046</v>
      </c>
      <c r="AS449" s="202">
        <f t="shared" si="244"/>
        <v>1.9805964476325288</v>
      </c>
      <c r="AT449" s="202">
        <f t="shared" si="244"/>
        <v>1.9229091724587657</v>
      </c>
      <c r="AU449" s="202">
        <f t="shared" si="244"/>
        <v>1.8669021091832678</v>
      </c>
      <c r="AV449" s="202">
        <f t="shared" si="244"/>
        <v>1.8125263195954056</v>
      </c>
      <c r="AW449" s="202">
        <f t="shared" si="244"/>
        <v>1.7597342908693259</v>
      </c>
      <c r="AX449" s="202">
        <f t="shared" si="244"/>
        <v>1.7084798940478891</v>
      </c>
      <c r="AY449" s="202">
        <f t="shared" si="244"/>
        <v>1.6587183437358151</v>
      </c>
      <c r="AZ449" s="202">
        <f t="shared" si="245"/>
        <v>1.6104061589668108</v>
      </c>
      <c r="BA449" s="202">
        <f t="shared" si="245"/>
        <v>1.5635011252104958</v>
      </c>
      <c r="BB449" s="202">
        <f t="shared" si="245"/>
        <v>1.517962257485918</v>
      </c>
      <c r="BC449" s="202">
        <f t="shared" si="245"/>
        <v>1.4737497645494353</v>
      </c>
      <c r="BD449" s="202">
        <f t="shared" si="245"/>
        <v>1.4308250141256653</v>
      </c>
      <c r="BE449" s="202">
        <f t="shared" si="245"/>
        <v>1.3891504991511314</v>
      </c>
      <c r="BF449" s="202">
        <f t="shared" si="245"/>
        <v>1.3486898050010985</v>
      </c>
      <c r="BG449" s="203">
        <f t="shared" si="238"/>
        <v>36.239800129849542</v>
      </c>
    </row>
    <row r="450" spans="27:59">
      <c r="AA450" s="180">
        <f t="shared" si="239"/>
        <v>1743000000</v>
      </c>
      <c r="AB450" s="41">
        <f t="shared" si="240"/>
        <v>2075</v>
      </c>
      <c r="AC450" s="21">
        <v>83</v>
      </c>
      <c r="AD450" s="21" t="s">
        <v>283</v>
      </c>
      <c r="AE450" s="175">
        <f t="shared" si="218"/>
        <v>30</v>
      </c>
      <c r="AF450" s="183">
        <f t="shared" si="219"/>
        <v>27</v>
      </c>
      <c r="AG450" s="84">
        <f t="shared" si="226"/>
        <v>0.39750000000000002</v>
      </c>
      <c r="AH450" s="244">
        <f t="shared" si="220"/>
        <v>0.159</v>
      </c>
      <c r="AI450" s="76">
        <f t="shared" si="221"/>
        <v>1.5600000000000002E-3</v>
      </c>
      <c r="AJ450" s="181">
        <f t="shared" si="222"/>
        <v>5.5650000000000005E-2</v>
      </c>
      <c r="AK450" s="182">
        <f t="shared" si="223"/>
        <v>2.3077257367928001</v>
      </c>
      <c r="AM450" s="201">
        <f t="shared" si="237"/>
        <v>2.3649357367928001</v>
      </c>
      <c r="AN450" s="202">
        <f t="shared" si="243"/>
        <v>2.2960541133910679</v>
      </c>
      <c r="AO450" s="202">
        <f t="shared" si="243"/>
        <v>2.2291787508651146</v>
      </c>
      <c r="AP450" s="202">
        <f t="shared" si="244"/>
        <v>2.16425121443215</v>
      </c>
      <c r="AQ450" s="202">
        <f t="shared" si="244"/>
        <v>2.1012147712933498</v>
      </c>
      <c r="AR450" s="202">
        <f t="shared" si="244"/>
        <v>2.0400143410615046</v>
      </c>
      <c r="AS450" s="202">
        <f t="shared" si="244"/>
        <v>1.9805964476325288</v>
      </c>
      <c r="AT450" s="202">
        <f t="shared" si="244"/>
        <v>1.9229091724587657</v>
      </c>
      <c r="AU450" s="202">
        <f t="shared" si="244"/>
        <v>1.8669021091832678</v>
      </c>
      <c r="AV450" s="202">
        <f t="shared" si="244"/>
        <v>1.8125263195954056</v>
      </c>
      <c r="AW450" s="202">
        <f t="shared" si="244"/>
        <v>1.7597342908693259</v>
      </c>
      <c r="AX450" s="202">
        <f t="shared" si="244"/>
        <v>1.7084798940478891</v>
      </c>
      <c r="AY450" s="202">
        <f t="shared" si="244"/>
        <v>1.6587183437358151</v>
      </c>
      <c r="AZ450" s="202">
        <f t="shared" si="245"/>
        <v>1.6104061589668108</v>
      </c>
      <c r="BA450" s="202">
        <f t="shared" si="245"/>
        <v>1.5635011252104958</v>
      </c>
      <c r="BB450" s="202">
        <f t="shared" si="245"/>
        <v>1.517962257485918</v>
      </c>
      <c r="BC450" s="202">
        <f t="shared" si="245"/>
        <v>1.4737497645494353</v>
      </c>
      <c r="BD450" s="202">
        <f t="shared" si="245"/>
        <v>1.4308250141256653</v>
      </c>
      <c r="BE450" s="202">
        <f t="shared" si="245"/>
        <v>1.3891504991511314</v>
      </c>
      <c r="BF450" s="202">
        <f t="shared" si="245"/>
        <v>1.3486898050010985</v>
      </c>
      <c r="BG450" s="203">
        <f t="shared" si="238"/>
        <v>36.239800129849542</v>
      </c>
    </row>
    <row r="451" spans="27:59">
      <c r="AA451" s="180">
        <f t="shared" si="239"/>
        <v>1764000000</v>
      </c>
      <c r="AB451" s="41">
        <f t="shared" si="240"/>
        <v>2100</v>
      </c>
      <c r="AC451" s="21">
        <v>84</v>
      </c>
      <c r="AD451" s="21" t="s">
        <v>283</v>
      </c>
      <c r="AE451" s="175">
        <f t="shared" si="218"/>
        <v>30</v>
      </c>
      <c r="AF451" s="183">
        <f t="shared" si="219"/>
        <v>27</v>
      </c>
      <c r="AG451" s="84">
        <f t="shared" si="226"/>
        <v>0.39750000000000002</v>
      </c>
      <c r="AH451" s="244">
        <f t="shared" si="220"/>
        <v>0.159</v>
      </c>
      <c r="AI451" s="76">
        <f t="shared" si="221"/>
        <v>1.5600000000000002E-3</v>
      </c>
      <c r="AJ451" s="181">
        <f t="shared" si="222"/>
        <v>5.5650000000000005E-2</v>
      </c>
      <c r="AK451" s="182">
        <f t="shared" si="223"/>
        <v>2.3077257367928001</v>
      </c>
      <c r="AM451" s="201">
        <f t="shared" si="237"/>
        <v>2.3649357367928001</v>
      </c>
      <c r="AN451" s="202">
        <f t="shared" si="243"/>
        <v>2.2960541133910679</v>
      </c>
      <c r="AO451" s="202">
        <f t="shared" si="243"/>
        <v>2.2291787508651146</v>
      </c>
      <c r="AP451" s="202">
        <f t="shared" si="244"/>
        <v>2.16425121443215</v>
      </c>
      <c r="AQ451" s="202">
        <f t="shared" si="244"/>
        <v>2.1012147712933498</v>
      </c>
      <c r="AR451" s="202">
        <f t="shared" si="244"/>
        <v>2.0400143410615046</v>
      </c>
      <c r="AS451" s="202">
        <f t="shared" si="244"/>
        <v>1.9805964476325288</v>
      </c>
      <c r="AT451" s="202">
        <f t="shared" si="244"/>
        <v>1.9229091724587657</v>
      </c>
      <c r="AU451" s="202">
        <f t="shared" si="244"/>
        <v>1.8669021091832678</v>
      </c>
      <c r="AV451" s="202">
        <f t="shared" si="244"/>
        <v>1.8125263195954056</v>
      </c>
      <c r="AW451" s="202">
        <f t="shared" si="244"/>
        <v>1.7597342908693259</v>
      </c>
      <c r="AX451" s="202">
        <f t="shared" si="244"/>
        <v>1.7084798940478891</v>
      </c>
      <c r="AY451" s="202">
        <f t="shared" si="244"/>
        <v>1.6587183437358151</v>
      </c>
      <c r="AZ451" s="202">
        <f t="shared" si="245"/>
        <v>1.6104061589668108</v>
      </c>
      <c r="BA451" s="202">
        <f t="shared" si="245"/>
        <v>1.5635011252104958</v>
      </c>
      <c r="BB451" s="202">
        <f t="shared" si="245"/>
        <v>1.517962257485918</v>
      </c>
      <c r="BC451" s="202">
        <f t="shared" si="245"/>
        <v>1.4737497645494353</v>
      </c>
      <c r="BD451" s="202">
        <f t="shared" si="245"/>
        <v>1.4308250141256653</v>
      </c>
      <c r="BE451" s="202">
        <f t="shared" si="245"/>
        <v>1.3891504991511314</v>
      </c>
      <c r="BF451" s="202">
        <f t="shared" si="245"/>
        <v>1.3486898050010985</v>
      </c>
      <c r="BG451" s="203">
        <f t="shared" si="238"/>
        <v>36.239800129849542</v>
      </c>
    </row>
    <row r="452" spans="27:59">
      <c r="AA452" s="180">
        <f t="shared" si="239"/>
        <v>1785000000</v>
      </c>
      <c r="AB452" s="41">
        <f t="shared" si="240"/>
        <v>2125</v>
      </c>
      <c r="AC452" s="21">
        <v>85</v>
      </c>
      <c r="AD452" s="21" t="s">
        <v>283</v>
      </c>
      <c r="AE452" s="175">
        <f t="shared" ref="AE452:AE515" si="246">AE270*$B$3</f>
        <v>30</v>
      </c>
      <c r="AF452" s="183">
        <f t="shared" ref="AF452:AF515" si="247">AF270*$B$4</f>
        <v>27</v>
      </c>
      <c r="AG452" s="84">
        <f t="shared" ref="AG452:AG515" si="248">AG270*$B$5</f>
        <v>0.39750000000000002</v>
      </c>
      <c r="AH452" s="244">
        <f t="shared" ref="AH452:AH515" si="249">AH270*$B$6</f>
        <v>0.159</v>
      </c>
      <c r="AI452" s="76">
        <f t="shared" ref="AI452:AI515" si="250">AI270*$B$7</f>
        <v>1.5600000000000002E-3</v>
      </c>
      <c r="AJ452" s="181">
        <f t="shared" ref="AJ452:AJ515" si="251">(AG452+AH452)*(AJ270/100)</f>
        <v>5.5650000000000005E-2</v>
      </c>
      <c r="AK452" s="182">
        <f t="shared" ref="AK452:AK515" si="252">AK270*$B$9</f>
        <v>2.3077257367928001</v>
      </c>
      <c r="AM452" s="201">
        <f t="shared" si="237"/>
        <v>2.3649357367928001</v>
      </c>
      <c r="AN452" s="202">
        <f t="shared" si="243"/>
        <v>2.2960541133910679</v>
      </c>
      <c r="AO452" s="202">
        <f t="shared" si="243"/>
        <v>2.2291787508651146</v>
      </c>
      <c r="AP452" s="202">
        <f t="shared" si="244"/>
        <v>2.16425121443215</v>
      </c>
      <c r="AQ452" s="202">
        <f t="shared" si="244"/>
        <v>2.1012147712933498</v>
      </c>
      <c r="AR452" s="202">
        <f t="shared" si="244"/>
        <v>2.0400143410615046</v>
      </c>
      <c r="AS452" s="202">
        <f t="shared" si="244"/>
        <v>1.9805964476325288</v>
      </c>
      <c r="AT452" s="202">
        <f t="shared" si="244"/>
        <v>1.9229091724587657</v>
      </c>
      <c r="AU452" s="202">
        <f t="shared" si="244"/>
        <v>1.8669021091832678</v>
      </c>
      <c r="AV452" s="202">
        <f t="shared" si="244"/>
        <v>1.8125263195954056</v>
      </c>
      <c r="AW452" s="202">
        <f t="shared" si="244"/>
        <v>1.7597342908693259</v>
      </c>
      <c r="AX452" s="202">
        <f t="shared" si="244"/>
        <v>1.7084798940478891</v>
      </c>
      <c r="AY452" s="202">
        <f t="shared" si="244"/>
        <v>1.6587183437358151</v>
      </c>
      <c r="AZ452" s="202">
        <f t="shared" si="245"/>
        <v>1.6104061589668108</v>
      </c>
      <c r="BA452" s="202">
        <f t="shared" si="245"/>
        <v>1.5635011252104958</v>
      </c>
      <c r="BB452" s="202">
        <f t="shared" si="245"/>
        <v>1.517962257485918</v>
      </c>
      <c r="BC452" s="202">
        <f t="shared" si="245"/>
        <v>1.4737497645494353</v>
      </c>
      <c r="BD452" s="202">
        <f t="shared" si="245"/>
        <v>1.4308250141256653</v>
      </c>
      <c r="BE452" s="202">
        <f t="shared" si="245"/>
        <v>1.3891504991511314</v>
      </c>
      <c r="BF452" s="202">
        <f t="shared" si="245"/>
        <v>1.3486898050010985</v>
      </c>
      <c r="BG452" s="203">
        <f t="shared" si="238"/>
        <v>36.239800129849542</v>
      </c>
    </row>
    <row r="453" spans="27:59">
      <c r="AA453" s="180">
        <f t="shared" si="239"/>
        <v>1806000000</v>
      </c>
      <c r="AB453" s="41">
        <f t="shared" si="240"/>
        <v>2150</v>
      </c>
      <c r="AC453" s="21">
        <v>86</v>
      </c>
      <c r="AD453" s="21" t="s">
        <v>283</v>
      </c>
      <c r="AE453" s="175">
        <f t="shared" si="246"/>
        <v>30</v>
      </c>
      <c r="AF453" s="183">
        <f t="shared" si="247"/>
        <v>27</v>
      </c>
      <c r="AG453" s="84">
        <f t="shared" si="248"/>
        <v>0.39750000000000002</v>
      </c>
      <c r="AH453" s="244">
        <f t="shared" si="249"/>
        <v>0.159</v>
      </c>
      <c r="AI453" s="76">
        <f t="shared" si="250"/>
        <v>1.5600000000000002E-3</v>
      </c>
      <c r="AJ453" s="181">
        <f t="shared" si="251"/>
        <v>5.5650000000000005E-2</v>
      </c>
      <c r="AK453" s="182">
        <f t="shared" si="252"/>
        <v>2.3077257367928001</v>
      </c>
      <c r="AM453" s="201">
        <f t="shared" si="237"/>
        <v>2.3649357367928001</v>
      </c>
      <c r="AN453" s="202">
        <f t="shared" si="243"/>
        <v>2.2960541133910679</v>
      </c>
      <c r="AO453" s="202">
        <f t="shared" si="243"/>
        <v>2.2291787508651146</v>
      </c>
      <c r="AP453" s="202">
        <f t="shared" si="244"/>
        <v>2.16425121443215</v>
      </c>
      <c r="AQ453" s="202">
        <f t="shared" si="244"/>
        <v>2.1012147712933498</v>
      </c>
      <c r="AR453" s="202">
        <f t="shared" si="244"/>
        <v>2.0400143410615046</v>
      </c>
      <c r="AS453" s="202">
        <f t="shared" si="244"/>
        <v>1.9805964476325288</v>
      </c>
      <c r="AT453" s="202">
        <f t="shared" si="244"/>
        <v>1.9229091724587657</v>
      </c>
      <c r="AU453" s="202">
        <f t="shared" si="244"/>
        <v>1.8669021091832678</v>
      </c>
      <c r="AV453" s="202">
        <f t="shared" si="244"/>
        <v>1.8125263195954056</v>
      </c>
      <c r="AW453" s="202">
        <f t="shared" si="244"/>
        <v>1.7597342908693259</v>
      </c>
      <c r="AX453" s="202">
        <f t="shared" si="244"/>
        <v>1.7084798940478891</v>
      </c>
      <c r="AY453" s="202">
        <f t="shared" si="244"/>
        <v>1.6587183437358151</v>
      </c>
      <c r="AZ453" s="202">
        <f t="shared" si="245"/>
        <v>1.6104061589668108</v>
      </c>
      <c r="BA453" s="202">
        <f t="shared" si="245"/>
        <v>1.5635011252104958</v>
      </c>
      <c r="BB453" s="202">
        <f t="shared" si="245"/>
        <v>1.517962257485918</v>
      </c>
      <c r="BC453" s="202">
        <f t="shared" si="245"/>
        <v>1.4737497645494353</v>
      </c>
      <c r="BD453" s="202">
        <f t="shared" si="245"/>
        <v>1.4308250141256653</v>
      </c>
      <c r="BE453" s="202">
        <f t="shared" si="245"/>
        <v>1.3891504991511314</v>
      </c>
      <c r="BF453" s="202">
        <f t="shared" si="245"/>
        <v>1.3486898050010985</v>
      </c>
      <c r="BG453" s="203">
        <f t="shared" si="238"/>
        <v>36.239800129849542</v>
      </c>
    </row>
    <row r="454" spans="27:59">
      <c r="AA454" s="180">
        <f t="shared" si="239"/>
        <v>1827000000</v>
      </c>
      <c r="AB454" s="41">
        <f t="shared" si="240"/>
        <v>2175</v>
      </c>
      <c r="AC454" s="21">
        <v>87</v>
      </c>
      <c r="AD454" s="21" t="s">
        <v>283</v>
      </c>
      <c r="AE454" s="175">
        <f t="shared" si="246"/>
        <v>30</v>
      </c>
      <c r="AF454" s="183">
        <f t="shared" si="247"/>
        <v>27</v>
      </c>
      <c r="AG454" s="84">
        <f t="shared" si="248"/>
        <v>0.39750000000000002</v>
      </c>
      <c r="AH454" s="244">
        <f t="shared" si="249"/>
        <v>0.159</v>
      </c>
      <c r="AI454" s="76">
        <f t="shared" si="250"/>
        <v>1.5600000000000002E-3</v>
      </c>
      <c r="AJ454" s="181">
        <f t="shared" si="251"/>
        <v>5.5650000000000005E-2</v>
      </c>
      <c r="AK454" s="182">
        <f t="shared" si="252"/>
        <v>2.3077257367928001</v>
      </c>
      <c r="AM454" s="201">
        <f t="shared" si="237"/>
        <v>2.3649357367928001</v>
      </c>
      <c r="AN454" s="202">
        <f t="shared" si="243"/>
        <v>2.2960541133910679</v>
      </c>
      <c r="AO454" s="202">
        <f t="shared" si="243"/>
        <v>2.2291787508651146</v>
      </c>
      <c r="AP454" s="202">
        <f t="shared" si="244"/>
        <v>2.16425121443215</v>
      </c>
      <c r="AQ454" s="202">
        <f t="shared" si="244"/>
        <v>2.1012147712933498</v>
      </c>
      <c r="AR454" s="202">
        <f t="shared" si="244"/>
        <v>2.0400143410615046</v>
      </c>
      <c r="AS454" s="202">
        <f t="shared" si="244"/>
        <v>1.9805964476325288</v>
      </c>
      <c r="AT454" s="202">
        <f t="shared" si="244"/>
        <v>1.9229091724587657</v>
      </c>
      <c r="AU454" s="202">
        <f t="shared" si="244"/>
        <v>1.8669021091832678</v>
      </c>
      <c r="AV454" s="202">
        <f t="shared" si="244"/>
        <v>1.8125263195954056</v>
      </c>
      <c r="AW454" s="202">
        <f t="shared" si="244"/>
        <v>1.7597342908693259</v>
      </c>
      <c r="AX454" s="202">
        <f t="shared" si="244"/>
        <v>1.7084798940478891</v>
      </c>
      <c r="AY454" s="202">
        <f t="shared" si="244"/>
        <v>1.6587183437358151</v>
      </c>
      <c r="AZ454" s="202">
        <f t="shared" si="245"/>
        <v>1.6104061589668108</v>
      </c>
      <c r="BA454" s="202">
        <f t="shared" si="245"/>
        <v>1.5635011252104958</v>
      </c>
      <c r="BB454" s="202">
        <f t="shared" si="245"/>
        <v>1.517962257485918</v>
      </c>
      <c r="BC454" s="202">
        <f t="shared" si="245"/>
        <v>1.4737497645494353</v>
      </c>
      <c r="BD454" s="202">
        <f t="shared" si="245"/>
        <v>1.4308250141256653</v>
      </c>
      <c r="BE454" s="202">
        <f t="shared" si="245"/>
        <v>1.3891504991511314</v>
      </c>
      <c r="BF454" s="202">
        <f t="shared" si="245"/>
        <v>1.3486898050010985</v>
      </c>
      <c r="BG454" s="203">
        <f t="shared" si="238"/>
        <v>36.239800129849542</v>
      </c>
    </row>
    <row r="455" spans="27:59">
      <c r="AA455" s="180">
        <f t="shared" si="239"/>
        <v>1848000000</v>
      </c>
      <c r="AB455" s="41">
        <f t="shared" si="240"/>
        <v>2200</v>
      </c>
      <c r="AC455" s="21">
        <v>88</v>
      </c>
      <c r="AD455" s="21" t="s">
        <v>283</v>
      </c>
      <c r="AE455" s="175">
        <f t="shared" si="246"/>
        <v>30</v>
      </c>
      <c r="AF455" s="183">
        <f t="shared" si="247"/>
        <v>27</v>
      </c>
      <c r="AG455" s="84">
        <f t="shared" si="248"/>
        <v>0.39750000000000002</v>
      </c>
      <c r="AH455" s="244">
        <f t="shared" si="249"/>
        <v>0.159</v>
      </c>
      <c r="AI455" s="76">
        <f t="shared" si="250"/>
        <v>1.5600000000000002E-3</v>
      </c>
      <c r="AJ455" s="181">
        <f t="shared" si="251"/>
        <v>5.5650000000000005E-2</v>
      </c>
      <c r="AK455" s="182">
        <f t="shared" si="252"/>
        <v>2.3077257367928001</v>
      </c>
      <c r="AM455" s="201">
        <f t="shared" si="237"/>
        <v>2.3649357367928001</v>
      </c>
      <c r="AN455" s="202">
        <f t="shared" si="243"/>
        <v>2.2960541133910679</v>
      </c>
      <c r="AO455" s="202">
        <f t="shared" si="243"/>
        <v>2.2291787508651146</v>
      </c>
      <c r="AP455" s="202">
        <f t="shared" si="244"/>
        <v>2.16425121443215</v>
      </c>
      <c r="AQ455" s="202">
        <f t="shared" si="244"/>
        <v>2.1012147712933498</v>
      </c>
      <c r="AR455" s="202">
        <f t="shared" si="244"/>
        <v>2.0400143410615046</v>
      </c>
      <c r="AS455" s="202">
        <f t="shared" si="244"/>
        <v>1.9805964476325288</v>
      </c>
      <c r="AT455" s="202">
        <f t="shared" si="244"/>
        <v>1.9229091724587657</v>
      </c>
      <c r="AU455" s="202">
        <f t="shared" si="244"/>
        <v>1.8669021091832678</v>
      </c>
      <c r="AV455" s="202">
        <f t="shared" si="244"/>
        <v>1.8125263195954056</v>
      </c>
      <c r="AW455" s="202">
        <f t="shared" si="244"/>
        <v>1.7597342908693259</v>
      </c>
      <c r="AX455" s="202">
        <f t="shared" si="244"/>
        <v>1.7084798940478891</v>
      </c>
      <c r="AY455" s="202">
        <f t="shared" si="244"/>
        <v>1.6587183437358151</v>
      </c>
      <c r="AZ455" s="202">
        <f t="shared" si="245"/>
        <v>1.6104061589668108</v>
      </c>
      <c r="BA455" s="202">
        <f t="shared" si="245"/>
        <v>1.5635011252104958</v>
      </c>
      <c r="BB455" s="202">
        <f t="shared" si="245"/>
        <v>1.517962257485918</v>
      </c>
      <c r="BC455" s="202">
        <f t="shared" si="245"/>
        <v>1.4737497645494353</v>
      </c>
      <c r="BD455" s="202">
        <f t="shared" si="245"/>
        <v>1.4308250141256653</v>
      </c>
      <c r="BE455" s="202">
        <f t="shared" si="245"/>
        <v>1.3891504991511314</v>
      </c>
      <c r="BF455" s="202">
        <f t="shared" si="245"/>
        <v>1.3486898050010985</v>
      </c>
      <c r="BG455" s="203">
        <f t="shared" si="238"/>
        <v>36.239800129849542</v>
      </c>
    </row>
    <row r="456" spans="27:59">
      <c r="AA456" s="180">
        <f t="shared" si="239"/>
        <v>1869000000</v>
      </c>
      <c r="AB456" s="41">
        <f t="shared" si="240"/>
        <v>2225</v>
      </c>
      <c r="AC456" s="21">
        <v>89</v>
      </c>
      <c r="AD456" s="21" t="s">
        <v>283</v>
      </c>
      <c r="AE456" s="175">
        <f t="shared" si="246"/>
        <v>30</v>
      </c>
      <c r="AF456" s="183">
        <f t="shared" si="247"/>
        <v>27</v>
      </c>
      <c r="AG456" s="84">
        <f t="shared" si="248"/>
        <v>0.39750000000000002</v>
      </c>
      <c r="AH456" s="244">
        <f t="shared" si="249"/>
        <v>0.159</v>
      </c>
      <c r="AI456" s="76">
        <f t="shared" si="250"/>
        <v>1.5600000000000002E-3</v>
      </c>
      <c r="AJ456" s="181">
        <f t="shared" si="251"/>
        <v>5.5650000000000005E-2</v>
      </c>
      <c r="AK456" s="182">
        <f t="shared" si="252"/>
        <v>2.3077257367928001</v>
      </c>
      <c r="AM456" s="201">
        <f t="shared" si="237"/>
        <v>2.3649357367928001</v>
      </c>
      <c r="AN456" s="202">
        <f t="shared" si="243"/>
        <v>2.2960541133910679</v>
      </c>
      <c r="AO456" s="202">
        <f t="shared" si="243"/>
        <v>2.2291787508651146</v>
      </c>
      <c r="AP456" s="202">
        <f t="shared" si="244"/>
        <v>2.16425121443215</v>
      </c>
      <c r="AQ456" s="202">
        <f t="shared" si="244"/>
        <v>2.1012147712933498</v>
      </c>
      <c r="AR456" s="202">
        <f t="shared" si="244"/>
        <v>2.0400143410615046</v>
      </c>
      <c r="AS456" s="202">
        <f t="shared" si="244"/>
        <v>1.9805964476325288</v>
      </c>
      <c r="AT456" s="202">
        <f t="shared" si="244"/>
        <v>1.9229091724587657</v>
      </c>
      <c r="AU456" s="202">
        <f t="shared" si="244"/>
        <v>1.8669021091832678</v>
      </c>
      <c r="AV456" s="202">
        <f t="shared" si="244"/>
        <v>1.8125263195954056</v>
      </c>
      <c r="AW456" s="202">
        <f t="shared" si="244"/>
        <v>1.7597342908693259</v>
      </c>
      <c r="AX456" s="202">
        <f t="shared" si="244"/>
        <v>1.7084798940478891</v>
      </c>
      <c r="AY456" s="202">
        <f t="shared" si="244"/>
        <v>1.6587183437358151</v>
      </c>
      <c r="AZ456" s="202">
        <f t="shared" si="245"/>
        <v>1.6104061589668108</v>
      </c>
      <c r="BA456" s="202">
        <f t="shared" si="245"/>
        <v>1.5635011252104958</v>
      </c>
      <c r="BB456" s="202">
        <f t="shared" si="245"/>
        <v>1.517962257485918</v>
      </c>
      <c r="BC456" s="202">
        <f t="shared" si="245"/>
        <v>1.4737497645494353</v>
      </c>
      <c r="BD456" s="202">
        <f t="shared" si="245"/>
        <v>1.4308250141256653</v>
      </c>
      <c r="BE456" s="202">
        <f t="shared" si="245"/>
        <v>1.3891504991511314</v>
      </c>
      <c r="BF456" s="202">
        <f t="shared" si="245"/>
        <v>1.3486898050010985</v>
      </c>
      <c r="BG456" s="203">
        <f t="shared" si="238"/>
        <v>36.239800129849542</v>
      </c>
    </row>
    <row r="457" spans="27:59">
      <c r="AA457" s="180">
        <f t="shared" si="239"/>
        <v>1890000000</v>
      </c>
      <c r="AB457" s="41">
        <f t="shared" si="240"/>
        <v>2250</v>
      </c>
      <c r="AC457" s="21">
        <v>90</v>
      </c>
      <c r="AD457" s="21" t="s">
        <v>283</v>
      </c>
      <c r="AE457" s="175">
        <f t="shared" si="246"/>
        <v>30</v>
      </c>
      <c r="AF457" s="183">
        <f t="shared" si="247"/>
        <v>27</v>
      </c>
      <c r="AG457" s="84">
        <f t="shared" si="248"/>
        <v>0.39750000000000002</v>
      </c>
      <c r="AH457" s="244">
        <f t="shared" si="249"/>
        <v>0.159</v>
      </c>
      <c r="AI457" s="76">
        <f t="shared" si="250"/>
        <v>1.5600000000000002E-3</v>
      </c>
      <c r="AJ457" s="181">
        <f t="shared" si="251"/>
        <v>5.5650000000000005E-2</v>
      </c>
      <c r="AK457" s="182">
        <f t="shared" si="252"/>
        <v>2.3077257367928001</v>
      </c>
      <c r="AM457" s="201">
        <f t="shared" si="237"/>
        <v>2.3649357367928001</v>
      </c>
      <c r="AN457" s="202">
        <f t="shared" si="243"/>
        <v>2.2960541133910679</v>
      </c>
      <c r="AO457" s="202">
        <f t="shared" si="243"/>
        <v>2.2291787508651146</v>
      </c>
      <c r="AP457" s="202">
        <f t="shared" si="244"/>
        <v>2.16425121443215</v>
      </c>
      <c r="AQ457" s="202">
        <f t="shared" si="244"/>
        <v>2.1012147712933498</v>
      </c>
      <c r="AR457" s="202">
        <f t="shared" si="244"/>
        <v>2.0400143410615046</v>
      </c>
      <c r="AS457" s="202">
        <f t="shared" si="244"/>
        <v>1.9805964476325288</v>
      </c>
      <c r="AT457" s="202">
        <f t="shared" si="244"/>
        <v>1.9229091724587657</v>
      </c>
      <c r="AU457" s="202">
        <f t="shared" si="244"/>
        <v>1.8669021091832678</v>
      </c>
      <c r="AV457" s="202">
        <f t="shared" si="244"/>
        <v>1.8125263195954056</v>
      </c>
      <c r="AW457" s="202">
        <f t="shared" si="244"/>
        <v>1.7597342908693259</v>
      </c>
      <c r="AX457" s="202">
        <f t="shared" si="244"/>
        <v>1.7084798940478891</v>
      </c>
      <c r="AY457" s="202">
        <f t="shared" si="244"/>
        <v>1.6587183437358151</v>
      </c>
      <c r="AZ457" s="202">
        <f t="shared" si="245"/>
        <v>1.6104061589668108</v>
      </c>
      <c r="BA457" s="202">
        <f t="shared" si="245"/>
        <v>1.5635011252104958</v>
      </c>
      <c r="BB457" s="202">
        <f t="shared" si="245"/>
        <v>1.517962257485918</v>
      </c>
      <c r="BC457" s="202">
        <f t="shared" si="245"/>
        <v>1.4737497645494353</v>
      </c>
      <c r="BD457" s="202">
        <f t="shared" si="245"/>
        <v>1.4308250141256653</v>
      </c>
      <c r="BE457" s="202">
        <f t="shared" si="245"/>
        <v>1.3891504991511314</v>
      </c>
      <c r="BF457" s="202">
        <f t="shared" si="245"/>
        <v>1.3486898050010985</v>
      </c>
      <c r="BG457" s="203">
        <f t="shared" si="238"/>
        <v>36.239800129849542</v>
      </c>
    </row>
    <row r="458" spans="27:59">
      <c r="AA458" s="180">
        <f t="shared" si="239"/>
        <v>1911000000</v>
      </c>
      <c r="AB458" s="41">
        <f t="shared" si="240"/>
        <v>2275</v>
      </c>
      <c r="AC458" s="21">
        <v>91</v>
      </c>
      <c r="AD458" s="21" t="s">
        <v>283</v>
      </c>
      <c r="AE458" s="175">
        <f t="shared" si="246"/>
        <v>30</v>
      </c>
      <c r="AF458" s="183">
        <f t="shared" si="247"/>
        <v>27</v>
      </c>
      <c r="AG458" s="84">
        <f t="shared" si="248"/>
        <v>0.39750000000000002</v>
      </c>
      <c r="AH458" s="244">
        <f t="shared" si="249"/>
        <v>0.159</v>
      </c>
      <c r="AI458" s="76">
        <f t="shared" si="250"/>
        <v>1.5600000000000002E-3</v>
      </c>
      <c r="AJ458" s="181">
        <f t="shared" si="251"/>
        <v>5.5650000000000005E-2</v>
      </c>
      <c r="AK458" s="182">
        <f t="shared" si="252"/>
        <v>2.3077257367928001</v>
      </c>
      <c r="AM458" s="201">
        <f t="shared" si="237"/>
        <v>2.3649357367928001</v>
      </c>
      <c r="AN458" s="202">
        <f t="shared" si="243"/>
        <v>2.2960541133910679</v>
      </c>
      <c r="AO458" s="202">
        <f t="shared" si="243"/>
        <v>2.2291787508651146</v>
      </c>
      <c r="AP458" s="202">
        <f t="shared" ref="AP458:AY467" si="253">$AM458/POWER(1+($B$10/100),AP$366-2024)</f>
        <v>2.16425121443215</v>
      </c>
      <c r="AQ458" s="202">
        <f t="shared" si="253"/>
        <v>2.1012147712933498</v>
      </c>
      <c r="AR458" s="202">
        <f t="shared" si="253"/>
        <v>2.0400143410615046</v>
      </c>
      <c r="AS458" s="202">
        <f t="shared" si="253"/>
        <v>1.9805964476325288</v>
      </c>
      <c r="AT458" s="202">
        <f t="shared" si="253"/>
        <v>1.9229091724587657</v>
      </c>
      <c r="AU458" s="202">
        <f t="shared" si="253"/>
        <v>1.8669021091832678</v>
      </c>
      <c r="AV458" s="202">
        <f t="shared" si="253"/>
        <v>1.8125263195954056</v>
      </c>
      <c r="AW458" s="202">
        <f t="shared" si="253"/>
        <v>1.7597342908693259</v>
      </c>
      <c r="AX458" s="202">
        <f t="shared" si="253"/>
        <v>1.7084798940478891</v>
      </c>
      <c r="AY458" s="202">
        <f t="shared" si="253"/>
        <v>1.6587183437358151</v>
      </c>
      <c r="AZ458" s="202">
        <f t="shared" ref="AZ458:BF467" si="254">$AM458/POWER(1+($B$10/100),AZ$366-2024)</f>
        <v>1.6104061589668108</v>
      </c>
      <c r="BA458" s="202">
        <f t="shared" si="254"/>
        <v>1.5635011252104958</v>
      </c>
      <c r="BB458" s="202">
        <f t="shared" si="254"/>
        <v>1.517962257485918</v>
      </c>
      <c r="BC458" s="202">
        <f t="shared" si="254"/>
        <v>1.4737497645494353</v>
      </c>
      <c r="BD458" s="202">
        <f t="shared" si="254"/>
        <v>1.4308250141256653</v>
      </c>
      <c r="BE458" s="202">
        <f t="shared" si="254"/>
        <v>1.3891504991511314</v>
      </c>
      <c r="BF458" s="202">
        <f t="shared" si="254"/>
        <v>1.3486898050010985</v>
      </c>
      <c r="BG458" s="203">
        <f t="shared" si="238"/>
        <v>36.239800129849542</v>
      </c>
    </row>
    <row r="459" spans="27:59">
      <c r="AA459" s="180">
        <f t="shared" si="239"/>
        <v>1932000000</v>
      </c>
      <c r="AB459" s="41">
        <f t="shared" si="240"/>
        <v>2300</v>
      </c>
      <c r="AC459" s="21">
        <v>92</v>
      </c>
      <c r="AD459" s="21" t="s">
        <v>283</v>
      </c>
      <c r="AE459" s="175">
        <f t="shared" si="246"/>
        <v>30</v>
      </c>
      <c r="AF459" s="183">
        <f t="shared" si="247"/>
        <v>27</v>
      </c>
      <c r="AG459" s="84">
        <f t="shared" si="248"/>
        <v>0.39750000000000002</v>
      </c>
      <c r="AH459" s="244">
        <f t="shared" si="249"/>
        <v>0.159</v>
      </c>
      <c r="AI459" s="76">
        <f t="shared" si="250"/>
        <v>1.5600000000000002E-3</v>
      </c>
      <c r="AJ459" s="181">
        <f t="shared" si="251"/>
        <v>5.5650000000000005E-2</v>
      </c>
      <c r="AK459" s="182">
        <f t="shared" si="252"/>
        <v>2.3077257367928001</v>
      </c>
      <c r="AM459" s="201">
        <f t="shared" si="237"/>
        <v>2.3649357367928001</v>
      </c>
      <c r="AN459" s="202">
        <f t="shared" si="243"/>
        <v>2.2960541133910679</v>
      </c>
      <c r="AO459" s="202">
        <f t="shared" si="243"/>
        <v>2.2291787508651146</v>
      </c>
      <c r="AP459" s="202">
        <f t="shared" si="253"/>
        <v>2.16425121443215</v>
      </c>
      <c r="AQ459" s="202">
        <f t="shared" si="253"/>
        <v>2.1012147712933498</v>
      </c>
      <c r="AR459" s="202">
        <f t="shared" si="253"/>
        <v>2.0400143410615046</v>
      </c>
      <c r="AS459" s="202">
        <f t="shared" si="253"/>
        <v>1.9805964476325288</v>
      </c>
      <c r="AT459" s="202">
        <f t="shared" si="253"/>
        <v>1.9229091724587657</v>
      </c>
      <c r="AU459" s="202">
        <f t="shared" si="253"/>
        <v>1.8669021091832678</v>
      </c>
      <c r="AV459" s="202">
        <f t="shared" si="253"/>
        <v>1.8125263195954056</v>
      </c>
      <c r="AW459" s="202">
        <f t="shared" si="253"/>
        <v>1.7597342908693259</v>
      </c>
      <c r="AX459" s="202">
        <f t="shared" si="253"/>
        <v>1.7084798940478891</v>
      </c>
      <c r="AY459" s="202">
        <f t="shared" si="253"/>
        <v>1.6587183437358151</v>
      </c>
      <c r="AZ459" s="202">
        <f t="shared" si="254"/>
        <v>1.6104061589668108</v>
      </c>
      <c r="BA459" s="202">
        <f t="shared" si="254"/>
        <v>1.5635011252104958</v>
      </c>
      <c r="BB459" s="202">
        <f t="shared" si="254"/>
        <v>1.517962257485918</v>
      </c>
      <c r="BC459" s="202">
        <f t="shared" si="254"/>
        <v>1.4737497645494353</v>
      </c>
      <c r="BD459" s="202">
        <f t="shared" si="254"/>
        <v>1.4308250141256653</v>
      </c>
      <c r="BE459" s="202">
        <f t="shared" si="254"/>
        <v>1.3891504991511314</v>
      </c>
      <c r="BF459" s="202">
        <f t="shared" si="254"/>
        <v>1.3486898050010985</v>
      </c>
      <c r="BG459" s="203">
        <f t="shared" si="238"/>
        <v>36.239800129849542</v>
      </c>
    </row>
    <row r="460" spans="27:59">
      <c r="AA460" s="180">
        <f t="shared" si="239"/>
        <v>1953000000</v>
      </c>
      <c r="AB460" s="41">
        <f t="shared" si="240"/>
        <v>2325</v>
      </c>
      <c r="AC460" s="21">
        <v>93</v>
      </c>
      <c r="AD460" s="21" t="s">
        <v>283</v>
      </c>
      <c r="AE460" s="175">
        <f t="shared" si="246"/>
        <v>30</v>
      </c>
      <c r="AF460" s="183">
        <f t="shared" si="247"/>
        <v>27</v>
      </c>
      <c r="AG460" s="84">
        <f t="shared" si="248"/>
        <v>0.39750000000000002</v>
      </c>
      <c r="AH460" s="244">
        <f t="shared" si="249"/>
        <v>0.159</v>
      </c>
      <c r="AI460" s="76">
        <f t="shared" si="250"/>
        <v>1.5600000000000002E-3</v>
      </c>
      <c r="AJ460" s="181">
        <f t="shared" si="251"/>
        <v>5.5650000000000005E-2</v>
      </c>
      <c r="AK460" s="182">
        <f t="shared" si="252"/>
        <v>2.3077257367928001</v>
      </c>
      <c r="AM460" s="201">
        <f t="shared" si="237"/>
        <v>2.3649357367928001</v>
      </c>
      <c r="AN460" s="202">
        <f t="shared" si="243"/>
        <v>2.2960541133910679</v>
      </c>
      <c r="AO460" s="202">
        <f t="shared" si="243"/>
        <v>2.2291787508651146</v>
      </c>
      <c r="AP460" s="202">
        <f t="shared" si="253"/>
        <v>2.16425121443215</v>
      </c>
      <c r="AQ460" s="202">
        <f t="shared" si="253"/>
        <v>2.1012147712933498</v>
      </c>
      <c r="AR460" s="202">
        <f t="shared" si="253"/>
        <v>2.0400143410615046</v>
      </c>
      <c r="AS460" s="202">
        <f t="shared" si="253"/>
        <v>1.9805964476325288</v>
      </c>
      <c r="AT460" s="202">
        <f t="shared" si="253"/>
        <v>1.9229091724587657</v>
      </c>
      <c r="AU460" s="202">
        <f t="shared" si="253"/>
        <v>1.8669021091832678</v>
      </c>
      <c r="AV460" s="202">
        <f t="shared" si="253"/>
        <v>1.8125263195954056</v>
      </c>
      <c r="AW460" s="202">
        <f t="shared" si="253"/>
        <v>1.7597342908693259</v>
      </c>
      <c r="AX460" s="202">
        <f t="shared" si="253"/>
        <v>1.7084798940478891</v>
      </c>
      <c r="AY460" s="202">
        <f t="shared" si="253"/>
        <v>1.6587183437358151</v>
      </c>
      <c r="AZ460" s="202">
        <f t="shared" si="254"/>
        <v>1.6104061589668108</v>
      </c>
      <c r="BA460" s="202">
        <f t="shared" si="254"/>
        <v>1.5635011252104958</v>
      </c>
      <c r="BB460" s="202">
        <f t="shared" si="254"/>
        <v>1.517962257485918</v>
      </c>
      <c r="BC460" s="202">
        <f t="shared" si="254"/>
        <v>1.4737497645494353</v>
      </c>
      <c r="BD460" s="202">
        <f t="shared" si="254"/>
        <v>1.4308250141256653</v>
      </c>
      <c r="BE460" s="202">
        <f t="shared" si="254"/>
        <v>1.3891504991511314</v>
      </c>
      <c r="BF460" s="202">
        <f t="shared" si="254"/>
        <v>1.3486898050010985</v>
      </c>
      <c r="BG460" s="203">
        <f t="shared" si="238"/>
        <v>36.239800129849542</v>
      </c>
    </row>
    <row r="461" spans="27:59">
      <c r="AA461" s="180">
        <f t="shared" si="239"/>
        <v>1974000000</v>
      </c>
      <c r="AB461" s="41">
        <f t="shared" si="240"/>
        <v>2350</v>
      </c>
      <c r="AC461" s="21">
        <v>94</v>
      </c>
      <c r="AD461" s="21" t="s">
        <v>283</v>
      </c>
      <c r="AE461" s="175">
        <f t="shared" si="246"/>
        <v>30</v>
      </c>
      <c r="AF461" s="183">
        <f t="shared" si="247"/>
        <v>27</v>
      </c>
      <c r="AG461" s="84">
        <f t="shared" si="248"/>
        <v>0.39750000000000002</v>
      </c>
      <c r="AH461" s="244">
        <f t="shared" si="249"/>
        <v>0.159</v>
      </c>
      <c r="AI461" s="76">
        <f t="shared" si="250"/>
        <v>1.5600000000000002E-3</v>
      </c>
      <c r="AJ461" s="181">
        <f t="shared" si="251"/>
        <v>5.5650000000000005E-2</v>
      </c>
      <c r="AK461" s="182">
        <f t="shared" si="252"/>
        <v>2.3077257367928001</v>
      </c>
      <c r="AM461" s="201">
        <f t="shared" si="237"/>
        <v>2.3649357367928001</v>
      </c>
      <c r="AN461" s="202">
        <f t="shared" si="243"/>
        <v>2.2960541133910679</v>
      </c>
      <c r="AO461" s="202">
        <f t="shared" si="243"/>
        <v>2.2291787508651146</v>
      </c>
      <c r="AP461" s="202">
        <f t="shared" si="253"/>
        <v>2.16425121443215</v>
      </c>
      <c r="AQ461" s="202">
        <f t="shared" si="253"/>
        <v>2.1012147712933498</v>
      </c>
      <c r="AR461" s="202">
        <f t="shared" si="253"/>
        <v>2.0400143410615046</v>
      </c>
      <c r="AS461" s="202">
        <f t="shared" si="253"/>
        <v>1.9805964476325288</v>
      </c>
      <c r="AT461" s="202">
        <f t="shared" si="253"/>
        <v>1.9229091724587657</v>
      </c>
      <c r="AU461" s="202">
        <f t="shared" si="253"/>
        <v>1.8669021091832678</v>
      </c>
      <c r="AV461" s="202">
        <f t="shared" si="253"/>
        <v>1.8125263195954056</v>
      </c>
      <c r="AW461" s="202">
        <f t="shared" si="253"/>
        <v>1.7597342908693259</v>
      </c>
      <c r="AX461" s="202">
        <f t="shared" si="253"/>
        <v>1.7084798940478891</v>
      </c>
      <c r="AY461" s="202">
        <f t="shared" si="253"/>
        <v>1.6587183437358151</v>
      </c>
      <c r="AZ461" s="202">
        <f t="shared" si="254"/>
        <v>1.6104061589668108</v>
      </c>
      <c r="BA461" s="202">
        <f t="shared" si="254"/>
        <v>1.5635011252104958</v>
      </c>
      <c r="BB461" s="202">
        <f t="shared" si="254"/>
        <v>1.517962257485918</v>
      </c>
      <c r="BC461" s="202">
        <f t="shared" si="254"/>
        <v>1.4737497645494353</v>
      </c>
      <c r="BD461" s="202">
        <f t="shared" si="254"/>
        <v>1.4308250141256653</v>
      </c>
      <c r="BE461" s="202">
        <f t="shared" si="254"/>
        <v>1.3891504991511314</v>
      </c>
      <c r="BF461" s="202">
        <f t="shared" si="254"/>
        <v>1.3486898050010985</v>
      </c>
      <c r="BG461" s="203">
        <f t="shared" si="238"/>
        <v>36.239800129849542</v>
      </c>
    </row>
    <row r="462" spans="27:59">
      <c r="AA462" s="180">
        <f t="shared" si="239"/>
        <v>1995000000</v>
      </c>
      <c r="AB462" s="41">
        <f t="shared" si="240"/>
        <v>2375</v>
      </c>
      <c r="AC462" s="21">
        <v>95</v>
      </c>
      <c r="AD462" s="21" t="s">
        <v>283</v>
      </c>
      <c r="AE462" s="175">
        <f t="shared" si="246"/>
        <v>30</v>
      </c>
      <c r="AF462" s="183">
        <f t="shared" si="247"/>
        <v>27</v>
      </c>
      <c r="AG462" s="84">
        <f t="shared" si="248"/>
        <v>0.39750000000000002</v>
      </c>
      <c r="AH462" s="244">
        <f t="shared" si="249"/>
        <v>0.159</v>
      </c>
      <c r="AI462" s="76">
        <f t="shared" si="250"/>
        <v>1.5600000000000002E-3</v>
      </c>
      <c r="AJ462" s="181">
        <f t="shared" si="251"/>
        <v>5.5650000000000005E-2</v>
      </c>
      <c r="AK462" s="182">
        <f t="shared" si="252"/>
        <v>2.3077257367928001</v>
      </c>
      <c r="AM462" s="201">
        <f t="shared" si="237"/>
        <v>2.3649357367928001</v>
      </c>
      <c r="AN462" s="202">
        <f t="shared" si="243"/>
        <v>2.2960541133910679</v>
      </c>
      <c r="AO462" s="202">
        <f t="shared" si="243"/>
        <v>2.2291787508651146</v>
      </c>
      <c r="AP462" s="202">
        <f t="shared" si="253"/>
        <v>2.16425121443215</v>
      </c>
      <c r="AQ462" s="202">
        <f t="shared" si="253"/>
        <v>2.1012147712933498</v>
      </c>
      <c r="AR462" s="202">
        <f t="shared" si="253"/>
        <v>2.0400143410615046</v>
      </c>
      <c r="AS462" s="202">
        <f t="shared" si="253"/>
        <v>1.9805964476325288</v>
      </c>
      <c r="AT462" s="202">
        <f t="shared" si="253"/>
        <v>1.9229091724587657</v>
      </c>
      <c r="AU462" s="202">
        <f t="shared" si="253"/>
        <v>1.8669021091832678</v>
      </c>
      <c r="AV462" s="202">
        <f t="shared" si="253"/>
        <v>1.8125263195954056</v>
      </c>
      <c r="AW462" s="202">
        <f t="shared" si="253"/>
        <v>1.7597342908693259</v>
      </c>
      <c r="AX462" s="202">
        <f t="shared" si="253"/>
        <v>1.7084798940478891</v>
      </c>
      <c r="AY462" s="202">
        <f t="shared" si="253"/>
        <v>1.6587183437358151</v>
      </c>
      <c r="AZ462" s="202">
        <f t="shared" si="254"/>
        <v>1.6104061589668108</v>
      </c>
      <c r="BA462" s="202">
        <f t="shared" si="254"/>
        <v>1.5635011252104958</v>
      </c>
      <c r="BB462" s="202">
        <f t="shared" si="254"/>
        <v>1.517962257485918</v>
      </c>
      <c r="BC462" s="202">
        <f t="shared" si="254"/>
        <v>1.4737497645494353</v>
      </c>
      <c r="BD462" s="202">
        <f t="shared" si="254"/>
        <v>1.4308250141256653</v>
      </c>
      <c r="BE462" s="202">
        <f t="shared" si="254"/>
        <v>1.3891504991511314</v>
      </c>
      <c r="BF462" s="202">
        <f t="shared" si="254"/>
        <v>1.3486898050010985</v>
      </c>
      <c r="BG462" s="203">
        <f t="shared" si="238"/>
        <v>36.239800129849542</v>
      </c>
    </row>
    <row r="463" spans="27:59">
      <c r="AA463" s="180">
        <f t="shared" si="239"/>
        <v>2016000000</v>
      </c>
      <c r="AB463" s="41">
        <f t="shared" si="240"/>
        <v>2400</v>
      </c>
      <c r="AC463" s="21">
        <v>96</v>
      </c>
      <c r="AD463" s="21" t="s">
        <v>283</v>
      </c>
      <c r="AE463" s="175">
        <f t="shared" si="246"/>
        <v>30</v>
      </c>
      <c r="AF463" s="183">
        <f t="shared" si="247"/>
        <v>27</v>
      </c>
      <c r="AG463" s="84">
        <f t="shared" si="248"/>
        <v>0.39750000000000002</v>
      </c>
      <c r="AH463" s="244">
        <f t="shared" si="249"/>
        <v>0.159</v>
      </c>
      <c r="AI463" s="76">
        <f t="shared" si="250"/>
        <v>1.5600000000000002E-3</v>
      </c>
      <c r="AJ463" s="181">
        <f t="shared" si="251"/>
        <v>5.5650000000000005E-2</v>
      </c>
      <c r="AK463" s="182">
        <f t="shared" si="252"/>
        <v>2.3077257367928001</v>
      </c>
      <c r="AM463" s="201">
        <f t="shared" si="237"/>
        <v>2.3649357367928001</v>
      </c>
      <c r="AN463" s="202">
        <f t="shared" si="243"/>
        <v>2.2960541133910679</v>
      </c>
      <c r="AO463" s="202">
        <f t="shared" si="243"/>
        <v>2.2291787508651146</v>
      </c>
      <c r="AP463" s="202">
        <f t="shared" si="253"/>
        <v>2.16425121443215</v>
      </c>
      <c r="AQ463" s="202">
        <f t="shared" si="253"/>
        <v>2.1012147712933498</v>
      </c>
      <c r="AR463" s="202">
        <f t="shared" si="253"/>
        <v>2.0400143410615046</v>
      </c>
      <c r="AS463" s="202">
        <f t="shared" si="253"/>
        <v>1.9805964476325288</v>
      </c>
      <c r="AT463" s="202">
        <f t="shared" si="253"/>
        <v>1.9229091724587657</v>
      </c>
      <c r="AU463" s="202">
        <f t="shared" si="253"/>
        <v>1.8669021091832678</v>
      </c>
      <c r="AV463" s="202">
        <f t="shared" si="253"/>
        <v>1.8125263195954056</v>
      </c>
      <c r="AW463" s="202">
        <f t="shared" si="253"/>
        <v>1.7597342908693259</v>
      </c>
      <c r="AX463" s="202">
        <f t="shared" si="253"/>
        <v>1.7084798940478891</v>
      </c>
      <c r="AY463" s="202">
        <f t="shared" si="253"/>
        <v>1.6587183437358151</v>
      </c>
      <c r="AZ463" s="202">
        <f t="shared" si="254"/>
        <v>1.6104061589668108</v>
      </c>
      <c r="BA463" s="202">
        <f t="shared" si="254"/>
        <v>1.5635011252104958</v>
      </c>
      <c r="BB463" s="202">
        <f t="shared" si="254"/>
        <v>1.517962257485918</v>
      </c>
      <c r="BC463" s="202">
        <f t="shared" si="254"/>
        <v>1.4737497645494353</v>
      </c>
      <c r="BD463" s="202">
        <f t="shared" si="254"/>
        <v>1.4308250141256653</v>
      </c>
      <c r="BE463" s="202">
        <f t="shared" si="254"/>
        <v>1.3891504991511314</v>
      </c>
      <c r="BF463" s="202">
        <f t="shared" si="254"/>
        <v>1.3486898050010985</v>
      </c>
      <c r="BG463" s="203">
        <f t="shared" si="238"/>
        <v>36.239800129849542</v>
      </c>
    </row>
    <row r="464" spans="27:59">
      <c r="AA464" s="180">
        <f t="shared" si="239"/>
        <v>2037000000</v>
      </c>
      <c r="AB464" s="41">
        <f t="shared" si="240"/>
        <v>2425</v>
      </c>
      <c r="AC464" s="21">
        <v>97</v>
      </c>
      <c r="AD464" s="21" t="s">
        <v>283</v>
      </c>
      <c r="AE464" s="175">
        <f t="shared" si="246"/>
        <v>30</v>
      </c>
      <c r="AF464" s="183">
        <f t="shared" si="247"/>
        <v>27</v>
      </c>
      <c r="AG464" s="84">
        <f t="shared" si="248"/>
        <v>0.39750000000000002</v>
      </c>
      <c r="AH464" s="244">
        <f t="shared" si="249"/>
        <v>0.159</v>
      </c>
      <c r="AI464" s="76">
        <f t="shared" si="250"/>
        <v>1.5600000000000002E-3</v>
      </c>
      <c r="AJ464" s="181">
        <f t="shared" si="251"/>
        <v>5.5650000000000005E-2</v>
      </c>
      <c r="AK464" s="182">
        <f t="shared" si="252"/>
        <v>2.3077257367928001</v>
      </c>
      <c r="AM464" s="201">
        <f t="shared" si="237"/>
        <v>2.3649357367928001</v>
      </c>
      <c r="AN464" s="202">
        <f t="shared" si="243"/>
        <v>2.2960541133910679</v>
      </c>
      <c r="AO464" s="202">
        <f t="shared" si="243"/>
        <v>2.2291787508651146</v>
      </c>
      <c r="AP464" s="202">
        <f t="shared" si="253"/>
        <v>2.16425121443215</v>
      </c>
      <c r="AQ464" s="202">
        <f t="shared" si="253"/>
        <v>2.1012147712933498</v>
      </c>
      <c r="AR464" s="202">
        <f t="shared" si="253"/>
        <v>2.0400143410615046</v>
      </c>
      <c r="AS464" s="202">
        <f t="shared" si="253"/>
        <v>1.9805964476325288</v>
      </c>
      <c r="AT464" s="202">
        <f t="shared" si="253"/>
        <v>1.9229091724587657</v>
      </c>
      <c r="AU464" s="202">
        <f t="shared" si="253"/>
        <v>1.8669021091832678</v>
      </c>
      <c r="AV464" s="202">
        <f t="shared" si="253"/>
        <v>1.8125263195954056</v>
      </c>
      <c r="AW464" s="202">
        <f t="shared" si="253"/>
        <v>1.7597342908693259</v>
      </c>
      <c r="AX464" s="202">
        <f t="shared" si="253"/>
        <v>1.7084798940478891</v>
      </c>
      <c r="AY464" s="202">
        <f t="shared" si="253"/>
        <v>1.6587183437358151</v>
      </c>
      <c r="AZ464" s="202">
        <f t="shared" si="254"/>
        <v>1.6104061589668108</v>
      </c>
      <c r="BA464" s="202">
        <f t="shared" si="254"/>
        <v>1.5635011252104958</v>
      </c>
      <c r="BB464" s="202">
        <f t="shared" si="254"/>
        <v>1.517962257485918</v>
      </c>
      <c r="BC464" s="202">
        <f t="shared" si="254"/>
        <v>1.4737497645494353</v>
      </c>
      <c r="BD464" s="202">
        <f t="shared" si="254"/>
        <v>1.4308250141256653</v>
      </c>
      <c r="BE464" s="202">
        <f t="shared" si="254"/>
        <v>1.3891504991511314</v>
      </c>
      <c r="BF464" s="202">
        <f t="shared" si="254"/>
        <v>1.3486898050010985</v>
      </c>
      <c r="BG464" s="203">
        <f t="shared" si="238"/>
        <v>36.239800129849542</v>
      </c>
    </row>
    <row r="465" spans="27:59">
      <c r="AA465" s="180">
        <f t="shared" si="239"/>
        <v>2058000000</v>
      </c>
      <c r="AB465" s="41">
        <f t="shared" si="240"/>
        <v>2450</v>
      </c>
      <c r="AC465" s="21">
        <v>98</v>
      </c>
      <c r="AD465" s="21" t="s">
        <v>283</v>
      </c>
      <c r="AE465" s="175">
        <f t="shared" si="246"/>
        <v>30</v>
      </c>
      <c r="AF465" s="183">
        <f t="shared" si="247"/>
        <v>27</v>
      </c>
      <c r="AG465" s="84">
        <f t="shared" si="248"/>
        <v>0.39750000000000002</v>
      </c>
      <c r="AH465" s="244">
        <f t="shared" si="249"/>
        <v>0.159</v>
      </c>
      <c r="AI465" s="76">
        <f t="shared" si="250"/>
        <v>1.5600000000000002E-3</v>
      </c>
      <c r="AJ465" s="181">
        <f t="shared" si="251"/>
        <v>5.5650000000000005E-2</v>
      </c>
      <c r="AK465" s="182">
        <f t="shared" si="252"/>
        <v>2.3077257367928001</v>
      </c>
      <c r="AM465" s="201">
        <f t="shared" si="237"/>
        <v>2.3649357367928001</v>
      </c>
      <c r="AN465" s="202">
        <f t="shared" si="243"/>
        <v>2.2960541133910679</v>
      </c>
      <c r="AO465" s="202">
        <f t="shared" si="243"/>
        <v>2.2291787508651146</v>
      </c>
      <c r="AP465" s="202">
        <f t="shared" si="253"/>
        <v>2.16425121443215</v>
      </c>
      <c r="AQ465" s="202">
        <f t="shared" si="253"/>
        <v>2.1012147712933498</v>
      </c>
      <c r="AR465" s="202">
        <f t="shared" si="253"/>
        <v>2.0400143410615046</v>
      </c>
      <c r="AS465" s="202">
        <f t="shared" si="253"/>
        <v>1.9805964476325288</v>
      </c>
      <c r="AT465" s="202">
        <f t="shared" si="253"/>
        <v>1.9229091724587657</v>
      </c>
      <c r="AU465" s="202">
        <f t="shared" si="253"/>
        <v>1.8669021091832678</v>
      </c>
      <c r="AV465" s="202">
        <f t="shared" si="253"/>
        <v>1.8125263195954056</v>
      </c>
      <c r="AW465" s="202">
        <f t="shared" si="253"/>
        <v>1.7597342908693259</v>
      </c>
      <c r="AX465" s="202">
        <f t="shared" si="253"/>
        <v>1.7084798940478891</v>
      </c>
      <c r="AY465" s="202">
        <f t="shared" si="253"/>
        <v>1.6587183437358151</v>
      </c>
      <c r="AZ465" s="202">
        <f t="shared" si="254"/>
        <v>1.6104061589668108</v>
      </c>
      <c r="BA465" s="202">
        <f t="shared" si="254"/>
        <v>1.5635011252104958</v>
      </c>
      <c r="BB465" s="202">
        <f t="shared" si="254"/>
        <v>1.517962257485918</v>
      </c>
      <c r="BC465" s="202">
        <f t="shared" si="254"/>
        <v>1.4737497645494353</v>
      </c>
      <c r="BD465" s="202">
        <f t="shared" si="254"/>
        <v>1.4308250141256653</v>
      </c>
      <c r="BE465" s="202">
        <f t="shared" si="254"/>
        <v>1.3891504991511314</v>
      </c>
      <c r="BF465" s="202">
        <f t="shared" si="254"/>
        <v>1.3486898050010985</v>
      </c>
      <c r="BG465" s="203">
        <f t="shared" si="238"/>
        <v>36.239800129849542</v>
      </c>
    </row>
    <row r="466" spans="27:59">
      <c r="AA466" s="180">
        <f t="shared" si="239"/>
        <v>2079000000</v>
      </c>
      <c r="AB466" s="41">
        <f t="shared" si="240"/>
        <v>2475</v>
      </c>
      <c r="AC466" s="21">
        <v>99</v>
      </c>
      <c r="AD466" s="21" t="s">
        <v>283</v>
      </c>
      <c r="AE466" s="175">
        <f t="shared" si="246"/>
        <v>30</v>
      </c>
      <c r="AF466" s="183">
        <f t="shared" si="247"/>
        <v>27</v>
      </c>
      <c r="AG466" s="84">
        <f t="shared" si="248"/>
        <v>0.39750000000000002</v>
      </c>
      <c r="AH466" s="244">
        <f t="shared" si="249"/>
        <v>0.159</v>
      </c>
      <c r="AI466" s="76">
        <f t="shared" si="250"/>
        <v>1.5600000000000002E-3</v>
      </c>
      <c r="AJ466" s="181">
        <f t="shared" si="251"/>
        <v>5.5650000000000005E-2</v>
      </c>
      <c r="AK466" s="182">
        <f t="shared" si="252"/>
        <v>2.3077257367928001</v>
      </c>
      <c r="AM466" s="201">
        <f t="shared" si="237"/>
        <v>2.3649357367928001</v>
      </c>
      <c r="AN466" s="202">
        <f t="shared" si="243"/>
        <v>2.2960541133910679</v>
      </c>
      <c r="AO466" s="202">
        <f t="shared" si="243"/>
        <v>2.2291787508651146</v>
      </c>
      <c r="AP466" s="202">
        <f t="shared" si="253"/>
        <v>2.16425121443215</v>
      </c>
      <c r="AQ466" s="202">
        <f t="shared" si="253"/>
        <v>2.1012147712933498</v>
      </c>
      <c r="AR466" s="202">
        <f t="shared" si="253"/>
        <v>2.0400143410615046</v>
      </c>
      <c r="AS466" s="202">
        <f t="shared" si="253"/>
        <v>1.9805964476325288</v>
      </c>
      <c r="AT466" s="202">
        <f t="shared" si="253"/>
        <v>1.9229091724587657</v>
      </c>
      <c r="AU466" s="202">
        <f t="shared" si="253"/>
        <v>1.8669021091832678</v>
      </c>
      <c r="AV466" s="202">
        <f t="shared" si="253"/>
        <v>1.8125263195954056</v>
      </c>
      <c r="AW466" s="202">
        <f t="shared" si="253"/>
        <v>1.7597342908693259</v>
      </c>
      <c r="AX466" s="202">
        <f t="shared" si="253"/>
        <v>1.7084798940478891</v>
      </c>
      <c r="AY466" s="202">
        <f t="shared" si="253"/>
        <v>1.6587183437358151</v>
      </c>
      <c r="AZ466" s="202">
        <f t="shared" si="254"/>
        <v>1.6104061589668108</v>
      </c>
      <c r="BA466" s="202">
        <f t="shared" si="254"/>
        <v>1.5635011252104958</v>
      </c>
      <c r="BB466" s="202">
        <f t="shared" si="254"/>
        <v>1.517962257485918</v>
      </c>
      <c r="BC466" s="202">
        <f t="shared" si="254"/>
        <v>1.4737497645494353</v>
      </c>
      <c r="BD466" s="202">
        <f t="shared" si="254"/>
        <v>1.4308250141256653</v>
      </c>
      <c r="BE466" s="202">
        <f t="shared" si="254"/>
        <v>1.3891504991511314</v>
      </c>
      <c r="BF466" s="202">
        <f t="shared" si="254"/>
        <v>1.3486898050010985</v>
      </c>
      <c r="BG466" s="203">
        <f t="shared" si="238"/>
        <v>36.239800129849542</v>
      </c>
    </row>
    <row r="467" spans="27:59">
      <c r="AA467" s="180">
        <f t="shared" si="239"/>
        <v>2100000000</v>
      </c>
      <c r="AB467" s="41">
        <f t="shared" si="240"/>
        <v>2500</v>
      </c>
      <c r="AC467" s="21">
        <v>100</v>
      </c>
      <c r="AD467" s="21" t="s">
        <v>283</v>
      </c>
      <c r="AE467" s="175">
        <f t="shared" si="246"/>
        <v>30</v>
      </c>
      <c r="AF467" s="183">
        <f t="shared" si="247"/>
        <v>27</v>
      </c>
      <c r="AG467" s="84">
        <f t="shared" si="248"/>
        <v>0.39750000000000002</v>
      </c>
      <c r="AH467" s="244">
        <f t="shared" si="249"/>
        <v>0.159</v>
      </c>
      <c r="AI467" s="76">
        <f t="shared" si="250"/>
        <v>1.5600000000000002E-3</v>
      </c>
      <c r="AJ467" s="181">
        <f t="shared" si="251"/>
        <v>5.5650000000000005E-2</v>
      </c>
      <c r="AK467" s="182">
        <f t="shared" si="252"/>
        <v>2.3077257367928001</v>
      </c>
      <c r="AM467" s="201">
        <f t="shared" si="237"/>
        <v>2.3649357367928001</v>
      </c>
      <c r="AN467" s="202">
        <f t="shared" ref="AN467:AO486" si="255">$AM467/POWER(1+($B$10/100),AN$366-2024)</f>
        <v>2.2960541133910679</v>
      </c>
      <c r="AO467" s="202">
        <f t="shared" si="255"/>
        <v>2.2291787508651146</v>
      </c>
      <c r="AP467" s="202">
        <f t="shared" si="253"/>
        <v>2.16425121443215</v>
      </c>
      <c r="AQ467" s="202">
        <f t="shared" si="253"/>
        <v>2.1012147712933498</v>
      </c>
      <c r="AR467" s="202">
        <f t="shared" si="253"/>
        <v>2.0400143410615046</v>
      </c>
      <c r="AS467" s="202">
        <f t="shared" si="253"/>
        <v>1.9805964476325288</v>
      </c>
      <c r="AT467" s="202">
        <f t="shared" si="253"/>
        <v>1.9229091724587657</v>
      </c>
      <c r="AU467" s="202">
        <f t="shared" si="253"/>
        <v>1.8669021091832678</v>
      </c>
      <c r="AV467" s="202">
        <f t="shared" si="253"/>
        <v>1.8125263195954056</v>
      </c>
      <c r="AW467" s="202">
        <f t="shared" si="253"/>
        <v>1.7597342908693259</v>
      </c>
      <c r="AX467" s="202">
        <f t="shared" si="253"/>
        <v>1.7084798940478891</v>
      </c>
      <c r="AY467" s="202">
        <f t="shared" si="253"/>
        <v>1.6587183437358151</v>
      </c>
      <c r="AZ467" s="202">
        <f t="shared" si="254"/>
        <v>1.6104061589668108</v>
      </c>
      <c r="BA467" s="202">
        <f t="shared" si="254"/>
        <v>1.5635011252104958</v>
      </c>
      <c r="BB467" s="202">
        <f t="shared" si="254"/>
        <v>1.517962257485918</v>
      </c>
      <c r="BC467" s="202">
        <f t="shared" si="254"/>
        <v>1.4737497645494353</v>
      </c>
      <c r="BD467" s="202">
        <f t="shared" si="254"/>
        <v>1.4308250141256653</v>
      </c>
      <c r="BE467" s="202">
        <f t="shared" si="254"/>
        <v>1.3891504991511314</v>
      </c>
      <c r="BF467" s="202">
        <f t="shared" si="254"/>
        <v>1.3486898050010985</v>
      </c>
      <c r="BG467" s="203">
        <f t="shared" si="238"/>
        <v>36.239800129849542</v>
      </c>
    </row>
    <row r="468" spans="27:59">
      <c r="AA468" s="180">
        <f t="shared" si="239"/>
        <v>2121000000</v>
      </c>
      <c r="AB468" s="41">
        <f t="shared" si="240"/>
        <v>2525</v>
      </c>
      <c r="AC468" s="21">
        <v>101</v>
      </c>
      <c r="AD468" s="21" t="s">
        <v>283</v>
      </c>
      <c r="AE468" s="175">
        <f t="shared" si="246"/>
        <v>30</v>
      </c>
      <c r="AF468" s="183">
        <f t="shared" si="247"/>
        <v>27</v>
      </c>
      <c r="AG468" s="84">
        <f t="shared" si="248"/>
        <v>0.39750000000000002</v>
      </c>
      <c r="AH468" s="244">
        <f t="shared" si="249"/>
        <v>0.159</v>
      </c>
      <c r="AI468" s="76">
        <f t="shared" si="250"/>
        <v>1.5600000000000002E-3</v>
      </c>
      <c r="AJ468" s="181">
        <f t="shared" si="251"/>
        <v>5.5650000000000005E-2</v>
      </c>
      <c r="AK468" s="182">
        <f t="shared" si="252"/>
        <v>2.3077257367928001</v>
      </c>
      <c r="AM468" s="201">
        <f t="shared" si="237"/>
        <v>2.3649357367928001</v>
      </c>
      <c r="AN468" s="202">
        <f t="shared" si="255"/>
        <v>2.2960541133910679</v>
      </c>
      <c r="AO468" s="202">
        <f t="shared" si="255"/>
        <v>2.2291787508651146</v>
      </c>
      <c r="AP468" s="202">
        <f t="shared" ref="AP468:AY477" si="256">$AM468/POWER(1+($B$10/100),AP$366-2024)</f>
        <v>2.16425121443215</v>
      </c>
      <c r="AQ468" s="202">
        <f t="shared" si="256"/>
        <v>2.1012147712933498</v>
      </c>
      <c r="AR468" s="202">
        <f t="shared" si="256"/>
        <v>2.0400143410615046</v>
      </c>
      <c r="AS468" s="202">
        <f t="shared" si="256"/>
        <v>1.9805964476325288</v>
      </c>
      <c r="AT468" s="202">
        <f t="shared" si="256"/>
        <v>1.9229091724587657</v>
      </c>
      <c r="AU468" s="202">
        <f t="shared" si="256"/>
        <v>1.8669021091832678</v>
      </c>
      <c r="AV468" s="202">
        <f t="shared" si="256"/>
        <v>1.8125263195954056</v>
      </c>
      <c r="AW468" s="202">
        <f t="shared" si="256"/>
        <v>1.7597342908693259</v>
      </c>
      <c r="AX468" s="202">
        <f t="shared" si="256"/>
        <v>1.7084798940478891</v>
      </c>
      <c r="AY468" s="202">
        <f t="shared" si="256"/>
        <v>1.6587183437358151</v>
      </c>
      <c r="AZ468" s="202">
        <f t="shared" ref="AZ468:BF477" si="257">$AM468/POWER(1+($B$10/100),AZ$366-2024)</f>
        <v>1.6104061589668108</v>
      </c>
      <c r="BA468" s="202">
        <f t="shared" si="257"/>
        <v>1.5635011252104958</v>
      </c>
      <c r="BB468" s="202">
        <f t="shared" si="257"/>
        <v>1.517962257485918</v>
      </c>
      <c r="BC468" s="202">
        <f t="shared" si="257"/>
        <v>1.4737497645494353</v>
      </c>
      <c r="BD468" s="202">
        <f t="shared" si="257"/>
        <v>1.4308250141256653</v>
      </c>
      <c r="BE468" s="202">
        <f t="shared" si="257"/>
        <v>1.3891504991511314</v>
      </c>
      <c r="BF468" s="202">
        <f t="shared" si="257"/>
        <v>1.3486898050010985</v>
      </c>
      <c r="BG468" s="203">
        <f t="shared" si="238"/>
        <v>36.239800129849542</v>
      </c>
    </row>
    <row r="469" spans="27:59">
      <c r="AA469" s="180">
        <f t="shared" si="239"/>
        <v>2142000000</v>
      </c>
      <c r="AB469" s="41">
        <f t="shared" si="240"/>
        <v>2550</v>
      </c>
      <c r="AC469" s="21">
        <v>102</v>
      </c>
      <c r="AD469" s="21" t="s">
        <v>283</v>
      </c>
      <c r="AE469" s="175">
        <f t="shared" si="246"/>
        <v>30</v>
      </c>
      <c r="AF469" s="183">
        <f t="shared" si="247"/>
        <v>27</v>
      </c>
      <c r="AG469" s="84">
        <f t="shared" si="248"/>
        <v>0.39750000000000002</v>
      </c>
      <c r="AH469" s="244">
        <f t="shared" si="249"/>
        <v>0.159</v>
      </c>
      <c r="AI469" s="76">
        <f t="shared" si="250"/>
        <v>1.5600000000000002E-3</v>
      </c>
      <c r="AJ469" s="181">
        <f t="shared" si="251"/>
        <v>5.5650000000000005E-2</v>
      </c>
      <c r="AK469" s="182">
        <f t="shared" si="252"/>
        <v>2.3077257367928001</v>
      </c>
      <c r="AM469" s="201">
        <f t="shared" si="237"/>
        <v>2.3649357367928001</v>
      </c>
      <c r="AN469" s="202">
        <f t="shared" si="255"/>
        <v>2.2960541133910679</v>
      </c>
      <c r="AO469" s="202">
        <f t="shared" si="255"/>
        <v>2.2291787508651146</v>
      </c>
      <c r="AP469" s="202">
        <f t="shared" si="256"/>
        <v>2.16425121443215</v>
      </c>
      <c r="AQ469" s="202">
        <f t="shared" si="256"/>
        <v>2.1012147712933498</v>
      </c>
      <c r="AR469" s="202">
        <f t="shared" si="256"/>
        <v>2.0400143410615046</v>
      </c>
      <c r="AS469" s="202">
        <f t="shared" si="256"/>
        <v>1.9805964476325288</v>
      </c>
      <c r="AT469" s="202">
        <f t="shared" si="256"/>
        <v>1.9229091724587657</v>
      </c>
      <c r="AU469" s="202">
        <f t="shared" si="256"/>
        <v>1.8669021091832678</v>
      </c>
      <c r="AV469" s="202">
        <f t="shared" si="256"/>
        <v>1.8125263195954056</v>
      </c>
      <c r="AW469" s="202">
        <f t="shared" si="256"/>
        <v>1.7597342908693259</v>
      </c>
      <c r="AX469" s="202">
        <f t="shared" si="256"/>
        <v>1.7084798940478891</v>
      </c>
      <c r="AY469" s="202">
        <f t="shared" si="256"/>
        <v>1.6587183437358151</v>
      </c>
      <c r="AZ469" s="202">
        <f t="shared" si="257"/>
        <v>1.6104061589668108</v>
      </c>
      <c r="BA469" s="202">
        <f t="shared" si="257"/>
        <v>1.5635011252104958</v>
      </c>
      <c r="BB469" s="202">
        <f t="shared" si="257"/>
        <v>1.517962257485918</v>
      </c>
      <c r="BC469" s="202">
        <f t="shared" si="257"/>
        <v>1.4737497645494353</v>
      </c>
      <c r="BD469" s="202">
        <f t="shared" si="257"/>
        <v>1.4308250141256653</v>
      </c>
      <c r="BE469" s="202">
        <f t="shared" si="257"/>
        <v>1.3891504991511314</v>
      </c>
      <c r="BF469" s="202">
        <f t="shared" si="257"/>
        <v>1.3486898050010985</v>
      </c>
      <c r="BG469" s="203">
        <f t="shared" si="238"/>
        <v>36.239800129849542</v>
      </c>
    </row>
    <row r="470" spans="27:59">
      <c r="AA470" s="180">
        <f t="shared" si="239"/>
        <v>2163000000</v>
      </c>
      <c r="AB470" s="41">
        <f t="shared" si="240"/>
        <v>2575</v>
      </c>
      <c r="AC470" s="21">
        <v>103</v>
      </c>
      <c r="AD470" s="21" t="s">
        <v>283</v>
      </c>
      <c r="AE470" s="175">
        <f t="shared" si="246"/>
        <v>30</v>
      </c>
      <c r="AF470" s="183">
        <f t="shared" si="247"/>
        <v>27</v>
      </c>
      <c r="AG470" s="84">
        <f t="shared" si="248"/>
        <v>0.39750000000000002</v>
      </c>
      <c r="AH470" s="244">
        <f t="shared" si="249"/>
        <v>0.159</v>
      </c>
      <c r="AI470" s="76">
        <f t="shared" si="250"/>
        <v>1.5600000000000002E-3</v>
      </c>
      <c r="AJ470" s="181">
        <f t="shared" si="251"/>
        <v>5.5650000000000005E-2</v>
      </c>
      <c r="AK470" s="182">
        <f t="shared" si="252"/>
        <v>2.3077257367928001</v>
      </c>
      <c r="AM470" s="201">
        <f t="shared" si="237"/>
        <v>2.3649357367928001</v>
      </c>
      <c r="AN470" s="202">
        <f t="shared" si="255"/>
        <v>2.2960541133910679</v>
      </c>
      <c r="AO470" s="202">
        <f t="shared" si="255"/>
        <v>2.2291787508651146</v>
      </c>
      <c r="AP470" s="202">
        <f t="shared" si="256"/>
        <v>2.16425121443215</v>
      </c>
      <c r="AQ470" s="202">
        <f t="shared" si="256"/>
        <v>2.1012147712933498</v>
      </c>
      <c r="AR470" s="202">
        <f t="shared" si="256"/>
        <v>2.0400143410615046</v>
      </c>
      <c r="AS470" s="202">
        <f t="shared" si="256"/>
        <v>1.9805964476325288</v>
      </c>
      <c r="AT470" s="202">
        <f t="shared" si="256"/>
        <v>1.9229091724587657</v>
      </c>
      <c r="AU470" s="202">
        <f t="shared" si="256"/>
        <v>1.8669021091832678</v>
      </c>
      <c r="AV470" s="202">
        <f t="shared" si="256"/>
        <v>1.8125263195954056</v>
      </c>
      <c r="AW470" s="202">
        <f t="shared" si="256"/>
        <v>1.7597342908693259</v>
      </c>
      <c r="AX470" s="202">
        <f t="shared" si="256"/>
        <v>1.7084798940478891</v>
      </c>
      <c r="AY470" s="202">
        <f t="shared" si="256"/>
        <v>1.6587183437358151</v>
      </c>
      <c r="AZ470" s="202">
        <f t="shared" si="257"/>
        <v>1.6104061589668108</v>
      </c>
      <c r="BA470" s="202">
        <f t="shared" si="257"/>
        <v>1.5635011252104958</v>
      </c>
      <c r="BB470" s="202">
        <f t="shared" si="257"/>
        <v>1.517962257485918</v>
      </c>
      <c r="BC470" s="202">
        <f t="shared" si="257"/>
        <v>1.4737497645494353</v>
      </c>
      <c r="BD470" s="202">
        <f t="shared" si="257"/>
        <v>1.4308250141256653</v>
      </c>
      <c r="BE470" s="202">
        <f t="shared" si="257"/>
        <v>1.3891504991511314</v>
      </c>
      <c r="BF470" s="202">
        <f t="shared" si="257"/>
        <v>1.3486898050010985</v>
      </c>
      <c r="BG470" s="203">
        <f t="shared" si="238"/>
        <v>36.239800129849542</v>
      </c>
    </row>
    <row r="471" spans="27:59">
      <c r="AA471" s="180">
        <f t="shared" si="239"/>
        <v>2184000000</v>
      </c>
      <c r="AB471" s="41">
        <f t="shared" si="240"/>
        <v>2600</v>
      </c>
      <c r="AC471" s="21">
        <v>104</v>
      </c>
      <c r="AD471" s="21" t="s">
        <v>283</v>
      </c>
      <c r="AE471" s="175">
        <f t="shared" si="246"/>
        <v>30</v>
      </c>
      <c r="AF471" s="183">
        <f t="shared" si="247"/>
        <v>27</v>
      </c>
      <c r="AG471" s="84">
        <f t="shared" si="248"/>
        <v>0.39750000000000002</v>
      </c>
      <c r="AH471" s="244">
        <f t="shared" si="249"/>
        <v>0.159</v>
      </c>
      <c r="AI471" s="76">
        <f t="shared" si="250"/>
        <v>1.5600000000000002E-3</v>
      </c>
      <c r="AJ471" s="181">
        <f t="shared" si="251"/>
        <v>5.5650000000000005E-2</v>
      </c>
      <c r="AK471" s="182">
        <f t="shared" si="252"/>
        <v>2.3077257367928001</v>
      </c>
      <c r="AM471" s="201">
        <f t="shared" si="237"/>
        <v>2.3649357367928001</v>
      </c>
      <c r="AN471" s="202">
        <f t="shared" si="255"/>
        <v>2.2960541133910679</v>
      </c>
      <c r="AO471" s="202">
        <f t="shared" si="255"/>
        <v>2.2291787508651146</v>
      </c>
      <c r="AP471" s="202">
        <f t="shared" si="256"/>
        <v>2.16425121443215</v>
      </c>
      <c r="AQ471" s="202">
        <f t="shared" si="256"/>
        <v>2.1012147712933498</v>
      </c>
      <c r="AR471" s="202">
        <f t="shared" si="256"/>
        <v>2.0400143410615046</v>
      </c>
      <c r="AS471" s="202">
        <f t="shared" si="256"/>
        <v>1.9805964476325288</v>
      </c>
      <c r="AT471" s="202">
        <f t="shared" si="256"/>
        <v>1.9229091724587657</v>
      </c>
      <c r="AU471" s="202">
        <f t="shared" si="256"/>
        <v>1.8669021091832678</v>
      </c>
      <c r="AV471" s="202">
        <f t="shared" si="256"/>
        <v>1.8125263195954056</v>
      </c>
      <c r="AW471" s="202">
        <f t="shared" si="256"/>
        <v>1.7597342908693259</v>
      </c>
      <c r="AX471" s="202">
        <f t="shared" si="256"/>
        <v>1.7084798940478891</v>
      </c>
      <c r="AY471" s="202">
        <f t="shared" si="256"/>
        <v>1.6587183437358151</v>
      </c>
      <c r="AZ471" s="202">
        <f t="shared" si="257"/>
        <v>1.6104061589668108</v>
      </c>
      <c r="BA471" s="202">
        <f t="shared" si="257"/>
        <v>1.5635011252104958</v>
      </c>
      <c r="BB471" s="202">
        <f t="shared" si="257"/>
        <v>1.517962257485918</v>
      </c>
      <c r="BC471" s="202">
        <f t="shared" si="257"/>
        <v>1.4737497645494353</v>
      </c>
      <c r="BD471" s="202">
        <f t="shared" si="257"/>
        <v>1.4308250141256653</v>
      </c>
      <c r="BE471" s="202">
        <f t="shared" si="257"/>
        <v>1.3891504991511314</v>
      </c>
      <c r="BF471" s="202">
        <f t="shared" si="257"/>
        <v>1.3486898050010985</v>
      </c>
      <c r="BG471" s="203">
        <f t="shared" si="238"/>
        <v>36.239800129849542</v>
      </c>
    </row>
    <row r="472" spans="27:59">
      <c r="AA472" s="180">
        <f t="shared" si="239"/>
        <v>2205000000</v>
      </c>
      <c r="AB472" s="41">
        <f t="shared" si="240"/>
        <v>2625</v>
      </c>
      <c r="AC472" s="21">
        <v>105</v>
      </c>
      <c r="AD472" s="21" t="s">
        <v>283</v>
      </c>
      <c r="AE472" s="175">
        <f t="shared" si="246"/>
        <v>30</v>
      </c>
      <c r="AF472" s="183">
        <f t="shared" si="247"/>
        <v>27</v>
      </c>
      <c r="AG472" s="84">
        <f t="shared" si="248"/>
        <v>0.39750000000000002</v>
      </c>
      <c r="AH472" s="244">
        <f t="shared" si="249"/>
        <v>0.159</v>
      </c>
      <c r="AI472" s="76">
        <f t="shared" si="250"/>
        <v>1.5600000000000002E-3</v>
      </c>
      <c r="AJ472" s="181">
        <f t="shared" si="251"/>
        <v>5.5650000000000005E-2</v>
      </c>
      <c r="AK472" s="182">
        <f t="shared" si="252"/>
        <v>2.3077257367928001</v>
      </c>
      <c r="AM472" s="201">
        <f t="shared" si="237"/>
        <v>2.3649357367928001</v>
      </c>
      <c r="AN472" s="202">
        <f t="shared" si="255"/>
        <v>2.2960541133910679</v>
      </c>
      <c r="AO472" s="202">
        <f t="shared" si="255"/>
        <v>2.2291787508651146</v>
      </c>
      <c r="AP472" s="202">
        <f t="shared" si="256"/>
        <v>2.16425121443215</v>
      </c>
      <c r="AQ472" s="202">
        <f t="shared" si="256"/>
        <v>2.1012147712933498</v>
      </c>
      <c r="AR472" s="202">
        <f t="shared" si="256"/>
        <v>2.0400143410615046</v>
      </c>
      <c r="AS472" s="202">
        <f t="shared" si="256"/>
        <v>1.9805964476325288</v>
      </c>
      <c r="AT472" s="202">
        <f t="shared" si="256"/>
        <v>1.9229091724587657</v>
      </c>
      <c r="AU472" s="202">
        <f t="shared" si="256"/>
        <v>1.8669021091832678</v>
      </c>
      <c r="AV472" s="202">
        <f t="shared" si="256"/>
        <v>1.8125263195954056</v>
      </c>
      <c r="AW472" s="202">
        <f t="shared" si="256"/>
        <v>1.7597342908693259</v>
      </c>
      <c r="AX472" s="202">
        <f t="shared" si="256"/>
        <v>1.7084798940478891</v>
      </c>
      <c r="AY472" s="202">
        <f t="shared" si="256"/>
        <v>1.6587183437358151</v>
      </c>
      <c r="AZ472" s="202">
        <f t="shared" si="257"/>
        <v>1.6104061589668108</v>
      </c>
      <c r="BA472" s="202">
        <f t="shared" si="257"/>
        <v>1.5635011252104958</v>
      </c>
      <c r="BB472" s="202">
        <f t="shared" si="257"/>
        <v>1.517962257485918</v>
      </c>
      <c r="BC472" s="202">
        <f t="shared" si="257"/>
        <v>1.4737497645494353</v>
      </c>
      <c r="BD472" s="202">
        <f t="shared" si="257"/>
        <v>1.4308250141256653</v>
      </c>
      <c r="BE472" s="202">
        <f t="shared" si="257"/>
        <v>1.3891504991511314</v>
      </c>
      <c r="BF472" s="202">
        <f t="shared" si="257"/>
        <v>1.3486898050010985</v>
      </c>
      <c r="BG472" s="203">
        <f t="shared" si="238"/>
        <v>36.239800129849542</v>
      </c>
    </row>
    <row r="473" spans="27:59">
      <c r="AA473" s="180">
        <f t="shared" si="239"/>
        <v>2226000000</v>
      </c>
      <c r="AB473" s="41">
        <f t="shared" si="240"/>
        <v>2650</v>
      </c>
      <c r="AC473" s="21">
        <v>106</v>
      </c>
      <c r="AD473" s="21" t="s">
        <v>283</v>
      </c>
      <c r="AE473" s="175">
        <f t="shared" si="246"/>
        <v>30</v>
      </c>
      <c r="AF473" s="183">
        <f t="shared" si="247"/>
        <v>27</v>
      </c>
      <c r="AG473" s="84">
        <f t="shared" si="248"/>
        <v>0.39750000000000002</v>
      </c>
      <c r="AH473" s="244">
        <f t="shared" si="249"/>
        <v>0.159</v>
      </c>
      <c r="AI473" s="76">
        <f t="shared" si="250"/>
        <v>1.5600000000000002E-3</v>
      </c>
      <c r="AJ473" s="181">
        <f t="shared" si="251"/>
        <v>5.5650000000000005E-2</v>
      </c>
      <c r="AK473" s="182">
        <f t="shared" si="252"/>
        <v>2.3077257367928001</v>
      </c>
      <c r="AM473" s="201">
        <f t="shared" si="237"/>
        <v>2.3649357367928001</v>
      </c>
      <c r="AN473" s="202">
        <f t="shared" si="255"/>
        <v>2.2960541133910679</v>
      </c>
      <c r="AO473" s="202">
        <f t="shared" si="255"/>
        <v>2.2291787508651146</v>
      </c>
      <c r="AP473" s="202">
        <f t="shared" si="256"/>
        <v>2.16425121443215</v>
      </c>
      <c r="AQ473" s="202">
        <f t="shared" si="256"/>
        <v>2.1012147712933498</v>
      </c>
      <c r="AR473" s="202">
        <f t="shared" si="256"/>
        <v>2.0400143410615046</v>
      </c>
      <c r="AS473" s="202">
        <f t="shared" si="256"/>
        <v>1.9805964476325288</v>
      </c>
      <c r="AT473" s="202">
        <f t="shared" si="256"/>
        <v>1.9229091724587657</v>
      </c>
      <c r="AU473" s="202">
        <f t="shared" si="256"/>
        <v>1.8669021091832678</v>
      </c>
      <c r="AV473" s="202">
        <f t="shared" si="256"/>
        <v>1.8125263195954056</v>
      </c>
      <c r="AW473" s="202">
        <f t="shared" si="256"/>
        <v>1.7597342908693259</v>
      </c>
      <c r="AX473" s="202">
        <f t="shared" si="256"/>
        <v>1.7084798940478891</v>
      </c>
      <c r="AY473" s="202">
        <f t="shared" si="256"/>
        <v>1.6587183437358151</v>
      </c>
      <c r="AZ473" s="202">
        <f t="shared" si="257"/>
        <v>1.6104061589668108</v>
      </c>
      <c r="BA473" s="202">
        <f t="shared" si="257"/>
        <v>1.5635011252104958</v>
      </c>
      <c r="BB473" s="202">
        <f t="shared" si="257"/>
        <v>1.517962257485918</v>
      </c>
      <c r="BC473" s="202">
        <f t="shared" si="257"/>
        <v>1.4737497645494353</v>
      </c>
      <c r="BD473" s="202">
        <f t="shared" si="257"/>
        <v>1.4308250141256653</v>
      </c>
      <c r="BE473" s="202">
        <f t="shared" si="257"/>
        <v>1.3891504991511314</v>
      </c>
      <c r="BF473" s="202">
        <f t="shared" si="257"/>
        <v>1.3486898050010985</v>
      </c>
      <c r="BG473" s="203">
        <f t="shared" si="238"/>
        <v>36.239800129849542</v>
      </c>
    </row>
    <row r="474" spans="27:59">
      <c r="AA474" s="180">
        <f t="shared" si="239"/>
        <v>2247000000</v>
      </c>
      <c r="AB474" s="41">
        <f t="shared" si="240"/>
        <v>2675</v>
      </c>
      <c r="AC474" s="21">
        <v>107</v>
      </c>
      <c r="AD474" s="21" t="s">
        <v>283</v>
      </c>
      <c r="AE474" s="175">
        <f t="shared" si="246"/>
        <v>30</v>
      </c>
      <c r="AF474" s="183">
        <f t="shared" si="247"/>
        <v>27</v>
      </c>
      <c r="AG474" s="84">
        <f t="shared" si="248"/>
        <v>0.39750000000000002</v>
      </c>
      <c r="AH474" s="244">
        <f t="shared" si="249"/>
        <v>0.159</v>
      </c>
      <c r="AI474" s="76">
        <f t="shared" si="250"/>
        <v>1.5600000000000002E-3</v>
      </c>
      <c r="AJ474" s="181">
        <f t="shared" si="251"/>
        <v>5.5650000000000005E-2</v>
      </c>
      <c r="AK474" s="182">
        <f t="shared" si="252"/>
        <v>2.3077257367928001</v>
      </c>
      <c r="AM474" s="201">
        <f t="shared" si="237"/>
        <v>2.3649357367928001</v>
      </c>
      <c r="AN474" s="202">
        <f t="shared" si="255"/>
        <v>2.2960541133910679</v>
      </c>
      <c r="AO474" s="202">
        <f t="shared" si="255"/>
        <v>2.2291787508651146</v>
      </c>
      <c r="AP474" s="202">
        <f t="shared" si="256"/>
        <v>2.16425121443215</v>
      </c>
      <c r="AQ474" s="202">
        <f t="shared" si="256"/>
        <v>2.1012147712933498</v>
      </c>
      <c r="AR474" s="202">
        <f t="shared" si="256"/>
        <v>2.0400143410615046</v>
      </c>
      <c r="AS474" s="202">
        <f t="shared" si="256"/>
        <v>1.9805964476325288</v>
      </c>
      <c r="AT474" s="202">
        <f t="shared" si="256"/>
        <v>1.9229091724587657</v>
      </c>
      <c r="AU474" s="202">
        <f t="shared" si="256"/>
        <v>1.8669021091832678</v>
      </c>
      <c r="AV474" s="202">
        <f t="shared" si="256"/>
        <v>1.8125263195954056</v>
      </c>
      <c r="AW474" s="202">
        <f t="shared" si="256"/>
        <v>1.7597342908693259</v>
      </c>
      <c r="AX474" s="202">
        <f t="shared" si="256"/>
        <v>1.7084798940478891</v>
      </c>
      <c r="AY474" s="202">
        <f t="shared" si="256"/>
        <v>1.6587183437358151</v>
      </c>
      <c r="AZ474" s="202">
        <f t="shared" si="257"/>
        <v>1.6104061589668108</v>
      </c>
      <c r="BA474" s="202">
        <f t="shared" si="257"/>
        <v>1.5635011252104958</v>
      </c>
      <c r="BB474" s="202">
        <f t="shared" si="257"/>
        <v>1.517962257485918</v>
      </c>
      <c r="BC474" s="202">
        <f t="shared" si="257"/>
        <v>1.4737497645494353</v>
      </c>
      <c r="BD474" s="202">
        <f t="shared" si="257"/>
        <v>1.4308250141256653</v>
      </c>
      <c r="BE474" s="202">
        <f t="shared" si="257"/>
        <v>1.3891504991511314</v>
      </c>
      <c r="BF474" s="202">
        <f t="shared" si="257"/>
        <v>1.3486898050010985</v>
      </c>
      <c r="BG474" s="203">
        <f t="shared" si="238"/>
        <v>36.239800129849542</v>
      </c>
    </row>
    <row r="475" spans="27:59">
      <c r="AA475" s="180">
        <f t="shared" si="239"/>
        <v>2268000000</v>
      </c>
      <c r="AB475" s="41">
        <f t="shared" si="240"/>
        <v>2700</v>
      </c>
      <c r="AC475" s="21">
        <v>108</v>
      </c>
      <c r="AD475" s="21" t="s">
        <v>283</v>
      </c>
      <c r="AE475" s="175">
        <f t="shared" si="246"/>
        <v>30</v>
      </c>
      <c r="AF475" s="183">
        <f t="shared" si="247"/>
        <v>27</v>
      </c>
      <c r="AG475" s="84">
        <f t="shared" si="248"/>
        <v>0.39750000000000002</v>
      </c>
      <c r="AH475" s="244">
        <f t="shared" si="249"/>
        <v>0.159</v>
      </c>
      <c r="AI475" s="76">
        <f t="shared" si="250"/>
        <v>1.5600000000000002E-3</v>
      </c>
      <c r="AJ475" s="181">
        <f t="shared" si="251"/>
        <v>5.5650000000000005E-2</v>
      </c>
      <c r="AK475" s="182">
        <f t="shared" si="252"/>
        <v>2.3077257367928001</v>
      </c>
      <c r="AM475" s="201">
        <f t="shared" si="237"/>
        <v>2.3649357367928001</v>
      </c>
      <c r="AN475" s="202">
        <f t="shared" si="255"/>
        <v>2.2960541133910679</v>
      </c>
      <c r="AO475" s="202">
        <f t="shared" si="255"/>
        <v>2.2291787508651146</v>
      </c>
      <c r="AP475" s="202">
        <f t="shared" si="256"/>
        <v>2.16425121443215</v>
      </c>
      <c r="AQ475" s="202">
        <f t="shared" si="256"/>
        <v>2.1012147712933498</v>
      </c>
      <c r="AR475" s="202">
        <f t="shared" si="256"/>
        <v>2.0400143410615046</v>
      </c>
      <c r="AS475" s="202">
        <f t="shared" si="256"/>
        <v>1.9805964476325288</v>
      </c>
      <c r="AT475" s="202">
        <f t="shared" si="256"/>
        <v>1.9229091724587657</v>
      </c>
      <c r="AU475" s="202">
        <f t="shared" si="256"/>
        <v>1.8669021091832678</v>
      </c>
      <c r="AV475" s="202">
        <f t="shared" si="256"/>
        <v>1.8125263195954056</v>
      </c>
      <c r="AW475" s="202">
        <f t="shared" si="256"/>
        <v>1.7597342908693259</v>
      </c>
      <c r="AX475" s="202">
        <f t="shared" si="256"/>
        <v>1.7084798940478891</v>
      </c>
      <c r="AY475" s="202">
        <f t="shared" si="256"/>
        <v>1.6587183437358151</v>
      </c>
      <c r="AZ475" s="202">
        <f t="shared" si="257"/>
        <v>1.6104061589668108</v>
      </c>
      <c r="BA475" s="202">
        <f t="shared" si="257"/>
        <v>1.5635011252104958</v>
      </c>
      <c r="BB475" s="202">
        <f t="shared" si="257"/>
        <v>1.517962257485918</v>
      </c>
      <c r="BC475" s="202">
        <f t="shared" si="257"/>
        <v>1.4737497645494353</v>
      </c>
      <c r="BD475" s="202">
        <f t="shared" si="257"/>
        <v>1.4308250141256653</v>
      </c>
      <c r="BE475" s="202">
        <f t="shared" si="257"/>
        <v>1.3891504991511314</v>
      </c>
      <c r="BF475" s="202">
        <f t="shared" si="257"/>
        <v>1.3486898050010985</v>
      </c>
      <c r="BG475" s="203">
        <f t="shared" si="238"/>
        <v>36.239800129849542</v>
      </c>
    </row>
    <row r="476" spans="27:59">
      <c r="AA476" s="180">
        <f t="shared" si="239"/>
        <v>2289000000</v>
      </c>
      <c r="AB476" s="41">
        <f t="shared" si="240"/>
        <v>2725</v>
      </c>
      <c r="AC476" s="21">
        <v>109</v>
      </c>
      <c r="AD476" s="21" t="s">
        <v>283</v>
      </c>
      <c r="AE476" s="175">
        <f t="shared" si="246"/>
        <v>30</v>
      </c>
      <c r="AF476" s="183">
        <f t="shared" si="247"/>
        <v>27</v>
      </c>
      <c r="AG476" s="84">
        <f t="shared" si="248"/>
        <v>0.39750000000000002</v>
      </c>
      <c r="AH476" s="244">
        <f t="shared" si="249"/>
        <v>0.159</v>
      </c>
      <c r="AI476" s="76">
        <f t="shared" si="250"/>
        <v>1.5600000000000002E-3</v>
      </c>
      <c r="AJ476" s="181">
        <f t="shared" si="251"/>
        <v>5.5650000000000005E-2</v>
      </c>
      <c r="AK476" s="182">
        <f t="shared" si="252"/>
        <v>2.3077257367928001</v>
      </c>
      <c r="AM476" s="201">
        <f t="shared" si="237"/>
        <v>2.3649357367928001</v>
      </c>
      <c r="AN476" s="202">
        <f t="shared" si="255"/>
        <v>2.2960541133910679</v>
      </c>
      <c r="AO476" s="202">
        <f t="shared" si="255"/>
        <v>2.2291787508651146</v>
      </c>
      <c r="AP476" s="202">
        <f t="shared" si="256"/>
        <v>2.16425121443215</v>
      </c>
      <c r="AQ476" s="202">
        <f t="shared" si="256"/>
        <v>2.1012147712933498</v>
      </c>
      <c r="AR476" s="202">
        <f t="shared" si="256"/>
        <v>2.0400143410615046</v>
      </c>
      <c r="AS476" s="202">
        <f t="shared" si="256"/>
        <v>1.9805964476325288</v>
      </c>
      <c r="AT476" s="202">
        <f t="shared" si="256"/>
        <v>1.9229091724587657</v>
      </c>
      <c r="AU476" s="202">
        <f t="shared" si="256"/>
        <v>1.8669021091832678</v>
      </c>
      <c r="AV476" s="202">
        <f t="shared" si="256"/>
        <v>1.8125263195954056</v>
      </c>
      <c r="AW476" s="202">
        <f t="shared" si="256"/>
        <v>1.7597342908693259</v>
      </c>
      <c r="AX476" s="202">
        <f t="shared" si="256"/>
        <v>1.7084798940478891</v>
      </c>
      <c r="AY476" s="202">
        <f t="shared" si="256"/>
        <v>1.6587183437358151</v>
      </c>
      <c r="AZ476" s="202">
        <f t="shared" si="257"/>
        <v>1.6104061589668108</v>
      </c>
      <c r="BA476" s="202">
        <f t="shared" si="257"/>
        <v>1.5635011252104958</v>
      </c>
      <c r="BB476" s="202">
        <f t="shared" si="257"/>
        <v>1.517962257485918</v>
      </c>
      <c r="BC476" s="202">
        <f t="shared" si="257"/>
        <v>1.4737497645494353</v>
      </c>
      <c r="BD476" s="202">
        <f t="shared" si="257"/>
        <v>1.4308250141256653</v>
      </c>
      <c r="BE476" s="202">
        <f t="shared" si="257"/>
        <v>1.3891504991511314</v>
      </c>
      <c r="BF476" s="202">
        <f t="shared" si="257"/>
        <v>1.3486898050010985</v>
      </c>
      <c r="BG476" s="203">
        <f t="shared" si="238"/>
        <v>36.239800129849542</v>
      </c>
    </row>
    <row r="477" spans="27:59">
      <c r="AA477" s="180">
        <f t="shared" si="239"/>
        <v>2310000000</v>
      </c>
      <c r="AB477" s="41">
        <f t="shared" si="240"/>
        <v>2750</v>
      </c>
      <c r="AC477" s="21">
        <v>110</v>
      </c>
      <c r="AD477" s="21" t="s">
        <v>283</v>
      </c>
      <c r="AE477" s="175">
        <f t="shared" si="246"/>
        <v>30</v>
      </c>
      <c r="AF477" s="183">
        <f t="shared" si="247"/>
        <v>27</v>
      </c>
      <c r="AG477" s="84">
        <f t="shared" si="248"/>
        <v>0.39750000000000002</v>
      </c>
      <c r="AH477" s="244">
        <f t="shared" si="249"/>
        <v>0.159</v>
      </c>
      <c r="AI477" s="76">
        <f t="shared" si="250"/>
        <v>1.5600000000000002E-3</v>
      </c>
      <c r="AJ477" s="181">
        <f t="shared" si="251"/>
        <v>5.5650000000000005E-2</v>
      </c>
      <c r="AK477" s="182">
        <f t="shared" si="252"/>
        <v>2.3077257367928001</v>
      </c>
      <c r="AM477" s="201">
        <f t="shared" si="237"/>
        <v>2.3649357367928001</v>
      </c>
      <c r="AN477" s="202">
        <f t="shared" si="255"/>
        <v>2.2960541133910679</v>
      </c>
      <c r="AO477" s="202">
        <f t="shared" si="255"/>
        <v>2.2291787508651146</v>
      </c>
      <c r="AP477" s="202">
        <f t="shared" si="256"/>
        <v>2.16425121443215</v>
      </c>
      <c r="AQ477" s="202">
        <f t="shared" si="256"/>
        <v>2.1012147712933498</v>
      </c>
      <c r="AR477" s="202">
        <f t="shared" si="256"/>
        <v>2.0400143410615046</v>
      </c>
      <c r="AS477" s="202">
        <f t="shared" si="256"/>
        <v>1.9805964476325288</v>
      </c>
      <c r="AT477" s="202">
        <f t="shared" si="256"/>
        <v>1.9229091724587657</v>
      </c>
      <c r="AU477" s="202">
        <f t="shared" si="256"/>
        <v>1.8669021091832678</v>
      </c>
      <c r="AV477" s="202">
        <f t="shared" si="256"/>
        <v>1.8125263195954056</v>
      </c>
      <c r="AW477" s="202">
        <f t="shared" si="256"/>
        <v>1.7597342908693259</v>
      </c>
      <c r="AX477" s="202">
        <f t="shared" si="256"/>
        <v>1.7084798940478891</v>
      </c>
      <c r="AY477" s="202">
        <f t="shared" si="256"/>
        <v>1.6587183437358151</v>
      </c>
      <c r="AZ477" s="202">
        <f t="shared" si="257"/>
        <v>1.6104061589668108</v>
      </c>
      <c r="BA477" s="202">
        <f t="shared" si="257"/>
        <v>1.5635011252104958</v>
      </c>
      <c r="BB477" s="202">
        <f t="shared" si="257"/>
        <v>1.517962257485918</v>
      </c>
      <c r="BC477" s="202">
        <f t="shared" si="257"/>
        <v>1.4737497645494353</v>
      </c>
      <c r="BD477" s="202">
        <f t="shared" si="257"/>
        <v>1.4308250141256653</v>
      </c>
      <c r="BE477" s="202">
        <f t="shared" si="257"/>
        <v>1.3891504991511314</v>
      </c>
      <c r="BF477" s="202">
        <f t="shared" si="257"/>
        <v>1.3486898050010985</v>
      </c>
      <c r="BG477" s="203">
        <f t="shared" si="238"/>
        <v>36.239800129849542</v>
      </c>
    </row>
    <row r="478" spans="27:59">
      <c r="AA478" s="180">
        <f t="shared" si="239"/>
        <v>2331000000</v>
      </c>
      <c r="AB478" s="41">
        <f t="shared" si="240"/>
        <v>2775</v>
      </c>
      <c r="AC478" s="21">
        <v>111</v>
      </c>
      <c r="AD478" s="21" t="s">
        <v>283</v>
      </c>
      <c r="AE478" s="175">
        <f t="shared" si="246"/>
        <v>30</v>
      </c>
      <c r="AF478" s="183">
        <f t="shared" si="247"/>
        <v>27</v>
      </c>
      <c r="AG478" s="84">
        <f t="shared" si="248"/>
        <v>0.39750000000000002</v>
      </c>
      <c r="AH478" s="244">
        <f t="shared" si="249"/>
        <v>0.159</v>
      </c>
      <c r="AI478" s="76">
        <f t="shared" si="250"/>
        <v>1.5600000000000002E-3</v>
      </c>
      <c r="AJ478" s="181">
        <f t="shared" si="251"/>
        <v>5.5650000000000005E-2</v>
      </c>
      <c r="AK478" s="182">
        <f t="shared" si="252"/>
        <v>2.3077257367928001</v>
      </c>
      <c r="AM478" s="201">
        <f t="shared" si="237"/>
        <v>2.3649357367928001</v>
      </c>
      <c r="AN478" s="202">
        <f t="shared" si="255"/>
        <v>2.2960541133910679</v>
      </c>
      <c r="AO478" s="202">
        <f t="shared" si="255"/>
        <v>2.2291787508651146</v>
      </c>
      <c r="AP478" s="202">
        <f t="shared" ref="AP478:AY487" si="258">$AM478/POWER(1+($B$10/100),AP$366-2024)</f>
        <v>2.16425121443215</v>
      </c>
      <c r="AQ478" s="202">
        <f t="shared" si="258"/>
        <v>2.1012147712933498</v>
      </c>
      <c r="AR478" s="202">
        <f t="shared" si="258"/>
        <v>2.0400143410615046</v>
      </c>
      <c r="AS478" s="202">
        <f t="shared" si="258"/>
        <v>1.9805964476325288</v>
      </c>
      <c r="AT478" s="202">
        <f t="shared" si="258"/>
        <v>1.9229091724587657</v>
      </c>
      <c r="AU478" s="202">
        <f t="shared" si="258"/>
        <v>1.8669021091832678</v>
      </c>
      <c r="AV478" s="202">
        <f t="shared" si="258"/>
        <v>1.8125263195954056</v>
      </c>
      <c r="AW478" s="202">
        <f t="shared" si="258"/>
        <v>1.7597342908693259</v>
      </c>
      <c r="AX478" s="202">
        <f t="shared" si="258"/>
        <v>1.7084798940478891</v>
      </c>
      <c r="AY478" s="202">
        <f t="shared" si="258"/>
        <v>1.6587183437358151</v>
      </c>
      <c r="AZ478" s="202">
        <f t="shared" ref="AZ478:BF487" si="259">$AM478/POWER(1+($B$10/100),AZ$366-2024)</f>
        <v>1.6104061589668108</v>
      </c>
      <c r="BA478" s="202">
        <f t="shared" si="259"/>
        <v>1.5635011252104958</v>
      </c>
      <c r="BB478" s="202">
        <f t="shared" si="259"/>
        <v>1.517962257485918</v>
      </c>
      <c r="BC478" s="202">
        <f t="shared" si="259"/>
        <v>1.4737497645494353</v>
      </c>
      <c r="BD478" s="202">
        <f t="shared" si="259"/>
        <v>1.4308250141256653</v>
      </c>
      <c r="BE478" s="202">
        <f t="shared" si="259"/>
        <v>1.3891504991511314</v>
      </c>
      <c r="BF478" s="202">
        <f t="shared" si="259"/>
        <v>1.3486898050010985</v>
      </c>
      <c r="BG478" s="203">
        <f t="shared" si="238"/>
        <v>36.239800129849542</v>
      </c>
    </row>
    <row r="479" spans="27:59">
      <c r="AA479" s="180">
        <f t="shared" si="239"/>
        <v>2352000000</v>
      </c>
      <c r="AB479" s="41">
        <f t="shared" si="240"/>
        <v>2800</v>
      </c>
      <c r="AC479" s="21">
        <v>112</v>
      </c>
      <c r="AD479" s="21" t="s">
        <v>283</v>
      </c>
      <c r="AE479" s="175">
        <f t="shared" si="246"/>
        <v>30</v>
      </c>
      <c r="AF479" s="183">
        <f t="shared" si="247"/>
        <v>27</v>
      </c>
      <c r="AG479" s="84">
        <f t="shared" si="248"/>
        <v>0.39750000000000002</v>
      </c>
      <c r="AH479" s="244">
        <f t="shared" si="249"/>
        <v>0.159</v>
      </c>
      <c r="AI479" s="76">
        <f t="shared" si="250"/>
        <v>1.5600000000000002E-3</v>
      </c>
      <c r="AJ479" s="181">
        <f t="shared" si="251"/>
        <v>5.5650000000000005E-2</v>
      </c>
      <c r="AK479" s="182">
        <f t="shared" si="252"/>
        <v>2.3077257367928001</v>
      </c>
      <c r="AM479" s="201">
        <f t="shared" si="237"/>
        <v>2.3649357367928001</v>
      </c>
      <c r="AN479" s="202">
        <f t="shared" si="255"/>
        <v>2.2960541133910679</v>
      </c>
      <c r="AO479" s="202">
        <f t="shared" si="255"/>
        <v>2.2291787508651146</v>
      </c>
      <c r="AP479" s="202">
        <f t="shared" si="258"/>
        <v>2.16425121443215</v>
      </c>
      <c r="AQ479" s="202">
        <f t="shared" si="258"/>
        <v>2.1012147712933498</v>
      </c>
      <c r="AR479" s="202">
        <f t="shared" si="258"/>
        <v>2.0400143410615046</v>
      </c>
      <c r="AS479" s="202">
        <f t="shared" si="258"/>
        <v>1.9805964476325288</v>
      </c>
      <c r="AT479" s="202">
        <f t="shared" si="258"/>
        <v>1.9229091724587657</v>
      </c>
      <c r="AU479" s="202">
        <f t="shared" si="258"/>
        <v>1.8669021091832678</v>
      </c>
      <c r="AV479" s="202">
        <f t="shared" si="258"/>
        <v>1.8125263195954056</v>
      </c>
      <c r="AW479" s="202">
        <f t="shared" si="258"/>
        <v>1.7597342908693259</v>
      </c>
      <c r="AX479" s="202">
        <f t="shared" si="258"/>
        <v>1.7084798940478891</v>
      </c>
      <c r="AY479" s="202">
        <f t="shared" si="258"/>
        <v>1.6587183437358151</v>
      </c>
      <c r="AZ479" s="202">
        <f t="shared" si="259"/>
        <v>1.6104061589668108</v>
      </c>
      <c r="BA479" s="202">
        <f t="shared" si="259"/>
        <v>1.5635011252104958</v>
      </c>
      <c r="BB479" s="202">
        <f t="shared" si="259"/>
        <v>1.517962257485918</v>
      </c>
      <c r="BC479" s="202">
        <f t="shared" si="259"/>
        <v>1.4737497645494353</v>
      </c>
      <c r="BD479" s="202">
        <f t="shared" si="259"/>
        <v>1.4308250141256653</v>
      </c>
      <c r="BE479" s="202">
        <f t="shared" si="259"/>
        <v>1.3891504991511314</v>
      </c>
      <c r="BF479" s="202">
        <f t="shared" si="259"/>
        <v>1.3486898050010985</v>
      </c>
      <c r="BG479" s="203">
        <f t="shared" si="238"/>
        <v>36.239800129849542</v>
      </c>
    </row>
    <row r="480" spans="27:59">
      <c r="AA480" s="180">
        <f t="shared" si="239"/>
        <v>2373000000</v>
      </c>
      <c r="AB480" s="41">
        <f t="shared" si="240"/>
        <v>2825</v>
      </c>
      <c r="AC480" s="21">
        <v>113</v>
      </c>
      <c r="AD480" s="21" t="s">
        <v>283</v>
      </c>
      <c r="AE480" s="175">
        <f t="shared" si="246"/>
        <v>30</v>
      </c>
      <c r="AF480" s="183">
        <f t="shared" si="247"/>
        <v>27</v>
      </c>
      <c r="AG480" s="84">
        <f t="shared" si="248"/>
        <v>0.39750000000000002</v>
      </c>
      <c r="AH480" s="244">
        <f t="shared" si="249"/>
        <v>0.159</v>
      </c>
      <c r="AI480" s="76">
        <f t="shared" si="250"/>
        <v>1.5600000000000002E-3</v>
      </c>
      <c r="AJ480" s="181">
        <f t="shared" si="251"/>
        <v>5.5650000000000005E-2</v>
      </c>
      <c r="AK480" s="182">
        <f t="shared" si="252"/>
        <v>2.3077257367928001</v>
      </c>
      <c r="AM480" s="201">
        <f t="shared" si="237"/>
        <v>2.3649357367928001</v>
      </c>
      <c r="AN480" s="202">
        <f t="shared" si="255"/>
        <v>2.2960541133910679</v>
      </c>
      <c r="AO480" s="202">
        <f t="shared" si="255"/>
        <v>2.2291787508651146</v>
      </c>
      <c r="AP480" s="202">
        <f t="shared" si="258"/>
        <v>2.16425121443215</v>
      </c>
      <c r="AQ480" s="202">
        <f t="shared" si="258"/>
        <v>2.1012147712933498</v>
      </c>
      <c r="AR480" s="202">
        <f t="shared" si="258"/>
        <v>2.0400143410615046</v>
      </c>
      <c r="AS480" s="202">
        <f t="shared" si="258"/>
        <v>1.9805964476325288</v>
      </c>
      <c r="AT480" s="202">
        <f t="shared" si="258"/>
        <v>1.9229091724587657</v>
      </c>
      <c r="AU480" s="202">
        <f t="shared" si="258"/>
        <v>1.8669021091832678</v>
      </c>
      <c r="AV480" s="202">
        <f t="shared" si="258"/>
        <v>1.8125263195954056</v>
      </c>
      <c r="AW480" s="202">
        <f t="shared" si="258"/>
        <v>1.7597342908693259</v>
      </c>
      <c r="AX480" s="202">
        <f t="shared" si="258"/>
        <v>1.7084798940478891</v>
      </c>
      <c r="AY480" s="202">
        <f t="shared" si="258"/>
        <v>1.6587183437358151</v>
      </c>
      <c r="AZ480" s="202">
        <f t="shared" si="259"/>
        <v>1.6104061589668108</v>
      </c>
      <c r="BA480" s="202">
        <f t="shared" si="259"/>
        <v>1.5635011252104958</v>
      </c>
      <c r="BB480" s="202">
        <f t="shared" si="259"/>
        <v>1.517962257485918</v>
      </c>
      <c r="BC480" s="202">
        <f t="shared" si="259"/>
        <v>1.4737497645494353</v>
      </c>
      <c r="BD480" s="202">
        <f t="shared" si="259"/>
        <v>1.4308250141256653</v>
      </c>
      <c r="BE480" s="202">
        <f t="shared" si="259"/>
        <v>1.3891504991511314</v>
      </c>
      <c r="BF480" s="202">
        <f t="shared" si="259"/>
        <v>1.3486898050010985</v>
      </c>
      <c r="BG480" s="203">
        <f t="shared" si="238"/>
        <v>36.239800129849542</v>
      </c>
    </row>
    <row r="481" spans="27:59">
      <c r="AA481" s="180">
        <f t="shared" si="239"/>
        <v>2394000000</v>
      </c>
      <c r="AB481" s="41">
        <f t="shared" si="240"/>
        <v>2850</v>
      </c>
      <c r="AC481" s="21">
        <v>114</v>
      </c>
      <c r="AD481" s="21" t="s">
        <v>283</v>
      </c>
      <c r="AE481" s="175">
        <f t="shared" si="246"/>
        <v>30</v>
      </c>
      <c r="AF481" s="183">
        <f t="shared" si="247"/>
        <v>27</v>
      </c>
      <c r="AG481" s="84">
        <f t="shared" si="248"/>
        <v>0.39750000000000002</v>
      </c>
      <c r="AH481" s="244">
        <f t="shared" si="249"/>
        <v>0.159</v>
      </c>
      <c r="AI481" s="76">
        <f t="shared" si="250"/>
        <v>1.5600000000000002E-3</v>
      </c>
      <c r="AJ481" s="181">
        <f t="shared" si="251"/>
        <v>5.5650000000000005E-2</v>
      </c>
      <c r="AK481" s="182">
        <f t="shared" si="252"/>
        <v>2.3077257367928001</v>
      </c>
      <c r="AM481" s="201">
        <f t="shared" si="237"/>
        <v>2.3649357367928001</v>
      </c>
      <c r="AN481" s="202">
        <f t="shared" si="255"/>
        <v>2.2960541133910679</v>
      </c>
      <c r="AO481" s="202">
        <f t="shared" si="255"/>
        <v>2.2291787508651146</v>
      </c>
      <c r="AP481" s="202">
        <f t="shared" si="258"/>
        <v>2.16425121443215</v>
      </c>
      <c r="AQ481" s="202">
        <f t="shared" si="258"/>
        <v>2.1012147712933498</v>
      </c>
      <c r="AR481" s="202">
        <f t="shared" si="258"/>
        <v>2.0400143410615046</v>
      </c>
      <c r="AS481" s="202">
        <f t="shared" si="258"/>
        <v>1.9805964476325288</v>
      </c>
      <c r="AT481" s="202">
        <f t="shared" si="258"/>
        <v>1.9229091724587657</v>
      </c>
      <c r="AU481" s="202">
        <f t="shared" si="258"/>
        <v>1.8669021091832678</v>
      </c>
      <c r="AV481" s="202">
        <f t="shared" si="258"/>
        <v>1.8125263195954056</v>
      </c>
      <c r="AW481" s="202">
        <f t="shared" si="258"/>
        <v>1.7597342908693259</v>
      </c>
      <c r="AX481" s="202">
        <f t="shared" si="258"/>
        <v>1.7084798940478891</v>
      </c>
      <c r="AY481" s="202">
        <f t="shared" si="258"/>
        <v>1.6587183437358151</v>
      </c>
      <c r="AZ481" s="202">
        <f t="shared" si="259"/>
        <v>1.6104061589668108</v>
      </c>
      <c r="BA481" s="202">
        <f t="shared" si="259"/>
        <v>1.5635011252104958</v>
      </c>
      <c r="BB481" s="202">
        <f t="shared" si="259"/>
        <v>1.517962257485918</v>
      </c>
      <c r="BC481" s="202">
        <f t="shared" si="259"/>
        <v>1.4737497645494353</v>
      </c>
      <c r="BD481" s="202">
        <f t="shared" si="259"/>
        <v>1.4308250141256653</v>
      </c>
      <c r="BE481" s="202">
        <f t="shared" si="259"/>
        <v>1.3891504991511314</v>
      </c>
      <c r="BF481" s="202">
        <f t="shared" si="259"/>
        <v>1.3486898050010985</v>
      </c>
      <c r="BG481" s="203">
        <f t="shared" si="238"/>
        <v>36.239800129849542</v>
      </c>
    </row>
    <row r="482" spans="27:59">
      <c r="AA482" s="180">
        <f t="shared" si="239"/>
        <v>2415000000</v>
      </c>
      <c r="AB482" s="41">
        <f t="shared" si="240"/>
        <v>2875</v>
      </c>
      <c r="AC482" s="21">
        <v>115</v>
      </c>
      <c r="AD482" s="21" t="s">
        <v>283</v>
      </c>
      <c r="AE482" s="175">
        <f t="shared" si="246"/>
        <v>30</v>
      </c>
      <c r="AF482" s="183">
        <f t="shared" si="247"/>
        <v>27</v>
      </c>
      <c r="AG482" s="84">
        <f t="shared" si="248"/>
        <v>0.39750000000000002</v>
      </c>
      <c r="AH482" s="244">
        <f t="shared" si="249"/>
        <v>0.159</v>
      </c>
      <c r="AI482" s="76">
        <f t="shared" si="250"/>
        <v>1.5600000000000002E-3</v>
      </c>
      <c r="AJ482" s="181">
        <f t="shared" si="251"/>
        <v>5.5650000000000005E-2</v>
      </c>
      <c r="AK482" s="182">
        <f t="shared" si="252"/>
        <v>2.3077257367928001</v>
      </c>
      <c r="AM482" s="201">
        <f t="shared" si="237"/>
        <v>2.3649357367928001</v>
      </c>
      <c r="AN482" s="202">
        <f t="shared" si="255"/>
        <v>2.2960541133910679</v>
      </c>
      <c r="AO482" s="202">
        <f t="shared" si="255"/>
        <v>2.2291787508651146</v>
      </c>
      <c r="AP482" s="202">
        <f t="shared" si="258"/>
        <v>2.16425121443215</v>
      </c>
      <c r="AQ482" s="202">
        <f t="shared" si="258"/>
        <v>2.1012147712933498</v>
      </c>
      <c r="AR482" s="202">
        <f t="shared" si="258"/>
        <v>2.0400143410615046</v>
      </c>
      <c r="AS482" s="202">
        <f t="shared" si="258"/>
        <v>1.9805964476325288</v>
      </c>
      <c r="AT482" s="202">
        <f t="shared" si="258"/>
        <v>1.9229091724587657</v>
      </c>
      <c r="AU482" s="202">
        <f t="shared" si="258"/>
        <v>1.8669021091832678</v>
      </c>
      <c r="AV482" s="202">
        <f t="shared" si="258"/>
        <v>1.8125263195954056</v>
      </c>
      <c r="AW482" s="202">
        <f t="shared" si="258"/>
        <v>1.7597342908693259</v>
      </c>
      <c r="AX482" s="202">
        <f t="shared" si="258"/>
        <v>1.7084798940478891</v>
      </c>
      <c r="AY482" s="202">
        <f t="shared" si="258"/>
        <v>1.6587183437358151</v>
      </c>
      <c r="AZ482" s="202">
        <f t="shared" si="259"/>
        <v>1.6104061589668108</v>
      </c>
      <c r="BA482" s="202">
        <f t="shared" si="259"/>
        <v>1.5635011252104958</v>
      </c>
      <c r="BB482" s="202">
        <f t="shared" si="259"/>
        <v>1.517962257485918</v>
      </c>
      <c r="BC482" s="202">
        <f t="shared" si="259"/>
        <v>1.4737497645494353</v>
      </c>
      <c r="BD482" s="202">
        <f t="shared" si="259"/>
        <v>1.4308250141256653</v>
      </c>
      <c r="BE482" s="202">
        <f t="shared" si="259"/>
        <v>1.3891504991511314</v>
      </c>
      <c r="BF482" s="202">
        <f t="shared" si="259"/>
        <v>1.3486898050010985</v>
      </c>
      <c r="BG482" s="203">
        <f t="shared" si="238"/>
        <v>36.239800129849542</v>
      </c>
    </row>
    <row r="483" spans="27:59">
      <c r="AA483" s="180">
        <f t="shared" si="239"/>
        <v>2436000000</v>
      </c>
      <c r="AB483" s="41">
        <f t="shared" si="240"/>
        <v>2900</v>
      </c>
      <c r="AC483" s="21">
        <v>116</v>
      </c>
      <c r="AD483" s="21" t="s">
        <v>283</v>
      </c>
      <c r="AE483" s="175">
        <f t="shared" si="246"/>
        <v>30</v>
      </c>
      <c r="AF483" s="183">
        <f t="shared" si="247"/>
        <v>27</v>
      </c>
      <c r="AG483" s="84">
        <f t="shared" si="248"/>
        <v>0.39750000000000002</v>
      </c>
      <c r="AH483" s="244">
        <f t="shared" si="249"/>
        <v>0.159</v>
      </c>
      <c r="AI483" s="76">
        <f t="shared" si="250"/>
        <v>1.5600000000000002E-3</v>
      </c>
      <c r="AJ483" s="181">
        <f t="shared" si="251"/>
        <v>5.5650000000000005E-2</v>
      </c>
      <c r="AK483" s="182">
        <f t="shared" si="252"/>
        <v>2.3077257367928001</v>
      </c>
      <c r="AM483" s="201">
        <f t="shared" si="237"/>
        <v>2.3649357367928001</v>
      </c>
      <c r="AN483" s="202">
        <f t="shared" si="255"/>
        <v>2.2960541133910679</v>
      </c>
      <c r="AO483" s="202">
        <f t="shared" si="255"/>
        <v>2.2291787508651146</v>
      </c>
      <c r="AP483" s="202">
        <f t="shared" si="258"/>
        <v>2.16425121443215</v>
      </c>
      <c r="AQ483" s="202">
        <f t="shared" si="258"/>
        <v>2.1012147712933498</v>
      </c>
      <c r="AR483" s="202">
        <f t="shared" si="258"/>
        <v>2.0400143410615046</v>
      </c>
      <c r="AS483" s="202">
        <f t="shared" si="258"/>
        <v>1.9805964476325288</v>
      </c>
      <c r="AT483" s="202">
        <f t="shared" si="258"/>
        <v>1.9229091724587657</v>
      </c>
      <c r="AU483" s="202">
        <f t="shared" si="258"/>
        <v>1.8669021091832678</v>
      </c>
      <c r="AV483" s="202">
        <f t="shared" si="258"/>
        <v>1.8125263195954056</v>
      </c>
      <c r="AW483" s="202">
        <f t="shared" si="258"/>
        <v>1.7597342908693259</v>
      </c>
      <c r="AX483" s="202">
        <f t="shared" si="258"/>
        <v>1.7084798940478891</v>
      </c>
      <c r="AY483" s="202">
        <f t="shared" si="258"/>
        <v>1.6587183437358151</v>
      </c>
      <c r="AZ483" s="202">
        <f t="shared" si="259"/>
        <v>1.6104061589668108</v>
      </c>
      <c r="BA483" s="202">
        <f t="shared" si="259"/>
        <v>1.5635011252104958</v>
      </c>
      <c r="BB483" s="202">
        <f t="shared" si="259"/>
        <v>1.517962257485918</v>
      </c>
      <c r="BC483" s="202">
        <f t="shared" si="259"/>
        <v>1.4737497645494353</v>
      </c>
      <c r="BD483" s="202">
        <f t="shared" si="259"/>
        <v>1.4308250141256653</v>
      </c>
      <c r="BE483" s="202">
        <f t="shared" si="259"/>
        <v>1.3891504991511314</v>
      </c>
      <c r="BF483" s="202">
        <f t="shared" si="259"/>
        <v>1.3486898050010985</v>
      </c>
      <c r="BG483" s="203">
        <f t="shared" si="238"/>
        <v>36.239800129849542</v>
      </c>
    </row>
    <row r="484" spans="27:59">
      <c r="AA484" s="180">
        <f t="shared" si="239"/>
        <v>2457000000</v>
      </c>
      <c r="AB484" s="41">
        <f t="shared" si="240"/>
        <v>2925</v>
      </c>
      <c r="AC484" s="21">
        <v>117</v>
      </c>
      <c r="AD484" s="21" t="s">
        <v>283</v>
      </c>
      <c r="AE484" s="175">
        <f t="shared" si="246"/>
        <v>30</v>
      </c>
      <c r="AF484" s="183">
        <f t="shared" si="247"/>
        <v>27</v>
      </c>
      <c r="AG484" s="84">
        <f t="shared" si="248"/>
        <v>0.39750000000000002</v>
      </c>
      <c r="AH484" s="244">
        <f t="shared" si="249"/>
        <v>0.159</v>
      </c>
      <c r="AI484" s="76">
        <f t="shared" si="250"/>
        <v>1.5600000000000002E-3</v>
      </c>
      <c r="AJ484" s="181">
        <f t="shared" si="251"/>
        <v>5.5650000000000005E-2</v>
      </c>
      <c r="AK484" s="182">
        <f t="shared" si="252"/>
        <v>2.3077257367928001</v>
      </c>
      <c r="AM484" s="201">
        <f t="shared" si="237"/>
        <v>2.3649357367928001</v>
      </c>
      <c r="AN484" s="202">
        <f t="shared" si="255"/>
        <v>2.2960541133910679</v>
      </c>
      <c r="AO484" s="202">
        <f t="shared" si="255"/>
        <v>2.2291787508651146</v>
      </c>
      <c r="AP484" s="202">
        <f t="shared" si="258"/>
        <v>2.16425121443215</v>
      </c>
      <c r="AQ484" s="202">
        <f t="shared" si="258"/>
        <v>2.1012147712933498</v>
      </c>
      <c r="AR484" s="202">
        <f t="shared" si="258"/>
        <v>2.0400143410615046</v>
      </c>
      <c r="AS484" s="202">
        <f t="shared" si="258"/>
        <v>1.9805964476325288</v>
      </c>
      <c r="AT484" s="202">
        <f t="shared" si="258"/>
        <v>1.9229091724587657</v>
      </c>
      <c r="AU484" s="202">
        <f t="shared" si="258"/>
        <v>1.8669021091832678</v>
      </c>
      <c r="AV484" s="202">
        <f t="shared" si="258"/>
        <v>1.8125263195954056</v>
      </c>
      <c r="AW484" s="202">
        <f t="shared" si="258"/>
        <v>1.7597342908693259</v>
      </c>
      <c r="AX484" s="202">
        <f t="shared" si="258"/>
        <v>1.7084798940478891</v>
      </c>
      <c r="AY484" s="202">
        <f t="shared" si="258"/>
        <v>1.6587183437358151</v>
      </c>
      <c r="AZ484" s="202">
        <f t="shared" si="259"/>
        <v>1.6104061589668108</v>
      </c>
      <c r="BA484" s="202">
        <f t="shared" si="259"/>
        <v>1.5635011252104958</v>
      </c>
      <c r="BB484" s="202">
        <f t="shared" si="259"/>
        <v>1.517962257485918</v>
      </c>
      <c r="BC484" s="202">
        <f t="shared" si="259"/>
        <v>1.4737497645494353</v>
      </c>
      <c r="BD484" s="202">
        <f t="shared" si="259"/>
        <v>1.4308250141256653</v>
      </c>
      <c r="BE484" s="202">
        <f t="shared" si="259"/>
        <v>1.3891504991511314</v>
      </c>
      <c r="BF484" s="202">
        <f t="shared" si="259"/>
        <v>1.3486898050010985</v>
      </c>
      <c r="BG484" s="203">
        <f t="shared" si="238"/>
        <v>36.239800129849542</v>
      </c>
    </row>
    <row r="485" spans="27:59">
      <c r="AA485" s="180">
        <f t="shared" si="239"/>
        <v>2478000000</v>
      </c>
      <c r="AB485" s="41">
        <f t="shared" si="240"/>
        <v>2950</v>
      </c>
      <c r="AC485" s="21">
        <v>118</v>
      </c>
      <c r="AD485" s="21" t="s">
        <v>283</v>
      </c>
      <c r="AE485" s="175">
        <f t="shared" si="246"/>
        <v>30</v>
      </c>
      <c r="AF485" s="183">
        <f t="shared" si="247"/>
        <v>27</v>
      </c>
      <c r="AG485" s="84">
        <f t="shared" si="248"/>
        <v>0.39750000000000002</v>
      </c>
      <c r="AH485" s="244">
        <f t="shared" si="249"/>
        <v>0.159</v>
      </c>
      <c r="AI485" s="76">
        <f t="shared" si="250"/>
        <v>1.5600000000000002E-3</v>
      </c>
      <c r="AJ485" s="181">
        <f t="shared" si="251"/>
        <v>5.5650000000000005E-2</v>
      </c>
      <c r="AK485" s="182">
        <f t="shared" si="252"/>
        <v>2.3077257367928001</v>
      </c>
      <c r="AM485" s="201">
        <f t="shared" si="237"/>
        <v>2.3649357367928001</v>
      </c>
      <c r="AN485" s="202">
        <f t="shared" si="255"/>
        <v>2.2960541133910679</v>
      </c>
      <c r="AO485" s="202">
        <f t="shared" si="255"/>
        <v>2.2291787508651146</v>
      </c>
      <c r="AP485" s="202">
        <f t="shared" si="258"/>
        <v>2.16425121443215</v>
      </c>
      <c r="AQ485" s="202">
        <f t="shared" si="258"/>
        <v>2.1012147712933498</v>
      </c>
      <c r="AR485" s="202">
        <f t="shared" si="258"/>
        <v>2.0400143410615046</v>
      </c>
      <c r="AS485" s="202">
        <f t="shared" si="258"/>
        <v>1.9805964476325288</v>
      </c>
      <c r="AT485" s="202">
        <f t="shared" si="258"/>
        <v>1.9229091724587657</v>
      </c>
      <c r="AU485" s="202">
        <f t="shared" si="258"/>
        <v>1.8669021091832678</v>
      </c>
      <c r="AV485" s="202">
        <f t="shared" si="258"/>
        <v>1.8125263195954056</v>
      </c>
      <c r="AW485" s="202">
        <f t="shared" si="258"/>
        <v>1.7597342908693259</v>
      </c>
      <c r="AX485" s="202">
        <f t="shared" si="258"/>
        <v>1.7084798940478891</v>
      </c>
      <c r="AY485" s="202">
        <f t="shared" si="258"/>
        <v>1.6587183437358151</v>
      </c>
      <c r="AZ485" s="202">
        <f t="shared" si="259"/>
        <v>1.6104061589668108</v>
      </c>
      <c r="BA485" s="202">
        <f t="shared" si="259"/>
        <v>1.5635011252104958</v>
      </c>
      <c r="BB485" s="202">
        <f t="shared" si="259"/>
        <v>1.517962257485918</v>
      </c>
      <c r="BC485" s="202">
        <f t="shared" si="259"/>
        <v>1.4737497645494353</v>
      </c>
      <c r="BD485" s="202">
        <f t="shared" si="259"/>
        <v>1.4308250141256653</v>
      </c>
      <c r="BE485" s="202">
        <f t="shared" si="259"/>
        <v>1.3891504991511314</v>
      </c>
      <c r="BF485" s="202">
        <f t="shared" si="259"/>
        <v>1.3486898050010985</v>
      </c>
      <c r="BG485" s="203">
        <f t="shared" si="238"/>
        <v>36.239800129849542</v>
      </c>
    </row>
    <row r="486" spans="27:59">
      <c r="AA486" s="180">
        <f t="shared" si="239"/>
        <v>2499000000</v>
      </c>
      <c r="AB486" s="41">
        <f t="shared" si="240"/>
        <v>2975</v>
      </c>
      <c r="AC486" s="21">
        <v>119</v>
      </c>
      <c r="AD486" s="21" t="s">
        <v>283</v>
      </c>
      <c r="AE486" s="175">
        <f t="shared" si="246"/>
        <v>30</v>
      </c>
      <c r="AF486" s="183">
        <f t="shared" si="247"/>
        <v>27</v>
      </c>
      <c r="AG486" s="84">
        <f t="shared" si="248"/>
        <v>0.39750000000000002</v>
      </c>
      <c r="AH486" s="244">
        <f t="shared" si="249"/>
        <v>0.159</v>
      </c>
      <c r="AI486" s="76">
        <f t="shared" si="250"/>
        <v>1.5600000000000002E-3</v>
      </c>
      <c r="AJ486" s="181">
        <f t="shared" si="251"/>
        <v>5.5650000000000005E-2</v>
      </c>
      <c r="AK486" s="182">
        <f t="shared" si="252"/>
        <v>2.3077257367928001</v>
      </c>
      <c r="AM486" s="201">
        <f t="shared" si="237"/>
        <v>2.3649357367928001</v>
      </c>
      <c r="AN486" s="202">
        <f t="shared" si="255"/>
        <v>2.2960541133910679</v>
      </c>
      <c r="AO486" s="202">
        <f t="shared" si="255"/>
        <v>2.2291787508651146</v>
      </c>
      <c r="AP486" s="202">
        <f t="shared" si="258"/>
        <v>2.16425121443215</v>
      </c>
      <c r="AQ486" s="202">
        <f t="shared" si="258"/>
        <v>2.1012147712933498</v>
      </c>
      <c r="AR486" s="202">
        <f t="shared" si="258"/>
        <v>2.0400143410615046</v>
      </c>
      <c r="AS486" s="202">
        <f t="shared" si="258"/>
        <v>1.9805964476325288</v>
      </c>
      <c r="AT486" s="202">
        <f t="shared" si="258"/>
        <v>1.9229091724587657</v>
      </c>
      <c r="AU486" s="202">
        <f t="shared" si="258"/>
        <v>1.8669021091832678</v>
      </c>
      <c r="AV486" s="202">
        <f t="shared" si="258"/>
        <v>1.8125263195954056</v>
      </c>
      <c r="AW486" s="202">
        <f t="shared" si="258"/>
        <v>1.7597342908693259</v>
      </c>
      <c r="AX486" s="202">
        <f t="shared" si="258"/>
        <v>1.7084798940478891</v>
      </c>
      <c r="AY486" s="202">
        <f t="shared" si="258"/>
        <v>1.6587183437358151</v>
      </c>
      <c r="AZ486" s="202">
        <f t="shared" si="259"/>
        <v>1.6104061589668108</v>
      </c>
      <c r="BA486" s="202">
        <f t="shared" si="259"/>
        <v>1.5635011252104958</v>
      </c>
      <c r="BB486" s="202">
        <f t="shared" si="259"/>
        <v>1.517962257485918</v>
      </c>
      <c r="BC486" s="202">
        <f t="shared" si="259"/>
        <v>1.4737497645494353</v>
      </c>
      <c r="BD486" s="202">
        <f t="shared" si="259"/>
        <v>1.4308250141256653</v>
      </c>
      <c r="BE486" s="202">
        <f t="shared" si="259"/>
        <v>1.3891504991511314</v>
      </c>
      <c r="BF486" s="202">
        <f t="shared" si="259"/>
        <v>1.3486898050010985</v>
      </c>
      <c r="BG486" s="203">
        <f t="shared" si="238"/>
        <v>36.239800129849542</v>
      </c>
    </row>
    <row r="487" spans="27:59">
      <c r="AA487" s="180">
        <f t="shared" si="239"/>
        <v>2520000000</v>
      </c>
      <c r="AB487" s="41">
        <f t="shared" si="240"/>
        <v>3000</v>
      </c>
      <c r="AC487" s="21">
        <v>120</v>
      </c>
      <c r="AD487" s="21" t="s">
        <v>283</v>
      </c>
      <c r="AE487" s="175">
        <f t="shared" si="246"/>
        <v>30</v>
      </c>
      <c r="AF487" s="183">
        <f t="shared" si="247"/>
        <v>27</v>
      </c>
      <c r="AG487" s="84">
        <f t="shared" si="248"/>
        <v>0.39750000000000002</v>
      </c>
      <c r="AH487" s="244">
        <f t="shared" si="249"/>
        <v>0.159</v>
      </c>
      <c r="AI487" s="76">
        <f t="shared" si="250"/>
        <v>1.5600000000000002E-3</v>
      </c>
      <c r="AJ487" s="181">
        <f t="shared" si="251"/>
        <v>5.5650000000000005E-2</v>
      </c>
      <c r="AK487" s="182">
        <f t="shared" si="252"/>
        <v>2.3077257367928001</v>
      </c>
      <c r="AM487" s="201">
        <f t="shared" si="237"/>
        <v>2.3649357367928001</v>
      </c>
      <c r="AN487" s="202">
        <f t="shared" ref="AN487:AO506" si="260">$AM487/POWER(1+($B$10/100),AN$366-2024)</f>
        <v>2.2960541133910679</v>
      </c>
      <c r="AO487" s="202">
        <f t="shared" si="260"/>
        <v>2.2291787508651146</v>
      </c>
      <c r="AP487" s="202">
        <f t="shared" si="258"/>
        <v>2.16425121443215</v>
      </c>
      <c r="AQ487" s="202">
        <f t="shared" si="258"/>
        <v>2.1012147712933498</v>
      </c>
      <c r="AR487" s="202">
        <f t="shared" si="258"/>
        <v>2.0400143410615046</v>
      </c>
      <c r="AS487" s="202">
        <f t="shared" si="258"/>
        <v>1.9805964476325288</v>
      </c>
      <c r="AT487" s="202">
        <f t="shared" si="258"/>
        <v>1.9229091724587657</v>
      </c>
      <c r="AU487" s="202">
        <f t="shared" si="258"/>
        <v>1.8669021091832678</v>
      </c>
      <c r="AV487" s="202">
        <f t="shared" si="258"/>
        <v>1.8125263195954056</v>
      </c>
      <c r="AW487" s="202">
        <f t="shared" si="258"/>
        <v>1.7597342908693259</v>
      </c>
      <c r="AX487" s="202">
        <f t="shared" si="258"/>
        <v>1.7084798940478891</v>
      </c>
      <c r="AY487" s="202">
        <f t="shared" si="258"/>
        <v>1.6587183437358151</v>
      </c>
      <c r="AZ487" s="202">
        <f t="shared" si="259"/>
        <v>1.6104061589668108</v>
      </c>
      <c r="BA487" s="202">
        <f t="shared" si="259"/>
        <v>1.5635011252104958</v>
      </c>
      <c r="BB487" s="202">
        <f t="shared" si="259"/>
        <v>1.517962257485918</v>
      </c>
      <c r="BC487" s="202">
        <f t="shared" si="259"/>
        <v>1.4737497645494353</v>
      </c>
      <c r="BD487" s="202">
        <f t="shared" si="259"/>
        <v>1.4308250141256653</v>
      </c>
      <c r="BE487" s="202">
        <f t="shared" si="259"/>
        <v>1.3891504991511314</v>
      </c>
      <c r="BF487" s="202">
        <f t="shared" si="259"/>
        <v>1.3486898050010985</v>
      </c>
      <c r="BG487" s="203">
        <f t="shared" si="238"/>
        <v>36.239800129849542</v>
      </c>
    </row>
    <row r="488" spans="27:59">
      <c r="AA488" s="180">
        <f t="shared" si="239"/>
        <v>2541000000</v>
      </c>
      <c r="AB488" s="41">
        <f t="shared" si="240"/>
        <v>3025</v>
      </c>
      <c r="AC488" s="21">
        <v>121</v>
      </c>
      <c r="AD488" s="21" t="s">
        <v>283</v>
      </c>
      <c r="AE488" s="175">
        <f t="shared" si="246"/>
        <v>30</v>
      </c>
      <c r="AF488" s="183">
        <f t="shared" si="247"/>
        <v>27</v>
      </c>
      <c r="AG488" s="84">
        <f t="shared" si="248"/>
        <v>0.39750000000000002</v>
      </c>
      <c r="AH488" s="244">
        <f t="shared" si="249"/>
        <v>0.159</v>
      </c>
      <c r="AI488" s="76">
        <f t="shared" si="250"/>
        <v>1.5600000000000002E-3</v>
      </c>
      <c r="AJ488" s="181">
        <f t="shared" si="251"/>
        <v>5.5650000000000005E-2</v>
      </c>
      <c r="AK488" s="182">
        <f t="shared" si="252"/>
        <v>2.3077257367928001</v>
      </c>
      <c r="AM488" s="201">
        <f t="shared" si="237"/>
        <v>2.3649357367928001</v>
      </c>
      <c r="AN488" s="202">
        <f t="shared" si="260"/>
        <v>2.2960541133910679</v>
      </c>
      <c r="AO488" s="202">
        <f t="shared" si="260"/>
        <v>2.2291787508651146</v>
      </c>
      <c r="AP488" s="202">
        <f t="shared" ref="AP488:AY497" si="261">$AM488/POWER(1+($B$10/100),AP$366-2024)</f>
        <v>2.16425121443215</v>
      </c>
      <c r="AQ488" s="202">
        <f t="shared" si="261"/>
        <v>2.1012147712933498</v>
      </c>
      <c r="AR488" s="202">
        <f t="shared" si="261"/>
        <v>2.0400143410615046</v>
      </c>
      <c r="AS488" s="202">
        <f t="shared" si="261"/>
        <v>1.9805964476325288</v>
      </c>
      <c r="AT488" s="202">
        <f t="shared" si="261"/>
        <v>1.9229091724587657</v>
      </c>
      <c r="AU488" s="202">
        <f t="shared" si="261"/>
        <v>1.8669021091832678</v>
      </c>
      <c r="AV488" s="202">
        <f t="shared" si="261"/>
        <v>1.8125263195954056</v>
      </c>
      <c r="AW488" s="202">
        <f t="shared" si="261"/>
        <v>1.7597342908693259</v>
      </c>
      <c r="AX488" s="202">
        <f t="shared" si="261"/>
        <v>1.7084798940478891</v>
      </c>
      <c r="AY488" s="202">
        <f t="shared" si="261"/>
        <v>1.6587183437358151</v>
      </c>
      <c r="AZ488" s="202">
        <f t="shared" ref="AZ488:BF497" si="262">$AM488/POWER(1+($B$10/100),AZ$366-2024)</f>
        <v>1.6104061589668108</v>
      </c>
      <c r="BA488" s="202">
        <f t="shared" si="262"/>
        <v>1.5635011252104958</v>
      </c>
      <c r="BB488" s="202">
        <f t="shared" si="262"/>
        <v>1.517962257485918</v>
      </c>
      <c r="BC488" s="202">
        <f t="shared" si="262"/>
        <v>1.4737497645494353</v>
      </c>
      <c r="BD488" s="202">
        <f t="shared" si="262"/>
        <v>1.4308250141256653</v>
      </c>
      <c r="BE488" s="202">
        <f t="shared" si="262"/>
        <v>1.3891504991511314</v>
      </c>
      <c r="BF488" s="202">
        <f t="shared" si="262"/>
        <v>1.3486898050010985</v>
      </c>
      <c r="BG488" s="203">
        <f t="shared" si="238"/>
        <v>36.239800129849542</v>
      </c>
    </row>
    <row r="489" spans="27:59">
      <c r="AA489" s="180">
        <f t="shared" si="239"/>
        <v>2562000000</v>
      </c>
      <c r="AB489" s="41">
        <f t="shared" si="240"/>
        <v>3050</v>
      </c>
      <c r="AC489" s="21">
        <v>122</v>
      </c>
      <c r="AD489" s="21" t="s">
        <v>283</v>
      </c>
      <c r="AE489" s="175">
        <f t="shared" si="246"/>
        <v>30</v>
      </c>
      <c r="AF489" s="183">
        <f t="shared" si="247"/>
        <v>27</v>
      </c>
      <c r="AG489" s="84">
        <f t="shared" si="248"/>
        <v>0.39750000000000002</v>
      </c>
      <c r="AH489" s="244">
        <f t="shared" si="249"/>
        <v>0.159</v>
      </c>
      <c r="AI489" s="76">
        <f t="shared" si="250"/>
        <v>1.5600000000000002E-3</v>
      </c>
      <c r="AJ489" s="181">
        <f t="shared" si="251"/>
        <v>5.5650000000000005E-2</v>
      </c>
      <c r="AK489" s="182">
        <f t="shared" si="252"/>
        <v>2.3077257367928001</v>
      </c>
      <c r="AM489" s="201">
        <f t="shared" si="237"/>
        <v>2.3649357367928001</v>
      </c>
      <c r="AN489" s="202">
        <f t="shared" si="260"/>
        <v>2.2960541133910679</v>
      </c>
      <c r="AO489" s="202">
        <f t="shared" si="260"/>
        <v>2.2291787508651146</v>
      </c>
      <c r="AP489" s="202">
        <f t="shared" si="261"/>
        <v>2.16425121443215</v>
      </c>
      <c r="AQ489" s="202">
        <f t="shared" si="261"/>
        <v>2.1012147712933498</v>
      </c>
      <c r="AR489" s="202">
        <f t="shared" si="261"/>
        <v>2.0400143410615046</v>
      </c>
      <c r="AS489" s="202">
        <f t="shared" si="261"/>
        <v>1.9805964476325288</v>
      </c>
      <c r="AT489" s="202">
        <f t="shared" si="261"/>
        <v>1.9229091724587657</v>
      </c>
      <c r="AU489" s="202">
        <f t="shared" si="261"/>
        <v>1.8669021091832678</v>
      </c>
      <c r="AV489" s="202">
        <f t="shared" si="261"/>
        <v>1.8125263195954056</v>
      </c>
      <c r="AW489" s="202">
        <f t="shared" si="261"/>
        <v>1.7597342908693259</v>
      </c>
      <c r="AX489" s="202">
        <f t="shared" si="261"/>
        <v>1.7084798940478891</v>
      </c>
      <c r="AY489" s="202">
        <f t="shared" si="261"/>
        <v>1.6587183437358151</v>
      </c>
      <c r="AZ489" s="202">
        <f t="shared" si="262"/>
        <v>1.6104061589668108</v>
      </c>
      <c r="BA489" s="202">
        <f t="shared" si="262"/>
        <v>1.5635011252104958</v>
      </c>
      <c r="BB489" s="202">
        <f t="shared" si="262"/>
        <v>1.517962257485918</v>
      </c>
      <c r="BC489" s="202">
        <f t="shared" si="262"/>
        <v>1.4737497645494353</v>
      </c>
      <c r="BD489" s="202">
        <f t="shared" si="262"/>
        <v>1.4308250141256653</v>
      </c>
      <c r="BE489" s="202">
        <f t="shared" si="262"/>
        <v>1.3891504991511314</v>
      </c>
      <c r="BF489" s="202">
        <f t="shared" si="262"/>
        <v>1.3486898050010985</v>
      </c>
      <c r="BG489" s="203">
        <f t="shared" si="238"/>
        <v>36.239800129849542</v>
      </c>
    </row>
    <row r="490" spans="27:59">
      <c r="AA490" s="180">
        <f t="shared" si="239"/>
        <v>2583000000</v>
      </c>
      <c r="AB490" s="41">
        <f t="shared" si="240"/>
        <v>3075</v>
      </c>
      <c r="AC490" s="21">
        <v>123</v>
      </c>
      <c r="AD490" s="21" t="s">
        <v>283</v>
      </c>
      <c r="AE490" s="175">
        <f t="shared" si="246"/>
        <v>30</v>
      </c>
      <c r="AF490" s="183">
        <f t="shared" si="247"/>
        <v>27</v>
      </c>
      <c r="AG490" s="84">
        <f t="shared" si="248"/>
        <v>0.39750000000000002</v>
      </c>
      <c r="AH490" s="244">
        <f t="shared" si="249"/>
        <v>0.159</v>
      </c>
      <c r="AI490" s="76">
        <f t="shared" si="250"/>
        <v>1.5600000000000002E-3</v>
      </c>
      <c r="AJ490" s="181">
        <f t="shared" si="251"/>
        <v>5.5650000000000005E-2</v>
      </c>
      <c r="AK490" s="182">
        <f t="shared" si="252"/>
        <v>2.3077257367928001</v>
      </c>
      <c r="AM490" s="201">
        <f t="shared" si="237"/>
        <v>2.3649357367928001</v>
      </c>
      <c r="AN490" s="202">
        <f t="shared" si="260"/>
        <v>2.2960541133910679</v>
      </c>
      <c r="AO490" s="202">
        <f t="shared" si="260"/>
        <v>2.2291787508651146</v>
      </c>
      <c r="AP490" s="202">
        <f t="shared" si="261"/>
        <v>2.16425121443215</v>
      </c>
      <c r="AQ490" s="202">
        <f t="shared" si="261"/>
        <v>2.1012147712933498</v>
      </c>
      <c r="AR490" s="202">
        <f t="shared" si="261"/>
        <v>2.0400143410615046</v>
      </c>
      <c r="AS490" s="202">
        <f t="shared" si="261"/>
        <v>1.9805964476325288</v>
      </c>
      <c r="AT490" s="202">
        <f t="shared" si="261"/>
        <v>1.9229091724587657</v>
      </c>
      <c r="AU490" s="202">
        <f t="shared" si="261"/>
        <v>1.8669021091832678</v>
      </c>
      <c r="AV490" s="202">
        <f t="shared" si="261"/>
        <v>1.8125263195954056</v>
      </c>
      <c r="AW490" s="202">
        <f t="shared" si="261"/>
        <v>1.7597342908693259</v>
      </c>
      <c r="AX490" s="202">
        <f t="shared" si="261"/>
        <v>1.7084798940478891</v>
      </c>
      <c r="AY490" s="202">
        <f t="shared" si="261"/>
        <v>1.6587183437358151</v>
      </c>
      <c r="AZ490" s="202">
        <f t="shared" si="262"/>
        <v>1.6104061589668108</v>
      </c>
      <c r="BA490" s="202">
        <f t="shared" si="262"/>
        <v>1.5635011252104958</v>
      </c>
      <c r="BB490" s="202">
        <f t="shared" si="262"/>
        <v>1.517962257485918</v>
      </c>
      <c r="BC490" s="202">
        <f t="shared" si="262"/>
        <v>1.4737497645494353</v>
      </c>
      <c r="BD490" s="202">
        <f t="shared" si="262"/>
        <v>1.4308250141256653</v>
      </c>
      <c r="BE490" s="202">
        <f t="shared" si="262"/>
        <v>1.3891504991511314</v>
      </c>
      <c r="BF490" s="202">
        <f t="shared" si="262"/>
        <v>1.3486898050010985</v>
      </c>
      <c r="BG490" s="203">
        <f t="shared" si="238"/>
        <v>36.239800129849542</v>
      </c>
    </row>
    <row r="491" spans="27:59">
      <c r="AA491" s="180">
        <f t="shared" si="239"/>
        <v>2604000000</v>
      </c>
      <c r="AB491" s="41">
        <f t="shared" si="240"/>
        <v>3100</v>
      </c>
      <c r="AC491" s="21">
        <v>124</v>
      </c>
      <c r="AD491" s="21" t="s">
        <v>283</v>
      </c>
      <c r="AE491" s="175">
        <f t="shared" si="246"/>
        <v>30</v>
      </c>
      <c r="AF491" s="183">
        <f t="shared" si="247"/>
        <v>27</v>
      </c>
      <c r="AG491" s="84">
        <f t="shared" si="248"/>
        <v>0.39750000000000002</v>
      </c>
      <c r="AH491" s="244">
        <f t="shared" si="249"/>
        <v>0.159</v>
      </c>
      <c r="AI491" s="76">
        <f t="shared" si="250"/>
        <v>1.5600000000000002E-3</v>
      </c>
      <c r="AJ491" s="181">
        <f t="shared" si="251"/>
        <v>5.5650000000000005E-2</v>
      </c>
      <c r="AK491" s="182">
        <f t="shared" si="252"/>
        <v>2.3077257367928001</v>
      </c>
      <c r="AM491" s="201">
        <f t="shared" si="237"/>
        <v>2.3649357367928001</v>
      </c>
      <c r="AN491" s="202">
        <f t="shared" si="260"/>
        <v>2.2960541133910679</v>
      </c>
      <c r="AO491" s="202">
        <f t="shared" si="260"/>
        <v>2.2291787508651146</v>
      </c>
      <c r="AP491" s="202">
        <f t="shared" si="261"/>
        <v>2.16425121443215</v>
      </c>
      <c r="AQ491" s="202">
        <f t="shared" si="261"/>
        <v>2.1012147712933498</v>
      </c>
      <c r="AR491" s="202">
        <f t="shared" si="261"/>
        <v>2.0400143410615046</v>
      </c>
      <c r="AS491" s="202">
        <f t="shared" si="261"/>
        <v>1.9805964476325288</v>
      </c>
      <c r="AT491" s="202">
        <f t="shared" si="261"/>
        <v>1.9229091724587657</v>
      </c>
      <c r="AU491" s="202">
        <f t="shared" si="261"/>
        <v>1.8669021091832678</v>
      </c>
      <c r="AV491" s="202">
        <f t="shared" si="261"/>
        <v>1.8125263195954056</v>
      </c>
      <c r="AW491" s="202">
        <f t="shared" si="261"/>
        <v>1.7597342908693259</v>
      </c>
      <c r="AX491" s="202">
        <f t="shared" si="261"/>
        <v>1.7084798940478891</v>
      </c>
      <c r="AY491" s="202">
        <f t="shared" si="261"/>
        <v>1.6587183437358151</v>
      </c>
      <c r="AZ491" s="202">
        <f t="shared" si="262"/>
        <v>1.6104061589668108</v>
      </c>
      <c r="BA491" s="202">
        <f t="shared" si="262"/>
        <v>1.5635011252104958</v>
      </c>
      <c r="BB491" s="202">
        <f t="shared" si="262"/>
        <v>1.517962257485918</v>
      </c>
      <c r="BC491" s="202">
        <f t="shared" si="262"/>
        <v>1.4737497645494353</v>
      </c>
      <c r="BD491" s="202">
        <f t="shared" si="262"/>
        <v>1.4308250141256653</v>
      </c>
      <c r="BE491" s="202">
        <f t="shared" si="262"/>
        <v>1.3891504991511314</v>
      </c>
      <c r="BF491" s="202">
        <f t="shared" si="262"/>
        <v>1.3486898050010985</v>
      </c>
      <c r="BG491" s="203">
        <f t="shared" si="238"/>
        <v>36.239800129849542</v>
      </c>
    </row>
    <row r="492" spans="27:59">
      <c r="AA492" s="180">
        <f t="shared" si="239"/>
        <v>2625000000</v>
      </c>
      <c r="AB492" s="41">
        <f t="shared" si="240"/>
        <v>3125</v>
      </c>
      <c r="AC492" s="21">
        <v>125</v>
      </c>
      <c r="AD492" s="21" t="s">
        <v>283</v>
      </c>
      <c r="AE492" s="175">
        <f t="shared" si="246"/>
        <v>30</v>
      </c>
      <c r="AF492" s="183">
        <f t="shared" si="247"/>
        <v>27</v>
      </c>
      <c r="AG492" s="84">
        <f t="shared" si="248"/>
        <v>0.39750000000000002</v>
      </c>
      <c r="AH492" s="244">
        <f t="shared" si="249"/>
        <v>0.159</v>
      </c>
      <c r="AI492" s="76">
        <f t="shared" si="250"/>
        <v>1.5600000000000002E-3</v>
      </c>
      <c r="AJ492" s="181">
        <f t="shared" si="251"/>
        <v>5.5650000000000005E-2</v>
      </c>
      <c r="AK492" s="182">
        <f t="shared" si="252"/>
        <v>2.3077257367928001</v>
      </c>
      <c r="AM492" s="201">
        <f t="shared" si="237"/>
        <v>2.3649357367928001</v>
      </c>
      <c r="AN492" s="202">
        <f t="shared" si="260"/>
        <v>2.2960541133910679</v>
      </c>
      <c r="AO492" s="202">
        <f t="shared" si="260"/>
        <v>2.2291787508651146</v>
      </c>
      <c r="AP492" s="202">
        <f t="shared" si="261"/>
        <v>2.16425121443215</v>
      </c>
      <c r="AQ492" s="202">
        <f t="shared" si="261"/>
        <v>2.1012147712933498</v>
      </c>
      <c r="AR492" s="202">
        <f t="shared" si="261"/>
        <v>2.0400143410615046</v>
      </c>
      <c r="AS492" s="202">
        <f t="shared" si="261"/>
        <v>1.9805964476325288</v>
      </c>
      <c r="AT492" s="202">
        <f t="shared" si="261"/>
        <v>1.9229091724587657</v>
      </c>
      <c r="AU492" s="202">
        <f t="shared" si="261"/>
        <v>1.8669021091832678</v>
      </c>
      <c r="AV492" s="202">
        <f t="shared" si="261"/>
        <v>1.8125263195954056</v>
      </c>
      <c r="AW492" s="202">
        <f t="shared" si="261"/>
        <v>1.7597342908693259</v>
      </c>
      <c r="AX492" s="202">
        <f t="shared" si="261"/>
        <v>1.7084798940478891</v>
      </c>
      <c r="AY492" s="202">
        <f t="shared" si="261"/>
        <v>1.6587183437358151</v>
      </c>
      <c r="AZ492" s="202">
        <f t="shared" si="262"/>
        <v>1.6104061589668108</v>
      </c>
      <c r="BA492" s="202">
        <f t="shared" si="262"/>
        <v>1.5635011252104958</v>
      </c>
      <c r="BB492" s="202">
        <f t="shared" si="262"/>
        <v>1.517962257485918</v>
      </c>
      <c r="BC492" s="202">
        <f t="shared" si="262"/>
        <v>1.4737497645494353</v>
      </c>
      <c r="BD492" s="202">
        <f t="shared" si="262"/>
        <v>1.4308250141256653</v>
      </c>
      <c r="BE492" s="202">
        <f t="shared" si="262"/>
        <v>1.3891504991511314</v>
      </c>
      <c r="BF492" s="202">
        <f t="shared" si="262"/>
        <v>1.3486898050010985</v>
      </c>
      <c r="BG492" s="203">
        <f t="shared" si="238"/>
        <v>36.239800129849542</v>
      </c>
    </row>
    <row r="493" spans="27:59">
      <c r="AA493" s="180">
        <f t="shared" si="239"/>
        <v>2646000000</v>
      </c>
      <c r="AB493" s="41">
        <f t="shared" si="240"/>
        <v>3150</v>
      </c>
      <c r="AC493" s="21">
        <v>126</v>
      </c>
      <c r="AD493" s="21" t="s">
        <v>283</v>
      </c>
      <c r="AE493" s="175">
        <f t="shared" si="246"/>
        <v>30</v>
      </c>
      <c r="AF493" s="183">
        <f t="shared" si="247"/>
        <v>27</v>
      </c>
      <c r="AG493" s="84">
        <f t="shared" si="248"/>
        <v>0.39750000000000002</v>
      </c>
      <c r="AH493" s="244">
        <f t="shared" si="249"/>
        <v>0.159</v>
      </c>
      <c r="AI493" s="76">
        <f t="shared" si="250"/>
        <v>1.5600000000000002E-3</v>
      </c>
      <c r="AJ493" s="181">
        <f t="shared" si="251"/>
        <v>5.5650000000000005E-2</v>
      </c>
      <c r="AK493" s="182">
        <f t="shared" si="252"/>
        <v>2.3077257367928001</v>
      </c>
      <c r="AM493" s="201">
        <f t="shared" si="237"/>
        <v>2.3649357367928001</v>
      </c>
      <c r="AN493" s="202">
        <f t="shared" si="260"/>
        <v>2.2960541133910679</v>
      </c>
      <c r="AO493" s="202">
        <f t="shared" si="260"/>
        <v>2.2291787508651146</v>
      </c>
      <c r="AP493" s="202">
        <f t="shared" si="261"/>
        <v>2.16425121443215</v>
      </c>
      <c r="AQ493" s="202">
        <f t="shared" si="261"/>
        <v>2.1012147712933498</v>
      </c>
      <c r="AR493" s="202">
        <f t="shared" si="261"/>
        <v>2.0400143410615046</v>
      </c>
      <c r="AS493" s="202">
        <f t="shared" si="261"/>
        <v>1.9805964476325288</v>
      </c>
      <c r="AT493" s="202">
        <f t="shared" si="261"/>
        <v>1.9229091724587657</v>
      </c>
      <c r="AU493" s="202">
        <f t="shared" si="261"/>
        <v>1.8669021091832678</v>
      </c>
      <c r="AV493" s="202">
        <f t="shared" si="261"/>
        <v>1.8125263195954056</v>
      </c>
      <c r="AW493" s="202">
        <f t="shared" si="261"/>
        <v>1.7597342908693259</v>
      </c>
      <c r="AX493" s="202">
        <f t="shared" si="261"/>
        <v>1.7084798940478891</v>
      </c>
      <c r="AY493" s="202">
        <f t="shared" si="261"/>
        <v>1.6587183437358151</v>
      </c>
      <c r="AZ493" s="202">
        <f t="shared" si="262"/>
        <v>1.6104061589668108</v>
      </c>
      <c r="BA493" s="202">
        <f t="shared" si="262"/>
        <v>1.5635011252104958</v>
      </c>
      <c r="BB493" s="202">
        <f t="shared" si="262"/>
        <v>1.517962257485918</v>
      </c>
      <c r="BC493" s="202">
        <f t="shared" si="262"/>
        <v>1.4737497645494353</v>
      </c>
      <c r="BD493" s="202">
        <f t="shared" si="262"/>
        <v>1.4308250141256653</v>
      </c>
      <c r="BE493" s="202">
        <f t="shared" si="262"/>
        <v>1.3891504991511314</v>
      </c>
      <c r="BF493" s="202">
        <f t="shared" si="262"/>
        <v>1.3486898050010985</v>
      </c>
      <c r="BG493" s="203">
        <f t="shared" si="238"/>
        <v>36.239800129849542</v>
      </c>
    </row>
    <row r="494" spans="27:59">
      <c r="AA494" s="180">
        <f t="shared" si="239"/>
        <v>2667000000</v>
      </c>
      <c r="AB494" s="41">
        <f t="shared" si="240"/>
        <v>3175</v>
      </c>
      <c r="AC494" s="21">
        <v>127</v>
      </c>
      <c r="AD494" s="21" t="s">
        <v>283</v>
      </c>
      <c r="AE494" s="175">
        <f t="shared" si="246"/>
        <v>30</v>
      </c>
      <c r="AF494" s="183">
        <f t="shared" si="247"/>
        <v>27</v>
      </c>
      <c r="AG494" s="84">
        <f t="shared" si="248"/>
        <v>0.39750000000000002</v>
      </c>
      <c r="AH494" s="244">
        <f t="shared" si="249"/>
        <v>0.159</v>
      </c>
      <c r="AI494" s="76">
        <f t="shared" si="250"/>
        <v>1.5600000000000002E-3</v>
      </c>
      <c r="AJ494" s="181">
        <f t="shared" si="251"/>
        <v>5.5650000000000005E-2</v>
      </c>
      <c r="AK494" s="182">
        <f t="shared" si="252"/>
        <v>2.3077257367928001</v>
      </c>
      <c r="AM494" s="201">
        <f t="shared" si="237"/>
        <v>2.3649357367928001</v>
      </c>
      <c r="AN494" s="202">
        <f t="shared" si="260"/>
        <v>2.2960541133910679</v>
      </c>
      <c r="AO494" s="202">
        <f t="shared" si="260"/>
        <v>2.2291787508651146</v>
      </c>
      <c r="AP494" s="202">
        <f t="shared" si="261"/>
        <v>2.16425121443215</v>
      </c>
      <c r="AQ494" s="202">
        <f t="shared" si="261"/>
        <v>2.1012147712933498</v>
      </c>
      <c r="AR494" s="202">
        <f t="shared" si="261"/>
        <v>2.0400143410615046</v>
      </c>
      <c r="AS494" s="202">
        <f t="shared" si="261"/>
        <v>1.9805964476325288</v>
      </c>
      <c r="AT494" s="202">
        <f t="shared" si="261"/>
        <v>1.9229091724587657</v>
      </c>
      <c r="AU494" s="202">
        <f t="shared" si="261"/>
        <v>1.8669021091832678</v>
      </c>
      <c r="AV494" s="202">
        <f t="shared" si="261"/>
        <v>1.8125263195954056</v>
      </c>
      <c r="AW494" s="202">
        <f t="shared" si="261"/>
        <v>1.7597342908693259</v>
      </c>
      <c r="AX494" s="202">
        <f t="shared" si="261"/>
        <v>1.7084798940478891</v>
      </c>
      <c r="AY494" s="202">
        <f t="shared" si="261"/>
        <v>1.6587183437358151</v>
      </c>
      <c r="AZ494" s="202">
        <f t="shared" si="262"/>
        <v>1.6104061589668108</v>
      </c>
      <c r="BA494" s="202">
        <f t="shared" si="262"/>
        <v>1.5635011252104958</v>
      </c>
      <c r="BB494" s="202">
        <f t="shared" si="262"/>
        <v>1.517962257485918</v>
      </c>
      <c r="BC494" s="202">
        <f t="shared" si="262"/>
        <v>1.4737497645494353</v>
      </c>
      <c r="BD494" s="202">
        <f t="shared" si="262"/>
        <v>1.4308250141256653</v>
      </c>
      <c r="BE494" s="202">
        <f t="shared" si="262"/>
        <v>1.3891504991511314</v>
      </c>
      <c r="BF494" s="202">
        <f t="shared" si="262"/>
        <v>1.3486898050010985</v>
      </c>
      <c r="BG494" s="203">
        <f t="shared" si="238"/>
        <v>36.239800129849542</v>
      </c>
    </row>
    <row r="495" spans="27:59">
      <c r="AA495" s="180">
        <f t="shared" si="239"/>
        <v>2688000000</v>
      </c>
      <c r="AB495" s="41">
        <f t="shared" si="240"/>
        <v>3200</v>
      </c>
      <c r="AC495" s="21">
        <v>128</v>
      </c>
      <c r="AD495" s="21" t="s">
        <v>283</v>
      </c>
      <c r="AE495" s="175">
        <f t="shared" si="246"/>
        <v>30</v>
      </c>
      <c r="AF495" s="183">
        <f t="shared" si="247"/>
        <v>27</v>
      </c>
      <c r="AG495" s="84">
        <f t="shared" si="248"/>
        <v>0.39750000000000002</v>
      </c>
      <c r="AH495" s="244">
        <f t="shared" si="249"/>
        <v>0.159</v>
      </c>
      <c r="AI495" s="76">
        <f t="shared" si="250"/>
        <v>1.5600000000000002E-3</v>
      </c>
      <c r="AJ495" s="181">
        <f t="shared" si="251"/>
        <v>5.5650000000000005E-2</v>
      </c>
      <c r="AK495" s="182">
        <f t="shared" si="252"/>
        <v>2.3077257367928001</v>
      </c>
      <c r="AM495" s="201">
        <f t="shared" ref="AM495:AM544" si="263">(AI495+AJ495+AK495)</f>
        <v>2.3649357367928001</v>
      </c>
      <c r="AN495" s="202">
        <f t="shared" si="260"/>
        <v>2.2960541133910679</v>
      </c>
      <c r="AO495" s="202">
        <f t="shared" si="260"/>
        <v>2.2291787508651146</v>
      </c>
      <c r="AP495" s="202">
        <f t="shared" si="261"/>
        <v>2.16425121443215</v>
      </c>
      <c r="AQ495" s="202">
        <f t="shared" si="261"/>
        <v>2.1012147712933498</v>
      </c>
      <c r="AR495" s="202">
        <f t="shared" si="261"/>
        <v>2.0400143410615046</v>
      </c>
      <c r="AS495" s="202">
        <f t="shared" si="261"/>
        <v>1.9805964476325288</v>
      </c>
      <c r="AT495" s="202">
        <f t="shared" si="261"/>
        <v>1.9229091724587657</v>
      </c>
      <c r="AU495" s="202">
        <f t="shared" si="261"/>
        <v>1.8669021091832678</v>
      </c>
      <c r="AV495" s="202">
        <f t="shared" si="261"/>
        <v>1.8125263195954056</v>
      </c>
      <c r="AW495" s="202">
        <f t="shared" si="261"/>
        <v>1.7597342908693259</v>
      </c>
      <c r="AX495" s="202">
        <f t="shared" si="261"/>
        <v>1.7084798940478891</v>
      </c>
      <c r="AY495" s="202">
        <f t="shared" si="261"/>
        <v>1.6587183437358151</v>
      </c>
      <c r="AZ495" s="202">
        <f t="shared" si="262"/>
        <v>1.6104061589668108</v>
      </c>
      <c r="BA495" s="202">
        <f t="shared" si="262"/>
        <v>1.5635011252104958</v>
      </c>
      <c r="BB495" s="202">
        <f t="shared" si="262"/>
        <v>1.517962257485918</v>
      </c>
      <c r="BC495" s="202">
        <f t="shared" si="262"/>
        <v>1.4737497645494353</v>
      </c>
      <c r="BD495" s="202">
        <f t="shared" si="262"/>
        <v>1.4308250141256653</v>
      </c>
      <c r="BE495" s="202">
        <f t="shared" si="262"/>
        <v>1.3891504991511314</v>
      </c>
      <c r="BF495" s="202">
        <f t="shared" si="262"/>
        <v>1.3486898050010985</v>
      </c>
      <c r="BG495" s="203">
        <f t="shared" ref="BG495:BG544" si="264">SUM(AM495:BF495)</f>
        <v>36.239800129849542</v>
      </c>
    </row>
    <row r="496" spans="27:59">
      <c r="AA496" s="180">
        <f t="shared" si="239"/>
        <v>2709000000</v>
      </c>
      <c r="AB496" s="41">
        <f t="shared" si="240"/>
        <v>3225</v>
      </c>
      <c r="AC496" s="21">
        <v>129</v>
      </c>
      <c r="AD496" s="21" t="s">
        <v>283</v>
      </c>
      <c r="AE496" s="175">
        <f t="shared" si="246"/>
        <v>30</v>
      </c>
      <c r="AF496" s="183">
        <f t="shared" si="247"/>
        <v>27</v>
      </c>
      <c r="AG496" s="84">
        <f t="shared" si="248"/>
        <v>0.39750000000000002</v>
      </c>
      <c r="AH496" s="244">
        <f t="shared" si="249"/>
        <v>0.159</v>
      </c>
      <c r="AI496" s="76">
        <f t="shared" si="250"/>
        <v>1.5600000000000002E-3</v>
      </c>
      <c r="AJ496" s="181">
        <f t="shared" si="251"/>
        <v>5.5650000000000005E-2</v>
      </c>
      <c r="AK496" s="182">
        <f t="shared" si="252"/>
        <v>2.3077257367928001</v>
      </c>
      <c r="AM496" s="201">
        <f t="shared" si="263"/>
        <v>2.3649357367928001</v>
      </c>
      <c r="AN496" s="202">
        <f t="shared" si="260"/>
        <v>2.2960541133910679</v>
      </c>
      <c r="AO496" s="202">
        <f t="shared" si="260"/>
        <v>2.2291787508651146</v>
      </c>
      <c r="AP496" s="202">
        <f t="shared" si="261"/>
        <v>2.16425121443215</v>
      </c>
      <c r="AQ496" s="202">
        <f t="shared" si="261"/>
        <v>2.1012147712933498</v>
      </c>
      <c r="AR496" s="202">
        <f t="shared" si="261"/>
        <v>2.0400143410615046</v>
      </c>
      <c r="AS496" s="202">
        <f t="shared" si="261"/>
        <v>1.9805964476325288</v>
      </c>
      <c r="AT496" s="202">
        <f t="shared" si="261"/>
        <v>1.9229091724587657</v>
      </c>
      <c r="AU496" s="202">
        <f t="shared" si="261"/>
        <v>1.8669021091832678</v>
      </c>
      <c r="AV496" s="202">
        <f t="shared" si="261"/>
        <v>1.8125263195954056</v>
      </c>
      <c r="AW496" s="202">
        <f t="shared" si="261"/>
        <v>1.7597342908693259</v>
      </c>
      <c r="AX496" s="202">
        <f t="shared" si="261"/>
        <v>1.7084798940478891</v>
      </c>
      <c r="AY496" s="202">
        <f t="shared" si="261"/>
        <v>1.6587183437358151</v>
      </c>
      <c r="AZ496" s="202">
        <f t="shared" si="262"/>
        <v>1.6104061589668108</v>
      </c>
      <c r="BA496" s="202">
        <f t="shared" si="262"/>
        <v>1.5635011252104958</v>
      </c>
      <c r="BB496" s="202">
        <f t="shared" si="262"/>
        <v>1.517962257485918</v>
      </c>
      <c r="BC496" s="202">
        <f t="shared" si="262"/>
        <v>1.4737497645494353</v>
      </c>
      <c r="BD496" s="202">
        <f t="shared" si="262"/>
        <v>1.4308250141256653</v>
      </c>
      <c r="BE496" s="202">
        <f t="shared" si="262"/>
        <v>1.3891504991511314</v>
      </c>
      <c r="BF496" s="202">
        <f t="shared" si="262"/>
        <v>1.3486898050010985</v>
      </c>
      <c r="BG496" s="203">
        <f t="shared" si="264"/>
        <v>36.239800129849542</v>
      </c>
    </row>
    <row r="497" spans="27:59">
      <c r="AA497" s="180">
        <f t="shared" ref="AA497:AA544" si="265">AA315</f>
        <v>2730000000</v>
      </c>
      <c r="AB497" s="41">
        <f t="shared" ref="AB497:AB544" si="266">AB315</f>
        <v>3250</v>
      </c>
      <c r="AC497" s="21">
        <v>130</v>
      </c>
      <c r="AD497" s="21" t="s">
        <v>283</v>
      </c>
      <c r="AE497" s="175">
        <f t="shared" si="246"/>
        <v>30</v>
      </c>
      <c r="AF497" s="183">
        <f t="shared" si="247"/>
        <v>27</v>
      </c>
      <c r="AG497" s="84">
        <f t="shared" si="248"/>
        <v>0.39750000000000002</v>
      </c>
      <c r="AH497" s="244">
        <f t="shared" si="249"/>
        <v>0.159</v>
      </c>
      <c r="AI497" s="76">
        <f t="shared" si="250"/>
        <v>1.5600000000000002E-3</v>
      </c>
      <c r="AJ497" s="181">
        <f t="shared" si="251"/>
        <v>5.5650000000000005E-2</v>
      </c>
      <c r="AK497" s="182">
        <f t="shared" si="252"/>
        <v>2.3077257367928001</v>
      </c>
      <c r="AM497" s="201">
        <f t="shared" si="263"/>
        <v>2.3649357367928001</v>
      </c>
      <c r="AN497" s="202">
        <f t="shared" si="260"/>
        <v>2.2960541133910679</v>
      </c>
      <c r="AO497" s="202">
        <f t="shared" si="260"/>
        <v>2.2291787508651146</v>
      </c>
      <c r="AP497" s="202">
        <f t="shared" si="261"/>
        <v>2.16425121443215</v>
      </c>
      <c r="AQ497" s="202">
        <f t="shared" si="261"/>
        <v>2.1012147712933498</v>
      </c>
      <c r="AR497" s="202">
        <f t="shared" si="261"/>
        <v>2.0400143410615046</v>
      </c>
      <c r="AS497" s="202">
        <f t="shared" si="261"/>
        <v>1.9805964476325288</v>
      </c>
      <c r="AT497" s="202">
        <f t="shared" si="261"/>
        <v>1.9229091724587657</v>
      </c>
      <c r="AU497" s="202">
        <f t="shared" si="261"/>
        <v>1.8669021091832678</v>
      </c>
      <c r="AV497" s="202">
        <f t="shared" si="261"/>
        <v>1.8125263195954056</v>
      </c>
      <c r="AW497" s="202">
        <f t="shared" si="261"/>
        <v>1.7597342908693259</v>
      </c>
      <c r="AX497" s="202">
        <f t="shared" si="261"/>
        <v>1.7084798940478891</v>
      </c>
      <c r="AY497" s="202">
        <f t="shared" si="261"/>
        <v>1.6587183437358151</v>
      </c>
      <c r="AZ497" s="202">
        <f t="shared" si="262"/>
        <v>1.6104061589668108</v>
      </c>
      <c r="BA497" s="202">
        <f t="shared" si="262"/>
        <v>1.5635011252104958</v>
      </c>
      <c r="BB497" s="202">
        <f t="shared" si="262"/>
        <v>1.517962257485918</v>
      </c>
      <c r="BC497" s="202">
        <f t="shared" si="262"/>
        <v>1.4737497645494353</v>
      </c>
      <c r="BD497" s="202">
        <f t="shared" si="262"/>
        <v>1.4308250141256653</v>
      </c>
      <c r="BE497" s="202">
        <f t="shared" si="262"/>
        <v>1.3891504991511314</v>
      </c>
      <c r="BF497" s="202">
        <f t="shared" si="262"/>
        <v>1.3486898050010985</v>
      </c>
      <c r="BG497" s="203">
        <f t="shared" si="264"/>
        <v>36.239800129849542</v>
      </c>
    </row>
    <row r="498" spans="27:59">
      <c r="AA498" s="180">
        <f t="shared" si="265"/>
        <v>2751000000</v>
      </c>
      <c r="AB498" s="41">
        <f t="shared" si="266"/>
        <v>3275</v>
      </c>
      <c r="AC498" s="21">
        <v>131</v>
      </c>
      <c r="AD498" s="21" t="s">
        <v>283</v>
      </c>
      <c r="AE498" s="175">
        <f t="shared" si="246"/>
        <v>30</v>
      </c>
      <c r="AF498" s="183">
        <f t="shared" si="247"/>
        <v>27</v>
      </c>
      <c r="AG498" s="84">
        <f t="shared" si="248"/>
        <v>0.39750000000000002</v>
      </c>
      <c r="AH498" s="244">
        <f t="shared" si="249"/>
        <v>0.159</v>
      </c>
      <c r="AI498" s="76">
        <f t="shared" si="250"/>
        <v>1.5600000000000002E-3</v>
      </c>
      <c r="AJ498" s="181">
        <f t="shared" si="251"/>
        <v>5.5650000000000005E-2</v>
      </c>
      <c r="AK498" s="182">
        <f t="shared" si="252"/>
        <v>2.3077257367928001</v>
      </c>
      <c r="AM498" s="201">
        <f t="shared" si="263"/>
        <v>2.3649357367928001</v>
      </c>
      <c r="AN498" s="202">
        <f t="shared" si="260"/>
        <v>2.2960541133910679</v>
      </c>
      <c r="AO498" s="202">
        <f t="shared" si="260"/>
        <v>2.2291787508651146</v>
      </c>
      <c r="AP498" s="202">
        <f t="shared" ref="AP498:AY507" si="267">$AM498/POWER(1+($B$10/100),AP$366-2024)</f>
        <v>2.16425121443215</v>
      </c>
      <c r="AQ498" s="202">
        <f t="shared" si="267"/>
        <v>2.1012147712933498</v>
      </c>
      <c r="AR498" s="202">
        <f t="shared" si="267"/>
        <v>2.0400143410615046</v>
      </c>
      <c r="AS498" s="202">
        <f t="shared" si="267"/>
        <v>1.9805964476325288</v>
      </c>
      <c r="AT498" s="202">
        <f t="shared" si="267"/>
        <v>1.9229091724587657</v>
      </c>
      <c r="AU498" s="202">
        <f t="shared" si="267"/>
        <v>1.8669021091832678</v>
      </c>
      <c r="AV498" s="202">
        <f t="shared" si="267"/>
        <v>1.8125263195954056</v>
      </c>
      <c r="AW498" s="202">
        <f t="shared" si="267"/>
        <v>1.7597342908693259</v>
      </c>
      <c r="AX498" s="202">
        <f t="shared" si="267"/>
        <v>1.7084798940478891</v>
      </c>
      <c r="AY498" s="202">
        <f t="shared" si="267"/>
        <v>1.6587183437358151</v>
      </c>
      <c r="AZ498" s="202">
        <f t="shared" ref="AZ498:BF507" si="268">$AM498/POWER(1+($B$10/100),AZ$366-2024)</f>
        <v>1.6104061589668108</v>
      </c>
      <c r="BA498" s="202">
        <f t="shared" si="268"/>
        <v>1.5635011252104958</v>
      </c>
      <c r="BB498" s="202">
        <f t="shared" si="268"/>
        <v>1.517962257485918</v>
      </c>
      <c r="BC498" s="202">
        <f t="shared" si="268"/>
        <v>1.4737497645494353</v>
      </c>
      <c r="BD498" s="202">
        <f t="shared" si="268"/>
        <v>1.4308250141256653</v>
      </c>
      <c r="BE498" s="202">
        <f t="shared" si="268"/>
        <v>1.3891504991511314</v>
      </c>
      <c r="BF498" s="202">
        <f t="shared" si="268"/>
        <v>1.3486898050010985</v>
      </c>
      <c r="BG498" s="203">
        <f t="shared" si="264"/>
        <v>36.239800129849542</v>
      </c>
    </row>
    <row r="499" spans="27:59">
      <c r="AA499" s="180">
        <f t="shared" si="265"/>
        <v>2772000000</v>
      </c>
      <c r="AB499" s="41">
        <f t="shared" si="266"/>
        <v>3300</v>
      </c>
      <c r="AC499" s="21">
        <v>132</v>
      </c>
      <c r="AD499" s="21" t="s">
        <v>283</v>
      </c>
      <c r="AE499" s="175">
        <f t="shared" si="246"/>
        <v>30</v>
      </c>
      <c r="AF499" s="183">
        <f t="shared" si="247"/>
        <v>27</v>
      </c>
      <c r="AG499" s="84">
        <f t="shared" si="248"/>
        <v>0.39750000000000002</v>
      </c>
      <c r="AH499" s="244">
        <f t="shared" si="249"/>
        <v>0.159</v>
      </c>
      <c r="AI499" s="76">
        <f t="shared" si="250"/>
        <v>1.5600000000000002E-3</v>
      </c>
      <c r="AJ499" s="181">
        <f t="shared" si="251"/>
        <v>5.5650000000000005E-2</v>
      </c>
      <c r="AK499" s="182">
        <f t="shared" si="252"/>
        <v>2.3077257367928001</v>
      </c>
      <c r="AM499" s="201">
        <f t="shared" si="263"/>
        <v>2.3649357367928001</v>
      </c>
      <c r="AN499" s="202">
        <f t="shared" si="260"/>
        <v>2.2960541133910679</v>
      </c>
      <c r="AO499" s="202">
        <f t="shared" si="260"/>
        <v>2.2291787508651146</v>
      </c>
      <c r="AP499" s="202">
        <f t="shared" si="267"/>
        <v>2.16425121443215</v>
      </c>
      <c r="AQ499" s="202">
        <f t="shared" si="267"/>
        <v>2.1012147712933498</v>
      </c>
      <c r="AR499" s="202">
        <f t="shared" si="267"/>
        <v>2.0400143410615046</v>
      </c>
      <c r="AS499" s="202">
        <f t="shared" si="267"/>
        <v>1.9805964476325288</v>
      </c>
      <c r="AT499" s="202">
        <f t="shared" si="267"/>
        <v>1.9229091724587657</v>
      </c>
      <c r="AU499" s="202">
        <f t="shared" si="267"/>
        <v>1.8669021091832678</v>
      </c>
      <c r="AV499" s="202">
        <f t="shared" si="267"/>
        <v>1.8125263195954056</v>
      </c>
      <c r="AW499" s="202">
        <f t="shared" si="267"/>
        <v>1.7597342908693259</v>
      </c>
      <c r="AX499" s="202">
        <f t="shared" si="267"/>
        <v>1.7084798940478891</v>
      </c>
      <c r="AY499" s="202">
        <f t="shared" si="267"/>
        <v>1.6587183437358151</v>
      </c>
      <c r="AZ499" s="202">
        <f t="shared" si="268"/>
        <v>1.6104061589668108</v>
      </c>
      <c r="BA499" s="202">
        <f t="shared" si="268"/>
        <v>1.5635011252104958</v>
      </c>
      <c r="BB499" s="202">
        <f t="shared" si="268"/>
        <v>1.517962257485918</v>
      </c>
      <c r="BC499" s="202">
        <f t="shared" si="268"/>
        <v>1.4737497645494353</v>
      </c>
      <c r="BD499" s="202">
        <f t="shared" si="268"/>
        <v>1.4308250141256653</v>
      </c>
      <c r="BE499" s="202">
        <f t="shared" si="268"/>
        <v>1.3891504991511314</v>
      </c>
      <c r="BF499" s="202">
        <f t="shared" si="268"/>
        <v>1.3486898050010985</v>
      </c>
      <c r="BG499" s="203">
        <f t="shared" si="264"/>
        <v>36.239800129849542</v>
      </c>
    </row>
    <row r="500" spans="27:59">
      <c r="AA500" s="180">
        <f t="shared" si="265"/>
        <v>2793000000</v>
      </c>
      <c r="AB500" s="41">
        <f t="shared" si="266"/>
        <v>3325</v>
      </c>
      <c r="AC500" s="21">
        <v>133</v>
      </c>
      <c r="AD500" s="21" t="s">
        <v>283</v>
      </c>
      <c r="AE500" s="175">
        <f t="shared" si="246"/>
        <v>30</v>
      </c>
      <c r="AF500" s="183">
        <f t="shared" si="247"/>
        <v>27</v>
      </c>
      <c r="AG500" s="84">
        <f t="shared" si="248"/>
        <v>0.39750000000000002</v>
      </c>
      <c r="AH500" s="244">
        <f t="shared" si="249"/>
        <v>0.159</v>
      </c>
      <c r="AI500" s="76">
        <f t="shared" si="250"/>
        <v>1.5600000000000002E-3</v>
      </c>
      <c r="AJ500" s="181">
        <f t="shared" si="251"/>
        <v>5.5650000000000005E-2</v>
      </c>
      <c r="AK500" s="182">
        <f t="shared" si="252"/>
        <v>2.3077257367928001</v>
      </c>
      <c r="AM500" s="201">
        <f t="shared" si="263"/>
        <v>2.3649357367928001</v>
      </c>
      <c r="AN500" s="202">
        <f t="shared" si="260"/>
        <v>2.2960541133910679</v>
      </c>
      <c r="AO500" s="202">
        <f t="shared" si="260"/>
        <v>2.2291787508651146</v>
      </c>
      <c r="AP500" s="202">
        <f t="shared" si="267"/>
        <v>2.16425121443215</v>
      </c>
      <c r="AQ500" s="202">
        <f t="shared" si="267"/>
        <v>2.1012147712933498</v>
      </c>
      <c r="AR500" s="202">
        <f t="shared" si="267"/>
        <v>2.0400143410615046</v>
      </c>
      <c r="AS500" s="202">
        <f t="shared" si="267"/>
        <v>1.9805964476325288</v>
      </c>
      <c r="AT500" s="202">
        <f t="shared" si="267"/>
        <v>1.9229091724587657</v>
      </c>
      <c r="AU500" s="202">
        <f t="shared" si="267"/>
        <v>1.8669021091832678</v>
      </c>
      <c r="AV500" s="202">
        <f t="shared" si="267"/>
        <v>1.8125263195954056</v>
      </c>
      <c r="AW500" s="202">
        <f t="shared" si="267"/>
        <v>1.7597342908693259</v>
      </c>
      <c r="AX500" s="202">
        <f t="shared" si="267"/>
        <v>1.7084798940478891</v>
      </c>
      <c r="AY500" s="202">
        <f t="shared" si="267"/>
        <v>1.6587183437358151</v>
      </c>
      <c r="AZ500" s="202">
        <f t="shared" si="268"/>
        <v>1.6104061589668108</v>
      </c>
      <c r="BA500" s="202">
        <f t="shared" si="268"/>
        <v>1.5635011252104958</v>
      </c>
      <c r="BB500" s="202">
        <f t="shared" si="268"/>
        <v>1.517962257485918</v>
      </c>
      <c r="BC500" s="202">
        <f t="shared" si="268"/>
        <v>1.4737497645494353</v>
      </c>
      <c r="BD500" s="202">
        <f t="shared" si="268"/>
        <v>1.4308250141256653</v>
      </c>
      <c r="BE500" s="202">
        <f t="shared" si="268"/>
        <v>1.3891504991511314</v>
      </c>
      <c r="BF500" s="202">
        <f t="shared" si="268"/>
        <v>1.3486898050010985</v>
      </c>
      <c r="BG500" s="203">
        <f t="shared" si="264"/>
        <v>36.239800129849542</v>
      </c>
    </row>
    <row r="501" spans="27:59">
      <c r="AA501" s="180">
        <f t="shared" si="265"/>
        <v>2814000000</v>
      </c>
      <c r="AB501" s="41">
        <f t="shared" si="266"/>
        <v>3350</v>
      </c>
      <c r="AC501" s="21">
        <v>134</v>
      </c>
      <c r="AD501" s="21" t="s">
        <v>283</v>
      </c>
      <c r="AE501" s="175">
        <f t="shared" si="246"/>
        <v>30</v>
      </c>
      <c r="AF501" s="183">
        <f t="shared" si="247"/>
        <v>27</v>
      </c>
      <c r="AG501" s="84">
        <f t="shared" si="248"/>
        <v>0.39750000000000002</v>
      </c>
      <c r="AH501" s="244">
        <f t="shared" si="249"/>
        <v>0.159</v>
      </c>
      <c r="AI501" s="76">
        <f t="shared" si="250"/>
        <v>1.5600000000000002E-3</v>
      </c>
      <c r="AJ501" s="181">
        <f t="shared" si="251"/>
        <v>5.5650000000000005E-2</v>
      </c>
      <c r="AK501" s="182">
        <f t="shared" si="252"/>
        <v>2.3077257367928001</v>
      </c>
      <c r="AM501" s="201">
        <f t="shared" si="263"/>
        <v>2.3649357367928001</v>
      </c>
      <c r="AN501" s="202">
        <f t="shared" si="260"/>
        <v>2.2960541133910679</v>
      </c>
      <c r="AO501" s="202">
        <f t="shared" si="260"/>
        <v>2.2291787508651146</v>
      </c>
      <c r="AP501" s="202">
        <f t="shared" si="267"/>
        <v>2.16425121443215</v>
      </c>
      <c r="AQ501" s="202">
        <f t="shared" si="267"/>
        <v>2.1012147712933498</v>
      </c>
      <c r="AR501" s="202">
        <f t="shared" si="267"/>
        <v>2.0400143410615046</v>
      </c>
      <c r="AS501" s="202">
        <f t="shared" si="267"/>
        <v>1.9805964476325288</v>
      </c>
      <c r="AT501" s="202">
        <f t="shared" si="267"/>
        <v>1.9229091724587657</v>
      </c>
      <c r="AU501" s="202">
        <f t="shared" si="267"/>
        <v>1.8669021091832678</v>
      </c>
      <c r="AV501" s="202">
        <f t="shared" si="267"/>
        <v>1.8125263195954056</v>
      </c>
      <c r="AW501" s="202">
        <f t="shared" si="267"/>
        <v>1.7597342908693259</v>
      </c>
      <c r="AX501" s="202">
        <f t="shared" si="267"/>
        <v>1.7084798940478891</v>
      </c>
      <c r="AY501" s="202">
        <f t="shared" si="267"/>
        <v>1.6587183437358151</v>
      </c>
      <c r="AZ501" s="202">
        <f t="shared" si="268"/>
        <v>1.6104061589668108</v>
      </c>
      <c r="BA501" s="202">
        <f t="shared" si="268"/>
        <v>1.5635011252104958</v>
      </c>
      <c r="BB501" s="202">
        <f t="shared" si="268"/>
        <v>1.517962257485918</v>
      </c>
      <c r="BC501" s="202">
        <f t="shared" si="268"/>
        <v>1.4737497645494353</v>
      </c>
      <c r="BD501" s="202">
        <f t="shared" si="268"/>
        <v>1.4308250141256653</v>
      </c>
      <c r="BE501" s="202">
        <f t="shared" si="268"/>
        <v>1.3891504991511314</v>
      </c>
      <c r="BF501" s="202">
        <f t="shared" si="268"/>
        <v>1.3486898050010985</v>
      </c>
      <c r="BG501" s="203">
        <f t="shared" si="264"/>
        <v>36.239800129849542</v>
      </c>
    </row>
    <row r="502" spans="27:59">
      <c r="AA502" s="180">
        <f t="shared" si="265"/>
        <v>2835000000</v>
      </c>
      <c r="AB502" s="41">
        <f t="shared" si="266"/>
        <v>3375</v>
      </c>
      <c r="AC502" s="21">
        <v>135</v>
      </c>
      <c r="AD502" s="21" t="s">
        <v>283</v>
      </c>
      <c r="AE502" s="175">
        <f t="shared" si="246"/>
        <v>30</v>
      </c>
      <c r="AF502" s="183">
        <f t="shared" si="247"/>
        <v>27</v>
      </c>
      <c r="AG502" s="84">
        <f t="shared" si="248"/>
        <v>0.39750000000000002</v>
      </c>
      <c r="AH502" s="244">
        <f t="shared" si="249"/>
        <v>0.159</v>
      </c>
      <c r="AI502" s="76">
        <f t="shared" si="250"/>
        <v>1.5600000000000002E-3</v>
      </c>
      <c r="AJ502" s="181">
        <f t="shared" si="251"/>
        <v>5.5650000000000005E-2</v>
      </c>
      <c r="AK502" s="182">
        <f t="shared" si="252"/>
        <v>2.3077257367928001</v>
      </c>
      <c r="AM502" s="201">
        <f t="shared" si="263"/>
        <v>2.3649357367928001</v>
      </c>
      <c r="AN502" s="202">
        <f t="shared" si="260"/>
        <v>2.2960541133910679</v>
      </c>
      <c r="AO502" s="202">
        <f t="shared" si="260"/>
        <v>2.2291787508651146</v>
      </c>
      <c r="AP502" s="202">
        <f t="shared" si="267"/>
        <v>2.16425121443215</v>
      </c>
      <c r="AQ502" s="202">
        <f t="shared" si="267"/>
        <v>2.1012147712933498</v>
      </c>
      <c r="AR502" s="202">
        <f t="shared" si="267"/>
        <v>2.0400143410615046</v>
      </c>
      <c r="AS502" s="202">
        <f t="shared" si="267"/>
        <v>1.9805964476325288</v>
      </c>
      <c r="AT502" s="202">
        <f t="shared" si="267"/>
        <v>1.9229091724587657</v>
      </c>
      <c r="AU502" s="202">
        <f t="shared" si="267"/>
        <v>1.8669021091832678</v>
      </c>
      <c r="AV502" s="202">
        <f t="shared" si="267"/>
        <v>1.8125263195954056</v>
      </c>
      <c r="AW502" s="202">
        <f t="shared" si="267"/>
        <v>1.7597342908693259</v>
      </c>
      <c r="AX502" s="202">
        <f t="shared" si="267"/>
        <v>1.7084798940478891</v>
      </c>
      <c r="AY502" s="202">
        <f t="shared" si="267"/>
        <v>1.6587183437358151</v>
      </c>
      <c r="AZ502" s="202">
        <f t="shared" si="268"/>
        <v>1.6104061589668108</v>
      </c>
      <c r="BA502" s="202">
        <f t="shared" si="268"/>
        <v>1.5635011252104958</v>
      </c>
      <c r="BB502" s="202">
        <f t="shared" si="268"/>
        <v>1.517962257485918</v>
      </c>
      <c r="BC502" s="202">
        <f t="shared" si="268"/>
        <v>1.4737497645494353</v>
      </c>
      <c r="BD502" s="202">
        <f t="shared" si="268"/>
        <v>1.4308250141256653</v>
      </c>
      <c r="BE502" s="202">
        <f t="shared" si="268"/>
        <v>1.3891504991511314</v>
      </c>
      <c r="BF502" s="202">
        <f t="shared" si="268"/>
        <v>1.3486898050010985</v>
      </c>
      <c r="BG502" s="203">
        <f t="shared" si="264"/>
        <v>36.239800129849542</v>
      </c>
    </row>
    <row r="503" spans="27:59">
      <c r="AA503" s="180">
        <f t="shared" si="265"/>
        <v>2856000000</v>
      </c>
      <c r="AB503" s="41">
        <f t="shared" si="266"/>
        <v>3400</v>
      </c>
      <c r="AC503" s="21">
        <v>136</v>
      </c>
      <c r="AD503" s="21" t="s">
        <v>283</v>
      </c>
      <c r="AE503" s="175">
        <f t="shared" si="246"/>
        <v>30</v>
      </c>
      <c r="AF503" s="183">
        <f t="shared" si="247"/>
        <v>27</v>
      </c>
      <c r="AG503" s="84">
        <f t="shared" si="248"/>
        <v>0.39750000000000002</v>
      </c>
      <c r="AH503" s="244">
        <f t="shared" si="249"/>
        <v>0.159</v>
      </c>
      <c r="AI503" s="76">
        <f t="shared" si="250"/>
        <v>1.5600000000000002E-3</v>
      </c>
      <c r="AJ503" s="181">
        <f t="shared" si="251"/>
        <v>5.5650000000000005E-2</v>
      </c>
      <c r="AK503" s="182">
        <f t="shared" si="252"/>
        <v>2.3077257367928001</v>
      </c>
      <c r="AM503" s="201">
        <f t="shared" si="263"/>
        <v>2.3649357367928001</v>
      </c>
      <c r="AN503" s="202">
        <f t="shared" si="260"/>
        <v>2.2960541133910679</v>
      </c>
      <c r="AO503" s="202">
        <f t="shared" si="260"/>
        <v>2.2291787508651146</v>
      </c>
      <c r="AP503" s="202">
        <f t="shared" si="267"/>
        <v>2.16425121443215</v>
      </c>
      <c r="AQ503" s="202">
        <f t="shared" si="267"/>
        <v>2.1012147712933498</v>
      </c>
      <c r="AR503" s="202">
        <f t="shared" si="267"/>
        <v>2.0400143410615046</v>
      </c>
      <c r="AS503" s="202">
        <f t="shared" si="267"/>
        <v>1.9805964476325288</v>
      </c>
      <c r="AT503" s="202">
        <f t="shared" si="267"/>
        <v>1.9229091724587657</v>
      </c>
      <c r="AU503" s="202">
        <f t="shared" si="267"/>
        <v>1.8669021091832678</v>
      </c>
      <c r="AV503" s="202">
        <f t="shared" si="267"/>
        <v>1.8125263195954056</v>
      </c>
      <c r="AW503" s="202">
        <f t="shared" si="267"/>
        <v>1.7597342908693259</v>
      </c>
      <c r="AX503" s="202">
        <f t="shared" si="267"/>
        <v>1.7084798940478891</v>
      </c>
      <c r="AY503" s="202">
        <f t="shared" si="267"/>
        <v>1.6587183437358151</v>
      </c>
      <c r="AZ503" s="202">
        <f t="shared" si="268"/>
        <v>1.6104061589668108</v>
      </c>
      <c r="BA503" s="202">
        <f t="shared" si="268"/>
        <v>1.5635011252104958</v>
      </c>
      <c r="BB503" s="202">
        <f t="shared" si="268"/>
        <v>1.517962257485918</v>
      </c>
      <c r="BC503" s="202">
        <f t="shared" si="268"/>
        <v>1.4737497645494353</v>
      </c>
      <c r="BD503" s="202">
        <f t="shared" si="268"/>
        <v>1.4308250141256653</v>
      </c>
      <c r="BE503" s="202">
        <f t="shared" si="268"/>
        <v>1.3891504991511314</v>
      </c>
      <c r="BF503" s="202">
        <f t="shared" si="268"/>
        <v>1.3486898050010985</v>
      </c>
      <c r="BG503" s="203">
        <f t="shared" si="264"/>
        <v>36.239800129849542</v>
      </c>
    </row>
    <row r="504" spans="27:59">
      <c r="AA504" s="180">
        <f t="shared" si="265"/>
        <v>2877000000</v>
      </c>
      <c r="AB504" s="41">
        <f t="shared" si="266"/>
        <v>3425</v>
      </c>
      <c r="AC504" s="21">
        <v>137</v>
      </c>
      <c r="AD504" s="21" t="s">
        <v>283</v>
      </c>
      <c r="AE504" s="175">
        <f t="shared" si="246"/>
        <v>30</v>
      </c>
      <c r="AF504" s="183">
        <f t="shared" si="247"/>
        <v>27</v>
      </c>
      <c r="AG504" s="84">
        <f t="shared" si="248"/>
        <v>0.39750000000000002</v>
      </c>
      <c r="AH504" s="244">
        <f t="shared" si="249"/>
        <v>0.159</v>
      </c>
      <c r="AI504" s="76">
        <f t="shared" si="250"/>
        <v>1.5600000000000002E-3</v>
      </c>
      <c r="AJ504" s="181">
        <f t="shared" si="251"/>
        <v>5.5650000000000005E-2</v>
      </c>
      <c r="AK504" s="182">
        <f t="shared" si="252"/>
        <v>2.3077257367928001</v>
      </c>
      <c r="AM504" s="201">
        <f t="shared" si="263"/>
        <v>2.3649357367928001</v>
      </c>
      <c r="AN504" s="202">
        <f t="shared" si="260"/>
        <v>2.2960541133910679</v>
      </c>
      <c r="AO504" s="202">
        <f t="shared" si="260"/>
        <v>2.2291787508651146</v>
      </c>
      <c r="AP504" s="202">
        <f t="shared" si="267"/>
        <v>2.16425121443215</v>
      </c>
      <c r="AQ504" s="202">
        <f t="shared" si="267"/>
        <v>2.1012147712933498</v>
      </c>
      <c r="AR504" s="202">
        <f t="shared" si="267"/>
        <v>2.0400143410615046</v>
      </c>
      <c r="AS504" s="202">
        <f t="shared" si="267"/>
        <v>1.9805964476325288</v>
      </c>
      <c r="AT504" s="202">
        <f t="shared" si="267"/>
        <v>1.9229091724587657</v>
      </c>
      <c r="AU504" s="202">
        <f t="shared" si="267"/>
        <v>1.8669021091832678</v>
      </c>
      <c r="AV504" s="202">
        <f t="shared" si="267"/>
        <v>1.8125263195954056</v>
      </c>
      <c r="AW504" s="202">
        <f t="shared" si="267"/>
        <v>1.7597342908693259</v>
      </c>
      <c r="AX504" s="202">
        <f t="shared" si="267"/>
        <v>1.7084798940478891</v>
      </c>
      <c r="AY504" s="202">
        <f t="shared" si="267"/>
        <v>1.6587183437358151</v>
      </c>
      <c r="AZ504" s="202">
        <f t="shared" si="268"/>
        <v>1.6104061589668108</v>
      </c>
      <c r="BA504" s="202">
        <f t="shared" si="268"/>
        <v>1.5635011252104958</v>
      </c>
      <c r="BB504" s="202">
        <f t="shared" si="268"/>
        <v>1.517962257485918</v>
      </c>
      <c r="BC504" s="202">
        <f t="shared" si="268"/>
        <v>1.4737497645494353</v>
      </c>
      <c r="BD504" s="202">
        <f t="shared" si="268"/>
        <v>1.4308250141256653</v>
      </c>
      <c r="BE504" s="202">
        <f t="shared" si="268"/>
        <v>1.3891504991511314</v>
      </c>
      <c r="BF504" s="202">
        <f t="shared" si="268"/>
        <v>1.3486898050010985</v>
      </c>
      <c r="BG504" s="203">
        <f t="shared" si="264"/>
        <v>36.239800129849542</v>
      </c>
    </row>
    <row r="505" spans="27:59">
      <c r="AA505" s="180">
        <f t="shared" si="265"/>
        <v>2898000000</v>
      </c>
      <c r="AB505" s="41">
        <f t="shared" si="266"/>
        <v>3450</v>
      </c>
      <c r="AC505" s="21">
        <v>138</v>
      </c>
      <c r="AD505" s="21" t="s">
        <v>283</v>
      </c>
      <c r="AE505" s="175">
        <f t="shared" si="246"/>
        <v>30</v>
      </c>
      <c r="AF505" s="183">
        <f t="shared" si="247"/>
        <v>27</v>
      </c>
      <c r="AG505" s="84">
        <f t="shared" si="248"/>
        <v>0.39750000000000002</v>
      </c>
      <c r="AH505" s="244">
        <f t="shared" si="249"/>
        <v>0.159</v>
      </c>
      <c r="AI505" s="76">
        <f t="shared" si="250"/>
        <v>1.5600000000000002E-3</v>
      </c>
      <c r="AJ505" s="181">
        <f t="shared" si="251"/>
        <v>5.5650000000000005E-2</v>
      </c>
      <c r="AK505" s="182">
        <f t="shared" si="252"/>
        <v>2.3077257367928001</v>
      </c>
      <c r="AM505" s="201">
        <f t="shared" si="263"/>
        <v>2.3649357367928001</v>
      </c>
      <c r="AN505" s="202">
        <f t="shared" si="260"/>
        <v>2.2960541133910679</v>
      </c>
      <c r="AO505" s="202">
        <f t="shared" si="260"/>
        <v>2.2291787508651146</v>
      </c>
      <c r="AP505" s="202">
        <f t="shared" si="267"/>
        <v>2.16425121443215</v>
      </c>
      <c r="AQ505" s="202">
        <f t="shared" si="267"/>
        <v>2.1012147712933498</v>
      </c>
      <c r="AR505" s="202">
        <f t="shared" si="267"/>
        <v>2.0400143410615046</v>
      </c>
      <c r="AS505" s="202">
        <f t="shared" si="267"/>
        <v>1.9805964476325288</v>
      </c>
      <c r="AT505" s="202">
        <f t="shared" si="267"/>
        <v>1.9229091724587657</v>
      </c>
      <c r="AU505" s="202">
        <f t="shared" si="267"/>
        <v>1.8669021091832678</v>
      </c>
      <c r="AV505" s="202">
        <f t="shared" si="267"/>
        <v>1.8125263195954056</v>
      </c>
      <c r="AW505" s="202">
        <f t="shared" si="267"/>
        <v>1.7597342908693259</v>
      </c>
      <c r="AX505" s="202">
        <f t="shared" si="267"/>
        <v>1.7084798940478891</v>
      </c>
      <c r="AY505" s="202">
        <f t="shared" si="267"/>
        <v>1.6587183437358151</v>
      </c>
      <c r="AZ505" s="202">
        <f t="shared" si="268"/>
        <v>1.6104061589668108</v>
      </c>
      <c r="BA505" s="202">
        <f t="shared" si="268"/>
        <v>1.5635011252104958</v>
      </c>
      <c r="BB505" s="202">
        <f t="shared" si="268"/>
        <v>1.517962257485918</v>
      </c>
      <c r="BC505" s="202">
        <f t="shared" si="268"/>
        <v>1.4737497645494353</v>
      </c>
      <c r="BD505" s="202">
        <f t="shared" si="268"/>
        <v>1.4308250141256653</v>
      </c>
      <c r="BE505" s="202">
        <f t="shared" si="268"/>
        <v>1.3891504991511314</v>
      </c>
      <c r="BF505" s="202">
        <f t="shared" si="268"/>
        <v>1.3486898050010985</v>
      </c>
      <c r="BG505" s="203">
        <f t="shared" si="264"/>
        <v>36.239800129849542</v>
      </c>
    </row>
    <row r="506" spans="27:59">
      <c r="AA506" s="180">
        <f t="shared" si="265"/>
        <v>2919000000</v>
      </c>
      <c r="AB506" s="41">
        <f t="shared" si="266"/>
        <v>3475</v>
      </c>
      <c r="AC506" s="21">
        <v>139</v>
      </c>
      <c r="AD506" s="21" t="s">
        <v>283</v>
      </c>
      <c r="AE506" s="175">
        <f t="shared" si="246"/>
        <v>30</v>
      </c>
      <c r="AF506" s="183">
        <f t="shared" si="247"/>
        <v>27</v>
      </c>
      <c r="AG506" s="84">
        <f t="shared" si="248"/>
        <v>0.39750000000000002</v>
      </c>
      <c r="AH506" s="244">
        <f t="shared" si="249"/>
        <v>0.159</v>
      </c>
      <c r="AI506" s="76">
        <f t="shared" si="250"/>
        <v>1.5600000000000002E-3</v>
      </c>
      <c r="AJ506" s="181">
        <f t="shared" si="251"/>
        <v>5.5650000000000005E-2</v>
      </c>
      <c r="AK506" s="182">
        <f t="shared" si="252"/>
        <v>2.3077257367928001</v>
      </c>
      <c r="AM506" s="201">
        <f t="shared" si="263"/>
        <v>2.3649357367928001</v>
      </c>
      <c r="AN506" s="202">
        <f t="shared" si="260"/>
        <v>2.2960541133910679</v>
      </c>
      <c r="AO506" s="202">
        <f t="shared" si="260"/>
        <v>2.2291787508651146</v>
      </c>
      <c r="AP506" s="202">
        <f t="shared" si="267"/>
        <v>2.16425121443215</v>
      </c>
      <c r="AQ506" s="202">
        <f t="shared" si="267"/>
        <v>2.1012147712933498</v>
      </c>
      <c r="AR506" s="202">
        <f t="shared" si="267"/>
        <v>2.0400143410615046</v>
      </c>
      <c r="AS506" s="202">
        <f t="shared" si="267"/>
        <v>1.9805964476325288</v>
      </c>
      <c r="AT506" s="202">
        <f t="shared" si="267"/>
        <v>1.9229091724587657</v>
      </c>
      <c r="AU506" s="202">
        <f t="shared" si="267"/>
        <v>1.8669021091832678</v>
      </c>
      <c r="AV506" s="202">
        <f t="shared" si="267"/>
        <v>1.8125263195954056</v>
      </c>
      <c r="AW506" s="202">
        <f t="shared" si="267"/>
        <v>1.7597342908693259</v>
      </c>
      <c r="AX506" s="202">
        <f t="shared" si="267"/>
        <v>1.7084798940478891</v>
      </c>
      <c r="AY506" s="202">
        <f t="shared" si="267"/>
        <v>1.6587183437358151</v>
      </c>
      <c r="AZ506" s="202">
        <f t="shared" si="268"/>
        <v>1.6104061589668108</v>
      </c>
      <c r="BA506" s="202">
        <f t="shared" si="268"/>
        <v>1.5635011252104958</v>
      </c>
      <c r="BB506" s="202">
        <f t="shared" si="268"/>
        <v>1.517962257485918</v>
      </c>
      <c r="BC506" s="202">
        <f t="shared" si="268"/>
        <v>1.4737497645494353</v>
      </c>
      <c r="BD506" s="202">
        <f t="shared" si="268"/>
        <v>1.4308250141256653</v>
      </c>
      <c r="BE506" s="202">
        <f t="shared" si="268"/>
        <v>1.3891504991511314</v>
      </c>
      <c r="BF506" s="202">
        <f t="shared" si="268"/>
        <v>1.3486898050010985</v>
      </c>
      <c r="BG506" s="203">
        <f t="shared" si="264"/>
        <v>36.239800129849542</v>
      </c>
    </row>
    <row r="507" spans="27:59">
      <c r="AA507" s="180">
        <f t="shared" si="265"/>
        <v>2940000000</v>
      </c>
      <c r="AB507" s="41">
        <f t="shared" si="266"/>
        <v>3500</v>
      </c>
      <c r="AC507" s="21">
        <v>140</v>
      </c>
      <c r="AD507" s="21" t="s">
        <v>283</v>
      </c>
      <c r="AE507" s="175">
        <f t="shared" si="246"/>
        <v>30</v>
      </c>
      <c r="AF507" s="183">
        <f t="shared" si="247"/>
        <v>27</v>
      </c>
      <c r="AG507" s="84">
        <f t="shared" si="248"/>
        <v>0.39750000000000002</v>
      </c>
      <c r="AH507" s="244">
        <f t="shared" si="249"/>
        <v>0.159</v>
      </c>
      <c r="AI507" s="76">
        <f t="shared" si="250"/>
        <v>1.5600000000000002E-3</v>
      </c>
      <c r="AJ507" s="181">
        <f t="shared" si="251"/>
        <v>5.5650000000000005E-2</v>
      </c>
      <c r="AK507" s="182">
        <f t="shared" si="252"/>
        <v>2.3077257367928001</v>
      </c>
      <c r="AM507" s="201">
        <f t="shared" si="263"/>
        <v>2.3649357367928001</v>
      </c>
      <c r="AN507" s="202">
        <f t="shared" ref="AN507:AO526" si="269">$AM507/POWER(1+($B$10/100),AN$366-2024)</f>
        <v>2.2960541133910679</v>
      </c>
      <c r="AO507" s="202">
        <f t="shared" si="269"/>
        <v>2.2291787508651146</v>
      </c>
      <c r="AP507" s="202">
        <f t="shared" si="267"/>
        <v>2.16425121443215</v>
      </c>
      <c r="AQ507" s="202">
        <f t="shared" si="267"/>
        <v>2.1012147712933498</v>
      </c>
      <c r="AR507" s="202">
        <f t="shared" si="267"/>
        <v>2.0400143410615046</v>
      </c>
      <c r="AS507" s="202">
        <f t="shared" si="267"/>
        <v>1.9805964476325288</v>
      </c>
      <c r="AT507" s="202">
        <f t="shared" si="267"/>
        <v>1.9229091724587657</v>
      </c>
      <c r="AU507" s="202">
        <f t="shared" si="267"/>
        <v>1.8669021091832678</v>
      </c>
      <c r="AV507" s="202">
        <f t="shared" si="267"/>
        <v>1.8125263195954056</v>
      </c>
      <c r="AW507" s="202">
        <f t="shared" si="267"/>
        <v>1.7597342908693259</v>
      </c>
      <c r="AX507" s="202">
        <f t="shared" si="267"/>
        <v>1.7084798940478891</v>
      </c>
      <c r="AY507" s="202">
        <f t="shared" si="267"/>
        <v>1.6587183437358151</v>
      </c>
      <c r="AZ507" s="202">
        <f t="shared" si="268"/>
        <v>1.6104061589668108</v>
      </c>
      <c r="BA507" s="202">
        <f t="shared" si="268"/>
        <v>1.5635011252104958</v>
      </c>
      <c r="BB507" s="202">
        <f t="shared" si="268"/>
        <v>1.517962257485918</v>
      </c>
      <c r="BC507" s="202">
        <f t="shared" si="268"/>
        <v>1.4737497645494353</v>
      </c>
      <c r="BD507" s="202">
        <f t="shared" si="268"/>
        <v>1.4308250141256653</v>
      </c>
      <c r="BE507" s="202">
        <f t="shared" si="268"/>
        <v>1.3891504991511314</v>
      </c>
      <c r="BF507" s="202">
        <f t="shared" si="268"/>
        <v>1.3486898050010985</v>
      </c>
      <c r="BG507" s="203">
        <f t="shared" si="264"/>
        <v>36.239800129849542</v>
      </c>
    </row>
    <row r="508" spans="27:59">
      <c r="AA508" s="180">
        <f t="shared" si="265"/>
        <v>2961000000</v>
      </c>
      <c r="AB508" s="41">
        <f t="shared" si="266"/>
        <v>3525</v>
      </c>
      <c r="AC508" s="21">
        <v>141</v>
      </c>
      <c r="AD508" s="21" t="s">
        <v>283</v>
      </c>
      <c r="AE508" s="175">
        <f t="shared" si="246"/>
        <v>30</v>
      </c>
      <c r="AF508" s="183">
        <f t="shared" si="247"/>
        <v>27</v>
      </c>
      <c r="AG508" s="84">
        <f t="shared" si="248"/>
        <v>0.39750000000000002</v>
      </c>
      <c r="AH508" s="244">
        <f t="shared" si="249"/>
        <v>0.159</v>
      </c>
      <c r="AI508" s="76">
        <f t="shared" si="250"/>
        <v>1.5600000000000002E-3</v>
      </c>
      <c r="AJ508" s="181">
        <f t="shared" si="251"/>
        <v>5.5650000000000005E-2</v>
      </c>
      <c r="AK508" s="182">
        <f t="shared" si="252"/>
        <v>2.3077257367928001</v>
      </c>
      <c r="AM508" s="201">
        <f t="shared" si="263"/>
        <v>2.3649357367928001</v>
      </c>
      <c r="AN508" s="202">
        <f t="shared" si="269"/>
        <v>2.2960541133910679</v>
      </c>
      <c r="AO508" s="202">
        <f t="shared" si="269"/>
        <v>2.2291787508651146</v>
      </c>
      <c r="AP508" s="202">
        <f t="shared" ref="AP508:AY517" si="270">$AM508/POWER(1+($B$10/100),AP$366-2024)</f>
        <v>2.16425121443215</v>
      </c>
      <c r="AQ508" s="202">
        <f t="shared" si="270"/>
        <v>2.1012147712933498</v>
      </c>
      <c r="AR508" s="202">
        <f t="shared" si="270"/>
        <v>2.0400143410615046</v>
      </c>
      <c r="AS508" s="202">
        <f t="shared" si="270"/>
        <v>1.9805964476325288</v>
      </c>
      <c r="AT508" s="202">
        <f t="shared" si="270"/>
        <v>1.9229091724587657</v>
      </c>
      <c r="AU508" s="202">
        <f t="shared" si="270"/>
        <v>1.8669021091832678</v>
      </c>
      <c r="AV508" s="202">
        <f t="shared" si="270"/>
        <v>1.8125263195954056</v>
      </c>
      <c r="AW508" s="202">
        <f t="shared" si="270"/>
        <v>1.7597342908693259</v>
      </c>
      <c r="AX508" s="202">
        <f t="shared" si="270"/>
        <v>1.7084798940478891</v>
      </c>
      <c r="AY508" s="202">
        <f t="shared" si="270"/>
        <v>1.6587183437358151</v>
      </c>
      <c r="AZ508" s="202">
        <f t="shared" ref="AZ508:BF517" si="271">$AM508/POWER(1+($B$10/100),AZ$366-2024)</f>
        <v>1.6104061589668108</v>
      </c>
      <c r="BA508" s="202">
        <f t="shared" si="271"/>
        <v>1.5635011252104958</v>
      </c>
      <c r="BB508" s="202">
        <f t="shared" si="271"/>
        <v>1.517962257485918</v>
      </c>
      <c r="BC508" s="202">
        <f t="shared" si="271"/>
        <v>1.4737497645494353</v>
      </c>
      <c r="BD508" s="202">
        <f t="shared" si="271"/>
        <v>1.4308250141256653</v>
      </c>
      <c r="BE508" s="202">
        <f t="shared" si="271"/>
        <v>1.3891504991511314</v>
      </c>
      <c r="BF508" s="202">
        <f t="shared" si="271"/>
        <v>1.3486898050010985</v>
      </c>
      <c r="BG508" s="203">
        <f t="shared" si="264"/>
        <v>36.239800129849542</v>
      </c>
    </row>
    <row r="509" spans="27:59">
      <c r="AA509" s="180">
        <f t="shared" si="265"/>
        <v>2982000000</v>
      </c>
      <c r="AB509" s="41">
        <f t="shared" si="266"/>
        <v>3550</v>
      </c>
      <c r="AC509" s="21">
        <v>142</v>
      </c>
      <c r="AD509" s="21" t="s">
        <v>283</v>
      </c>
      <c r="AE509" s="175">
        <f t="shared" si="246"/>
        <v>30</v>
      </c>
      <c r="AF509" s="183">
        <f t="shared" si="247"/>
        <v>27</v>
      </c>
      <c r="AG509" s="84">
        <f t="shared" si="248"/>
        <v>0.39750000000000002</v>
      </c>
      <c r="AH509" s="244">
        <f t="shared" si="249"/>
        <v>0.159</v>
      </c>
      <c r="AI509" s="76">
        <f t="shared" si="250"/>
        <v>1.5600000000000002E-3</v>
      </c>
      <c r="AJ509" s="181">
        <f t="shared" si="251"/>
        <v>5.5650000000000005E-2</v>
      </c>
      <c r="AK509" s="182">
        <f t="shared" si="252"/>
        <v>2.3077257367928001</v>
      </c>
      <c r="AM509" s="201">
        <f t="shared" si="263"/>
        <v>2.3649357367928001</v>
      </c>
      <c r="AN509" s="202">
        <f t="shared" si="269"/>
        <v>2.2960541133910679</v>
      </c>
      <c r="AO509" s="202">
        <f t="shared" si="269"/>
        <v>2.2291787508651146</v>
      </c>
      <c r="AP509" s="202">
        <f t="shared" si="270"/>
        <v>2.16425121443215</v>
      </c>
      <c r="AQ509" s="202">
        <f t="shared" si="270"/>
        <v>2.1012147712933498</v>
      </c>
      <c r="AR509" s="202">
        <f t="shared" si="270"/>
        <v>2.0400143410615046</v>
      </c>
      <c r="AS509" s="202">
        <f t="shared" si="270"/>
        <v>1.9805964476325288</v>
      </c>
      <c r="AT509" s="202">
        <f t="shared" si="270"/>
        <v>1.9229091724587657</v>
      </c>
      <c r="AU509" s="202">
        <f t="shared" si="270"/>
        <v>1.8669021091832678</v>
      </c>
      <c r="AV509" s="202">
        <f t="shared" si="270"/>
        <v>1.8125263195954056</v>
      </c>
      <c r="AW509" s="202">
        <f t="shared" si="270"/>
        <v>1.7597342908693259</v>
      </c>
      <c r="AX509" s="202">
        <f t="shared" si="270"/>
        <v>1.7084798940478891</v>
      </c>
      <c r="AY509" s="202">
        <f t="shared" si="270"/>
        <v>1.6587183437358151</v>
      </c>
      <c r="AZ509" s="202">
        <f t="shared" si="271"/>
        <v>1.6104061589668108</v>
      </c>
      <c r="BA509" s="202">
        <f t="shared" si="271"/>
        <v>1.5635011252104958</v>
      </c>
      <c r="BB509" s="202">
        <f t="shared" si="271"/>
        <v>1.517962257485918</v>
      </c>
      <c r="BC509" s="202">
        <f t="shared" si="271"/>
        <v>1.4737497645494353</v>
      </c>
      <c r="BD509" s="202">
        <f t="shared" si="271"/>
        <v>1.4308250141256653</v>
      </c>
      <c r="BE509" s="202">
        <f t="shared" si="271"/>
        <v>1.3891504991511314</v>
      </c>
      <c r="BF509" s="202">
        <f t="shared" si="271"/>
        <v>1.3486898050010985</v>
      </c>
      <c r="BG509" s="203">
        <f t="shared" si="264"/>
        <v>36.239800129849542</v>
      </c>
    </row>
    <row r="510" spans="27:59">
      <c r="AA510" s="180">
        <f t="shared" si="265"/>
        <v>3003000000</v>
      </c>
      <c r="AB510" s="41">
        <f t="shared" si="266"/>
        <v>3575</v>
      </c>
      <c r="AC510" s="21">
        <v>143</v>
      </c>
      <c r="AD510" s="21" t="s">
        <v>283</v>
      </c>
      <c r="AE510" s="175">
        <f t="shared" si="246"/>
        <v>30</v>
      </c>
      <c r="AF510" s="183">
        <f t="shared" si="247"/>
        <v>27</v>
      </c>
      <c r="AG510" s="84">
        <f t="shared" si="248"/>
        <v>0.39750000000000002</v>
      </c>
      <c r="AH510" s="244">
        <f t="shared" si="249"/>
        <v>0.159</v>
      </c>
      <c r="AI510" s="76">
        <f t="shared" si="250"/>
        <v>1.5600000000000002E-3</v>
      </c>
      <c r="AJ510" s="181">
        <f t="shared" si="251"/>
        <v>5.5650000000000005E-2</v>
      </c>
      <c r="AK510" s="182">
        <f t="shared" si="252"/>
        <v>2.3077257367928001</v>
      </c>
      <c r="AM510" s="201">
        <f t="shared" si="263"/>
        <v>2.3649357367928001</v>
      </c>
      <c r="AN510" s="202">
        <f t="shared" si="269"/>
        <v>2.2960541133910679</v>
      </c>
      <c r="AO510" s="202">
        <f t="shared" si="269"/>
        <v>2.2291787508651146</v>
      </c>
      <c r="AP510" s="202">
        <f t="shared" si="270"/>
        <v>2.16425121443215</v>
      </c>
      <c r="AQ510" s="202">
        <f t="shared" si="270"/>
        <v>2.1012147712933498</v>
      </c>
      <c r="AR510" s="202">
        <f t="shared" si="270"/>
        <v>2.0400143410615046</v>
      </c>
      <c r="AS510" s="202">
        <f t="shared" si="270"/>
        <v>1.9805964476325288</v>
      </c>
      <c r="AT510" s="202">
        <f t="shared" si="270"/>
        <v>1.9229091724587657</v>
      </c>
      <c r="AU510" s="202">
        <f t="shared" si="270"/>
        <v>1.8669021091832678</v>
      </c>
      <c r="AV510" s="202">
        <f t="shared" si="270"/>
        <v>1.8125263195954056</v>
      </c>
      <c r="AW510" s="202">
        <f t="shared" si="270"/>
        <v>1.7597342908693259</v>
      </c>
      <c r="AX510" s="202">
        <f t="shared" si="270"/>
        <v>1.7084798940478891</v>
      </c>
      <c r="AY510" s="202">
        <f t="shared" si="270"/>
        <v>1.6587183437358151</v>
      </c>
      <c r="AZ510" s="202">
        <f t="shared" si="271"/>
        <v>1.6104061589668108</v>
      </c>
      <c r="BA510" s="202">
        <f t="shared" si="271"/>
        <v>1.5635011252104958</v>
      </c>
      <c r="BB510" s="202">
        <f t="shared" si="271"/>
        <v>1.517962257485918</v>
      </c>
      <c r="BC510" s="202">
        <f t="shared" si="271"/>
        <v>1.4737497645494353</v>
      </c>
      <c r="BD510" s="202">
        <f t="shared" si="271"/>
        <v>1.4308250141256653</v>
      </c>
      <c r="BE510" s="202">
        <f t="shared" si="271"/>
        <v>1.3891504991511314</v>
      </c>
      <c r="BF510" s="202">
        <f t="shared" si="271"/>
        <v>1.3486898050010985</v>
      </c>
      <c r="BG510" s="203">
        <f t="shared" si="264"/>
        <v>36.239800129849542</v>
      </c>
    </row>
    <row r="511" spans="27:59">
      <c r="AA511" s="180">
        <f t="shared" si="265"/>
        <v>3024000000</v>
      </c>
      <c r="AB511" s="41">
        <f t="shared" si="266"/>
        <v>3600</v>
      </c>
      <c r="AC511" s="21">
        <v>144</v>
      </c>
      <c r="AD511" s="21" t="s">
        <v>283</v>
      </c>
      <c r="AE511" s="175">
        <f t="shared" si="246"/>
        <v>30</v>
      </c>
      <c r="AF511" s="183">
        <f t="shared" si="247"/>
        <v>27</v>
      </c>
      <c r="AG511" s="84">
        <f t="shared" si="248"/>
        <v>0.39750000000000002</v>
      </c>
      <c r="AH511" s="244">
        <f t="shared" si="249"/>
        <v>0.159</v>
      </c>
      <c r="AI511" s="76">
        <f t="shared" si="250"/>
        <v>1.5600000000000002E-3</v>
      </c>
      <c r="AJ511" s="181">
        <f t="shared" si="251"/>
        <v>5.5650000000000005E-2</v>
      </c>
      <c r="AK511" s="182">
        <f t="shared" si="252"/>
        <v>2.3077257367928001</v>
      </c>
      <c r="AM511" s="201">
        <f t="shared" si="263"/>
        <v>2.3649357367928001</v>
      </c>
      <c r="AN511" s="202">
        <f t="shared" si="269"/>
        <v>2.2960541133910679</v>
      </c>
      <c r="AO511" s="202">
        <f t="shared" si="269"/>
        <v>2.2291787508651146</v>
      </c>
      <c r="AP511" s="202">
        <f t="shared" si="270"/>
        <v>2.16425121443215</v>
      </c>
      <c r="AQ511" s="202">
        <f t="shared" si="270"/>
        <v>2.1012147712933498</v>
      </c>
      <c r="AR511" s="202">
        <f t="shared" si="270"/>
        <v>2.0400143410615046</v>
      </c>
      <c r="AS511" s="202">
        <f t="shared" si="270"/>
        <v>1.9805964476325288</v>
      </c>
      <c r="AT511" s="202">
        <f t="shared" si="270"/>
        <v>1.9229091724587657</v>
      </c>
      <c r="AU511" s="202">
        <f t="shared" si="270"/>
        <v>1.8669021091832678</v>
      </c>
      <c r="AV511" s="202">
        <f t="shared" si="270"/>
        <v>1.8125263195954056</v>
      </c>
      <c r="AW511" s="202">
        <f t="shared" si="270"/>
        <v>1.7597342908693259</v>
      </c>
      <c r="AX511" s="202">
        <f t="shared" si="270"/>
        <v>1.7084798940478891</v>
      </c>
      <c r="AY511" s="202">
        <f t="shared" si="270"/>
        <v>1.6587183437358151</v>
      </c>
      <c r="AZ511" s="202">
        <f t="shared" si="271"/>
        <v>1.6104061589668108</v>
      </c>
      <c r="BA511" s="202">
        <f t="shared" si="271"/>
        <v>1.5635011252104958</v>
      </c>
      <c r="BB511" s="202">
        <f t="shared" si="271"/>
        <v>1.517962257485918</v>
      </c>
      <c r="BC511" s="202">
        <f t="shared" si="271"/>
        <v>1.4737497645494353</v>
      </c>
      <c r="BD511" s="202">
        <f t="shared" si="271"/>
        <v>1.4308250141256653</v>
      </c>
      <c r="BE511" s="202">
        <f t="shared" si="271"/>
        <v>1.3891504991511314</v>
      </c>
      <c r="BF511" s="202">
        <f t="shared" si="271"/>
        <v>1.3486898050010985</v>
      </c>
      <c r="BG511" s="203">
        <f t="shared" si="264"/>
        <v>36.239800129849542</v>
      </c>
    </row>
    <row r="512" spans="27:59">
      <c r="AA512" s="180">
        <f t="shared" si="265"/>
        <v>3045000000</v>
      </c>
      <c r="AB512" s="41">
        <f t="shared" si="266"/>
        <v>3625</v>
      </c>
      <c r="AC512" s="21">
        <v>145</v>
      </c>
      <c r="AD512" s="21" t="s">
        <v>283</v>
      </c>
      <c r="AE512" s="175">
        <f t="shared" si="246"/>
        <v>30</v>
      </c>
      <c r="AF512" s="183">
        <f t="shared" si="247"/>
        <v>27</v>
      </c>
      <c r="AG512" s="84">
        <f t="shared" si="248"/>
        <v>0.39750000000000002</v>
      </c>
      <c r="AH512" s="244">
        <f t="shared" si="249"/>
        <v>0.159</v>
      </c>
      <c r="AI512" s="76">
        <f t="shared" si="250"/>
        <v>1.5600000000000002E-3</v>
      </c>
      <c r="AJ512" s="181">
        <f t="shared" si="251"/>
        <v>5.5650000000000005E-2</v>
      </c>
      <c r="AK512" s="182">
        <f t="shared" si="252"/>
        <v>2.3077257367928001</v>
      </c>
      <c r="AM512" s="201">
        <f t="shared" si="263"/>
        <v>2.3649357367928001</v>
      </c>
      <c r="AN512" s="202">
        <f t="shared" si="269"/>
        <v>2.2960541133910679</v>
      </c>
      <c r="AO512" s="202">
        <f t="shared" si="269"/>
        <v>2.2291787508651146</v>
      </c>
      <c r="AP512" s="202">
        <f t="shared" si="270"/>
        <v>2.16425121443215</v>
      </c>
      <c r="AQ512" s="202">
        <f t="shared" si="270"/>
        <v>2.1012147712933498</v>
      </c>
      <c r="AR512" s="202">
        <f t="shared" si="270"/>
        <v>2.0400143410615046</v>
      </c>
      <c r="AS512" s="202">
        <f t="shared" si="270"/>
        <v>1.9805964476325288</v>
      </c>
      <c r="AT512" s="202">
        <f t="shared" si="270"/>
        <v>1.9229091724587657</v>
      </c>
      <c r="AU512" s="202">
        <f t="shared" si="270"/>
        <v>1.8669021091832678</v>
      </c>
      <c r="AV512" s="202">
        <f t="shared" si="270"/>
        <v>1.8125263195954056</v>
      </c>
      <c r="AW512" s="202">
        <f t="shared" si="270"/>
        <v>1.7597342908693259</v>
      </c>
      <c r="AX512" s="202">
        <f t="shared" si="270"/>
        <v>1.7084798940478891</v>
      </c>
      <c r="AY512" s="202">
        <f t="shared" si="270"/>
        <v>1.6587183437358151</v>
      </c>
      <c r="AZ512" s="202">
        <f t="shared" si="271"/>
        <v>1.6104061589668108</v>
      </c>
      <c r="BA512" s="202">
        <f t="shared" si="271"/>
        <v>1.5635011252104958</v>
      </c>
      <c r="BB512" s="202">
        <f t="shared" si="271"/>
        <v>1.517962257485918</v>
      </c>
      <c r="BC512" s="202">
        <f t="shared" si="271"/>
        <v>1.4737497645494353</v>
      </c>
      <c r="BD512" s="202">
        <f t="shared" si="271"/>
        <v>1.4308250141256653</v>
      </c>
      <c r="BE512" s="202">
        <f t="shared" si="271"/>
        <v>1.3891504991511314</v>
      </c>
      <c r="BF512" s="202">
        <f t="shared" si="271"/>
        <v>1.3486898050010985</v>
      </c>
      <c r="BG512" s="203">
        <f t="shared" si="264"/>
        <v>36.239800129849542</v>
      </c>
    </row>
    <row r="513" spans="27:59">
      <c r="AA513" s="180">
        <f t="shared" si="265"/>
        <v>3066000000</v>
      </c>
      <c r="AB513" s="41">
        <f t="shared" si="266"/>
        <v>3650</v>
      </c>
      <c r="AC513" s="21">
        <v>146</v>
      </c>
      <c r="AD513" s="21" t="s">
        <v>283</v>
      </c>
      <c r="AE513" s="175">
        <f t="shared" si="246"/>
        <v>30</v>
      </c>
      <c r="AF513" s="183">
        <f t="shared" si="247"/>
        <v>27</v>
      </c>
      <c r="AG513" s="84">
        <f t="shared" si="248"/>
        <v>0.39750000000000002</v>
      </c>
      <c r="AH513" s="244">
        <f t="shared" si="249"/>
        <v>0.159</v>
      </c>
      <c r="AI513" s="76">
        <f t="shared" si="250"/>
        <v>1.5600000000000002E-3</v>
      </c>
      <c r="AJ513" s="181">
        <f t="shared" si="251"/>
        <v>5.5650000000000005E-2</v>
      </c>
      <c r="AK513" s="182">
        <f t="shared" si="252"/>
        <v>2.3077257367928001</v>
      </c>
      <c r="AM513" s="201">
        <f t="shared" si="263"/>
        <v>2.3649357367928001</v>
      </c>
      <c r="AN513" s="202">
        <f t="shared" si="269"/>
        <v>2.2960541133910679</v>
      </c>
      <c r="AO513" s="202">
        <f t="shared" si="269"/>
        <v>2.2291787508651146</v>
      </c>
      <c r="AP513" s="202">
        <f t="shared" si="270"/>
        <v>2.16425121443215</v>
      </c>
      <c r="AQ513" s="202">
        <f t="shared" si="270"/>
        <v>2.1012147712933498</v>
      </c>
      <c r="AR513" s="202">
        <f t="shared" si="270"/>
        <v>2.0400143410615046</v>
      </c>
      <c r="AS513" s="202">
        <f t="shared" si="270"/>
        <v>1.9805964476325288</v>
      </c>
      <c r="AT513" s="202">
        <f t="shared" si="270"/>
        <v>1.9229091724587657</v>
      </c>
      <c r="AU513" s="202">
        <f t="shared" si="270"/>
        <v>1.8669021091832678</v>
      </c>
      <c r="AV513" s="202">
        <f t="shared" si="270"/>
        <v>1.8125263195954056</v>
      </c>
      <c r="AW513" s="202">
        <f t="shared" si="270"/>
        <v>1.7597342908693259</v>
      </c>
      <c r="AX513" s="202">
        <f t="shared" si="270"/>
        <v>1.7084798940478891</v>
      </c>
      <c r="AY513" s="202">
        <f t="shared" si="270"/>
        <v>1.6587183437358151</v>
      </c>
      <c r="AZ513" s="202">
        <f t="shared" si="271"/>
        <v>1.6104061589668108</v>
      </c>
      <c r="BA513" s="202">
        <f t="shared" si="271"/>
        <v>1.5635011252104958</v>
      </c>
      <c r="BB513" s="202">
        <f t="shared" si="271"/>
        <v>1.517962257485918</v>
      </c>
      <c r="BC513" s="202">
        <f t="shared" si="271"/>
        <v>1.4737497645494353</v>
      </c>
      <c r="BD513" s="202">
        <f t="shared" si="271"/>
        <v>1.4308250141256653</v>
      </c>
      <c r="BE513" s="202">
        <f t="shared" si="271"/>
        <v>1.3891504991511314</v>
      </c>
      <c r="BF513" s="202">
        <f t="shared" si="271"/>
        <v>1.3486898050010985</v>
      </c>
      <c r="BG513" s="203">
        <f t="shared" si="264"/>
        <v>36.239800129849542</v>
      </c>
    </row>
    <row r="514" spans="27:59">
      <c r="AA514" s="180">
        <f t="shared" si="265"/>
        <v>3087000000</v>
      </c>
      <c r="AB514" s="41">
        <f t="shared" si="266"/>
        <v>3675</v>
      </c>
      <c r="AC514" s="21">
        <v>147</v>
      </c>
      <c r="AD514" s="21" t="s">
        <v>283</v>
      </c>
      <c r="AE514" s="175">
        <f t="shared" si="246"/>
        <v>30</v>
      </c>
      <c r="AF514" s="183">
        <f t="shared" si="247"/>
        <v>27</v>
      </c>
      <c r="AG514" s="84">
        <f t="shared" si="248"/>
        <v>0.39750000000000002</v>
      </c>
      <c r="AH514" s="244">
        <f t="shared" si="249"/>
        <v>0.159</v>
      </c>
      <c r="AI514" s="76">
        <f t="shared" si="250"/>
        <v>1.5600000000000002E-3</v>
      </c>
      <c r="AJ514" s="181">
        <f t="shared" si="251"/>
        <v>5.5650000000000005E-2</v>
      </c>
      <c r="AK514" s="182">
        <f t="shared" si="252"/>
        <v>2.3077257367928001</v>
      </c>
      <c r="AM514" s="201">
        <f t="shared" si="263"/>
        <v>2.3649357367928001</v>
      </c>
      <c r="AN514" s="202">
        <f t="shared" si="269"/>
        <v>2.2960541133910679</v>
      </c>
      <c r="AO514" s="202">
        <f t="shared" si="269"/>
        <v>2.2291787508651146</v>
      </c>
      <c r="AP514" s="202">
        <f t="shared" si="270"/>
        <v>2.16425121443215</v>
      </c>
      <c r="AQ514" s="202">
        <f t="shared" si="270"/>
        <v>2.1012147712933498</v>
      </c>
      <c r="AR514" s="202">
        <f t="shared" si="270"/>
        <v>2.0400143410615046</v>
      </c>
      <c r="AS514" s="202">
        <f t="shared" si="270"/>
        <v>1.9805964476325288</v>
      </c>
      <c r="AT514" s="202">
        <f t="shared" si="270"/>
        <v>1.9229091724587657</v>
      </c>
      <c r="AU514" s="202">
        <f t="shared" si="270"/>
        <v>1.8669021091832678</v>
      </c>
      <c r="AV514" s="202">
        <f t="shared" si="270"/>
        <v>1.8125263195954056</v>
      </c>
      <c r="AW514" s="202">
        <f t="shared" si="270"/>
        <v>1.7597342908693259</v>
      </c>
      <c r="AX514" s="202">
        <f t="shared" si="270"/>
        <v>1.7084798940478891</v>
      </c>
      <c r="AY514" s="202">
        <f t="shared" si="270"/>
        <v>1.6587183437358151</v>
      </c>
      <c r="AZ514" s="202">
        <f t="shared" si="271"/>
        <v>1.6104061589668108</v>
      </c>
      <c r="BA514" s="202">
        <f t="shared" si="271"/>
        <v>1.5635011252104958</v>
      </c>
      <c r="BB514" s="202">
        <f t="shared" si="271"/>
        <v>1.517962257485918</v>
      </c>
      <c r="BC514" s="202">
        <f t="shared" si="271"/>
        <v>1.4737497645494353</v>
      </c>
      <c r="BD514" s="202">
        <f t="shared" si="271"/>
        <v>1.4308250141256653</v>
      </c>
      <c r="BE514" s="202">
        <f t="shared" si="271"/>
        <v>1.3891504991511314</v>
      </c>
      <c r="BF514" s="202">
        <f t="shared" si="271"/>
        <v>1.3486898050010985</v>
      </c>
      <c r="BG514" s="203">
        <f t="shared" si="264"/>
        <v>36.239800129849542</v>
      </c>
    </row>
    <row r="515" spans="27:59">
      <c r="AA515" s="180">
        <f t="shared" si="265"/>
        <v>3108000000</v>
      </c>
      <c r="AB515" s="41">
        <f t="shared" si="266"/>
        <v>3700</v>
      </c>
      <c r="AC515" s="21">
        <v>148</v>
      </c>
      <c r="AD515" s="21" t="s">
        <v>283</v>
      </c>
      <c r="AE515" s="175">
        <f t="shared" si="246"/>
        <v>30</v>
      </c>
      <c r="AF515" s="183">
        <f t="shared" si="247"/>
        <v>27</v>
      </c>
      <c r="AG515" s="84">
        <f t="shared" si="248"/>
        <v>0.39750000000000002</v>
      </c>
      <c r="AH515" s="244">
        <f t="shared" si="249"/>
        <v>0.159</v>
      </c>
      <c r="AI515" s="76">
        <f t="shared" si="250"/>
        <v>1.5600000000000002E-3</v>
      </c>
      <c r="AJ515" s="181">
        <f t="shared" si="251"/>
        <v>5.5650000000000005E-2</v>
      </c>
      <c r="AK515" s="182">
        <f t="shared" si="252"/>
        <v>2.3077257367928001</v>
      </c>
      <c r="AM515" s="201">
        <f t="shared" si="263"/>
        <v>2.3649357367928001</v>
      </c>
      <c r="AN515" s="202">
        <f t="shared" si="269"/>
        <v>2.2960541133910679</v>
      </c>
      <c r="AO515" s="202">
        <f t="shared" si="269"/>
        <v>2.2291787508651146</v>
      </c>
      <c r="AP515" s="202">
        <f t="shared" si="270"/>
        <v>2.16425121443215</v>
      </c>
      <c r="AQ515" s="202">
        <f t="shared" si="270"/>
        <v>2.1012147712933498</v>
      </c>
      <c r="AR515" s="202">
        <f t="shared" si="270"/>
        <v>2.0400143410615046</v>
      </c>
      <c r="AS515" s="202">
        <f t="shared" si="270"/>
        <v>1.9805964476325288</v>
      </c>
      <c r="AT515" s="202">
        <f t="shared" si="270"/>
        <v>1.9229091724587657</v>
      </c>
      <c r="AU515" s="202">
        <f t="shared" si="270"/>
        <v>1.8669021091832678</v>
      </c>
      <c r="AV515" s="202">
        <f t="shared" si="270"/>
        <v>1.8125263195954056</v>
      </c>
      <c r="AW515" s="202">
        <f t="shared" si="270"/>
        <v>1.7597342908693259</v>
      </c>
      <c r="AX515" s="202">
        <f t="shared" si="270"/>
        <v>1.7084798940478891</v>
      </c>
      <c r="AY515" s="202">
        <f t="shared" si="270"/>
        <v>1.6587183437358151</v>
      </c>
      <c r="AZ515" s="202">
        <f t="shared" si="271"/>
        <v>1.6104061589668108</v>
      </c>
      <c r="BA515" s="202">
        <f t="shared" si="271"/>
        <v>1.5635011252104958</v>
      </c>
      <c r="BB515" s="202">
        <f t="shared" si="271"/>
        <v>1.517962257485918</v>
      </c>
      <c r="BC515" s="202">
        <f t="shared" si="271"/>
        <v>1.4737497645494353</v>
      </c>
      <c r="BD515" s="202">
        <f t="shared" si="271"/>
        <v>1.4308250141256653</v>
      </c>
      <c r="BE515" s="202">
        <f t="shared" si="271"/>
        <v>1.3891504991511314</v>
      </c>
      <c r="BF515" s="202">
        <f t="shared" si="271"/>
        <v>1.3486898050010985</v>
      </c>
      <c r="BG515" s="203">
        <f t="shared" si="264"/>
        <v>36.239800129849542</v>
      </c>
    </row>
    <row r="516" spans="27:59">
      <c r="AA516" s="180">
        <f t="shared" si="265"/>
        <v>3129000000</v>
      </c>
      <c r="AB516" s="41">
        <f t="shared" si="266"/>
        <v>3725</v>
      </c>
      <c r="AC516" s="21">
        <v>149</v>
      </c>
      <c r="AD516" s="21" t="s">
        <v>283</v>
      </c>
      <c r="AE516" s="175">
        <f t="shared" ref="AE516:AE544" si="272">AE334*$B$3</f>
        <v>30</v>
      </c>
      <c r="AF516" s="183">
        <f t="shared" ref="AF516:AF544" si="273">AF334*$B$4</f>
        <v>27</v>
      </c>
      <c r="AG516" s="84">
        <f t="shared" ref="AG516:AG544" si="274">AG334*$B$5</f>
        <v>0.39750000000000002</v>
      </c>
      <c r="AH516" s="244">
        <f t="shared" ref="AH516:AH544" si="275">AH334*$B$6</f>
        <v>0.159</v>
      </c>
      <c r="AI516" s="76">
        <f t="shared" ref="AI516:AI544" si="276">AI334*$B$7</f>
        <v>1.5600000000000002E-3</v>
      </c>
      <c r="AJ516" s="181">
        <f t="shared" ref="AJ516:AJ544" si="277">(AG516+AH516)*(AJ334/100)</f>
        <v>5.5650000000000005E-2</v>
      </c>
      <c r="AK516" s="182">
        <f t="shared" ref="AK516:AK544" si="278">AK334*$B$9</f>
        <v>2.3077257367928001</v>
      </c>
      <c r="AM516" s="201">
        <f t="shared" si="263"/>
        <v>2.3649357367928001</v>
      </c>
      <c r="AN516" s="202">
        <f t="shared" si="269"/>
        <v>2.2960541133910679</v>
      </c>
      <c r="AO516" s="202">
        <f t="shared" si="269"/>
        <v>2.2291787508651146</v>
      </c>
      <c r="AP516" s="202">
        <f t="shared" si="270"/>
        <v>2.16425121443215</v>
      </c>
      <c r="AQ516" s="202">
        <f t="shared" si="270"/>
        <v>2.1012147712933498</v>
      </c>
      <c r="AR516" s="202">
        <f t="shared" si="270"/>
        <v>2.0400143410615046</v>
      </c>
      <c r="AS516" s="202">
        <f t="shared" si="270"/>
        <v>1.9805964476325288</v>
      </c>
      <c r="AT516" s="202">
        <f t="shared" si="270"/>
        <v>1.9229091724587657</v>
      </c>
      <c r="AU516" s="202">
        <f t="shared" si="270"/>
        <v>1.8669021091832678</v>
      </c>
      <c r="AV516" s="202">
        <f t="shared" si="270"/>
        <v>1.8125263195954056</v>
      </c>
      <c r="AW516" s="202">
        <f t="shared" si="270"/>
        <v>1.7597342908693259</v>
      </c>
      <c r="AX516" s="202">
        <f t="shared" si="270"/>
        <v>1.7084798940478891</v>
      </c>
      <c r="AY516" s="202">
        <f t="shared" si="270"/>
        <v>1.6587183437358151</v>
      </c>
      <c r="AZ516" s="202">
        <f t="shared" si="271"/>
        <v>1.6104061589668108</v>
      </c>
      <c r="BA516" s="202">
        <f t="shared" si="271"/>
        <v>1.5635011252104958</v>
      </c>
      <c r="BB516" s="202">
        <f t="shared" si="271"/>
        <v>1.517962257485918</v>
      </c>
      <c r="BC516" s="202">
        <f t="shared" si="271"/>
        <v>1.4737497645494353</v>
      </c>
      <c r="BD516" s="202">
        <f t="shared" si="271"/>
        <v>1.4308250141256653</v>
      </c>
      <c r="BE516" s="202">
        <f t="shared" si="271"/>
        <v>1.3891504991511314</v>
      </c>
      <c r="BF516" s="202">
        <f t="shared" si="271"/>
        <v>1.3486898050010985</v>
      </c>
      <c r="BG516" s="203">
        <f t="shared" si="264"/>
        <v>36.239800129849542</v>
      </c>
    </row>
    <row r="517" spans="27:59">
      <c r="AA517" s="180">
        <f t="shared" si="265"/>
        <v>3150000000</v>
      </c>
      <c r="AB517" s="41">
        <f t="shared" si="266"/>
        <v>3750</v>
      </c>
      <c r="AC517" s="21">
        <v>150</v>
      </c>
      <c r="AD517" s="21" t="s">
        <v>283</v>
      </c>
      <c r="AE517" s="175">
        <f t="shared" si="272"/>
        <v>30</v>
      </c>
      <c r="AF517" s="183">
        <f t="shared" si="273"/>
        <v>27</v>
      </c>
      <c r="AG517" s="84">
        <f t="shared" si="274"/>
        <v>0.39750000000000002</v>
      </c>
      <c r="AH517" s="244">
        <f t="shared" si="275"/>
        <v>0.159</v>
      </c>
      <c r="AI517" s="76">
        <f t="shared" si="276"/>
        <v>1.5600000000000002E-3</v>
      </c>
      <c r="AJ517" s="181">
        <f t="shared" si="277"/>
        <v>5.5650000000000005E-2</v>
      </c>
      <c r="AK517" s="182">
        <f t="shared" si="278"/>
        <v>2.3077257367928001</v>
      </c>
      <c r="AM517" s="201">
        <f t="shared" si="263"/>
        <v>2.3649357367928001</v>
      </c>
      <c r="AN517" s="202">
        <f t="shared" si="269"/>
        <v>2.2960541133910679</v>
      </c>
      <c r="AO517" s="202">
        <f t="shared" si="269"/>
        <v>2.2291787508651146</v>
      </c>
      <c r="AP517" s="202">
        <f t="shared" si="270"/>
        <v>2.16425121443215</v>
      </c>
      <c r="AQ517" s="202">
        <f t="shared" si="270"/>
        <v>2.1012147712933498</v>
      </c>
      <c r="AR517" s="202">
        <f t="shared" si="270"/>
        <v>2.0400143410615046</v>
      </c>
      <c r="AS517" s="202">
        <f t="shared" si="270"/>
        <v>1.9805964476325288</v>
      </c>
      <c r="AT517" s="202">
        <f t="shared" si="270"/>
        <v>1.9229091724587657</v>
      </c>
      <c r="AU517" s="202">
        <f t="shared" si="270"/>
        <v>1.8669021091832678</v>
      </c>
      <c r="AV517" s="202">
        <f t="shared" si="270"/>
        <v>1.8125263195954056</v>
      </c>
      <c r="AW517" s="202">
        <f t="shared" si="270"/>
        <v>1.7597342908693259</v>
      </c>
      <c r="AX517" s="202">
        <f t="shared" si="270"/>
        <v>1.7084798940478891</v>
      </c>
      <c r="AY517" s="202">
        <f t="shared" si="270"/>
        <v>1.6587183437358151</v>
      </c>
      <c r="AZ517" s="202">
        <f t="shared" si="271"/>
        <v>1.6104061589668108</v>
      </c>
      <c r="BA517" s="202">
        <f t="shared" si="271"/>
        <v>1.5635011252104958</v>
      </c>
      <c r="BB517" s="202">
        <f t="shared" si="271"/>
        <v>1.517962257485918</v>
      </c>
      <c r="BC517" s="202">
        <f t="shared" si="271"/>
        <v>1.4737497645494353</v>
      </c>
      <c r="BD517" s="202">
        <f t="shared" si="271"/>
        <v>1.4308250141256653</v>
      </c>
      <c r="BE517" s="202">
        <f t="shared" si="271"/>
        <v>1.3891504991511314</v>
      </c>
      <c r="BF517" s="202">
        <f t="shared" si="271"/>
        <v>1.3486898050010985</v>
      </c>
      <c r="BG517" s="203">
        <f t="shared" si="264"/>
        <v>36.239800129849542</v>
      </c>
    </row>
    <row r="518" spans="27:59">
      <c r="AA518" s="180">
        <f t="shared" si="265"/>
        <v>3171000000</v>
      </c>
      <c r="AB518" s="41">
        <f t="shared" si="266"/>
        <v>3775</v>
      </c>
      <c r="AC518" s="21">
        <v>151</v>
      </c>
      <c r="AD518" s="21" t="s">
        <v>283</v>
      </c>
      <c r="AE518" s="175">
        <f t="shared" si="272"/>
        <v>30</v>
      </c>
      <c r="AF518" s="183">
        <f t="shared" si="273"/>
        <v>27</v>
      </c>
      <c r="AG518" s="84">
        <f t="shared" si="274"/>
        <v>0.39750000000000002</v>
      </c>
      <c r="AH518" s="244">
        <f t="shared" si="275"/>
        <v>0.159</v>
      </c>
      <c r="AI518" s="76">
        <f t="shared" si="276"/>
        <v>1.5600000000000002E-3</v>
      </c>
      <c r="AJ518" s="181">
        <f t="shared" si="277"/>
        <v>5.5650000000000005E-2</v>
      </c>
      <c r="AK518" s="182">
        <f t="shared" si="278"/>
        <v>2.3077257367928001</v>
      </c>
      <c r="AM518" s="201">
        <f t="shared" si="263"/>
        <v>2.3649357367928001</v>
      </c>
      <c r="AN518" s="202">
        <f t="shared" si="269"/>
        <v>2.2960541133910679</v>
      </c>
      <c r="AO518" s="202">
        <f t="shared" si="269"/>
        <v>2.2291787508651146</v>
      </c>
      <c r="AP518" s="202">
        <f t="shared" ref="AP518:AY527" si="279">$AM518/POWER(1+($B$10/100),AP$366-2024)</f>
        <v>2.16425121443215</v>
      </c>
      <c r="AQ518" s="202">
        <f t="shared" si="279"/>
        <v>2.1012147712933498</v>
      </c>
      <c r="AR518" s="202">
        <f t="shared" si="279"/>
        <v>2.0400143410615046</v>
      </c>
      <c r="AS518" s="202">
        <f t="shared" si="279"/>
        <v>1.9805964476325288</v>
      </c>
      <c r="AT518" s="202">
        <f t="shared" si="279"/>
        <v>1.9229091724587657</v>
      </c>
      <c r="AU518" s="202">
        <f t="shared" si="279"/>
        <v>1.8669021091832678</v>
      </c>
      <c r="AV518" s="202">
        <f t="shared" si="279"/>
        <v>1.8125263195954056</v>
      </c>
      <c r="AW518" s="202">
        <f t="shared" si="279"/>
        <v>1.7597342908693259</v>
      </c>
      <c r="AX518" s="202">
        <f t="shared" si="279"/>
        <v>1.7084798940478891</v>
      </c>
      <c r="AY518" s="202">
        <f t="shared" si="279"/>
        <v>1.6587183437358151</v>
      </c>
      <c r="AZ518" s="202">
        <f t="shared" ref="AZ518:BF527" si="280">$AM518/POWER(1+($B$10/100),AZ$366-2024)</f>
        <v>1.6104061589668108</v>
      </c>
      <c r="BA518" s="202">
        <f t="shared" si="280"/>
        <v>1.5635011252104958</v>
      </c>
      <c r="BB518" s="202">
        <f t="shared" si="280"/>
        <v>1.517962257485918</v>
      </c>
      <c r="BC518" s="202">
        <f t="shared" si="280"/>
        <v>1.4737497645494353</v>
      </c>
      <c r="BD518" s="202">
        <f t="shared" si="280"/>
        <v>1.4308250141256653</v>
      </c>
      <c r="BE518" s="202">
        <f t="shared" si="280"/>
        <v>1.3891504991511314</v>
      </c>
      <c r="BF518" s="202">
        <f t="shared" si="280"/>
        <v>1.3486898050010985</v>
      </c>
      <c r="BG518" s="203">
        <f t="shared" si="264"/>
        <v>36.239800129849542</v>
      </c>
    </row>
    <row r="519" spans="27:59">
      <c r="AA519" s="180">
        <f t="shared" si="265"/>
        <v>3192000000</v>
      </c>
      <c r="AB519" s="41">
        <f t="shared" si="266"/>
        <v>3800</v>
      </c>
      <c r="AC519" s="21">
        <v>152</v>
      </c>
      <c r="AD519" s="21" t="s">
        <v>283</v>
      </c>
      <c r="AE519" s="175">
        <f t="shared" si="272"/>
        <v>30</v>
      </c>
      <c r="AF519" s="183">
        <f t="shared" si="273"/>
        <v>27</v>
      </c>
      <c r="AG519" s="84">
        <f t="shared" si="274"/>
        <v>0.39750000000000002</v>
      </c>
      <c r="AH519" s="244">
        <f t="shared" si="275"/>
        <v>0.159</v>
      </c>
      <c r="AI519" s="76">
        <f t="shared" si="276"/>
        <v>1.5600000000000002E-3</v>
      </c>
      <c r="AJ519" s="181">
        <f t="shared" si="277"/>
        <v>5.5650000000000005E-2</v>
      </c>
      <c r="AK519" s="182">
        <f t="shared" si="278"/>
        <v>2.3077257367928001</v>
      </c>
      <c r="AM519" s="201">
        <f t="shared" si="263"/>
        <v>2.3649357367928001</v>
      </c>
      <c r="AN519" s="202">
        <f t="shared" si="269"/>
        <v>2.2960541133910679</v>
      </c>
      <c r="AO519" s="202">
        <f t="shared" si="269"/>
        <v>2.2291787508651146</v>
      </c>
      <c r="AP519" s="202">
        <f t="shared" si="279"/>
        <v>2.16425121443215</v>
      </c>
      <c r="AQ519" s="202">
        <f t="shared" si="279"/>
        <v>2.1012147712933498</v>
      </c>
      <c r="AR519" s="202">
        <f t="shared" si="279"/>
        <v>2.0400143410615046</v>
      </c>
      <c r="AS519" s="202">
        <f t="shared" si="279"/>
        <v>1.9805964476325288</v>
      </c>
      <c r="AT519" s="202">
        <f t="shared" si="279"/>
        <v>1.9229091724587657</v>
      </c>
      <c r="AU519" s="202">
        <f t="shared" si="279"/>
        <v>1.8669021091832678</v>
      </c>
      <c r="AV519" s="202">
        <f t="shared" si="279"/>
        <v>1.8125263195954056</v>
      </c>
      <c r="AW519" s="202">
        <f t="shared" si="279"/>
        <v>1.7597342908693259</v>
      </c>
      <c r="AX519" s="202">
        <f t="shared" si="279"/>
        <v>1.7084798940478891</v>
      </c>
      <c r="AY519" s="202">
        <f t="shared" si="279"/>
        <v>1.6587183437358151</v>
      </c>
      <c r="AZ519" s="202">
        <f t="shared" si="280"/>
        <v>1.6104061589668108</v>
      </c>
      <c r="BA519" s="202">
        <f t="shared" si="280"/>
        <v>1.5635011252104958</v>
      </c>
      <c r="BB519" s="202">
        <f t="shared" si="280"/>
        <v>1.517962257485918</v>
      </c>
      <c r="BC519" s="202">
        <f t="shared" si="280"/>
        <v>1.4737497645494353</v>
      </c>
      <c r="BD519" s="202">
        <f t="shared" si="280"/>
        <v>1.4308250141256653</v>
      </c>
      <c r="BE519" s="202">
        <f t="shared" si="280"/>
        <v>1.3891504991511314</v>
      </c>
      <c r="BF519" s="202">
        <f t="shared" si="280"/>
        <v>1.3486898050010985</v>
      </c>
      <c r="BG519" s="203">
        <f t="shared" si="264"/>
        <v>36.239800129849542</v>
      </c>
    </row>
    <row r="520" spans="27:59">
      <c r="AA520" s="180">
        <f t="shared" si="265"/>
        <v>3213000000</v>
      </c>
      <c r="AB520" s="41">
        <f t="shared" si="266"/>
        <v>3825</v>
      </c>
      <c r="AC520" s="21">
        <v>153</v>
      </c>
      <c r="AD520" s="21" t="s">
        <v>283</v>
      </c>
      <c r="AE520" s="175">
        <f t="shared" si="272"/>
        <v>30</v>
      </c>
      <c r="AF520" s="183">
        <f t="shared" si="273"/>
        <v>27</v>
      </c>
      <c r="AG520" s="84">
        <f t="shared" si="274"/>
        <v>0.39750000000000002</v>
      </c>
      <c r="AH520" s="244">
        <f t="shared" si="275"/>
        <v>0.159</v>
      </c>
      <c r="AI520" s="76">
        <f t="shared" si="276"/>
        <v>1.5600000000000002E-3</v>
      </c>
      <c r="AJ520" s="181">
        <f t="shared" si="277"/>
        <v>5.5650000000000005E-2</v>
      </c>
      <c r="AK520" s="182">
        <f t="shared" si="278"/>
        <v>2.3077257367928001</v>
      </c>
      <c r="AM520" s="201">
        <f t="shared" si="263"/>
        <v>2.3649357367928001</v>
      </c>
      <c r="AN520" s="202">
        <f t="shared" si="269"/>
        <v>2.2960541133910679</v>
      </c>
      <c r="AO520" s="202">
        <f t="shared" si="269"/>
        <v>2.2291787508651146</v>
      </c>
      <c r="AP520" s="202">
        <f t="shared" si="279"/>
        <v>2.16425121443215</v>
      </c>
      <c r="AQ520" s="202">
        <f t="shared" si="279"/>
        <v>2.1012147712933498</v>
      </c>
      <c r="AR520" s="202">
        <f t="shared" si="279"/>
        <v>2.0400143410615046</v>
      </c>
      <c r="AS520" s="202">
        <f t="shared" si="279"/>
        <v>1.9805964476325288</v>
      </c>
      <c r="AT520" s="202">
        <f t="shared" si="279"/>
        <v>1.9229091724587657</v>
      </c>
      <c r="AU520" s="202">
        <f t="shared" si="279"/>
        <v>1.8669021091832678</v>
      </c>
      <c r="AV520" s="202">
        <f t="shared" si="279"/>
        <v>1.8125263195954056</v>
      </c>
      <c r="AW520" s="202">
        <f t="shared" si="279"/>
        <v>1.7597342908693259</v>
      </c>
      <c r="AX520" s="202">
        <f t="shared" si="279"/>
        <v>1.7084798940478891</v>
      </c>
      <c r="AY520" s="202">
        <f t="shared" si="279"/>
        <v>1.6587183437358151</v>
      </c>
      <c r="AZ520" s="202">
        <f t="shared" si="280"/>
        <v>1.6104061589668108</v>
      </c>
      <c r="BA520" s="202">
        <f t="shared" si="280"/>
        <v>1.5635011252104958</v>
      </c>
      <c r="BB520" s="202">
        <f t="shared" si="280"/>
        <v>1.517962257485918</v>
      </c>
      <c r="BC520" s="202">
        <f t="shared" si="280"/>
        <v>1.4737497645494353</v>
      </c>
      <c r="BD520" s="202">
        <f t="shared" si="280"/>
        <v>1.4308250141256653</v>
      </c>
      <c r="BE520" s="202">
        <f t="shared" si="280"/>
        <v>1.3891504991511314</v>
      </c>
      <c r="BF520" s="202">
        <f t="shared" si="280"/>
        <v>1.3486898050010985</v>
      </c>
      <c r="BG520" s="203">
        <f t="shared" si="264"/>
        <v>36.239800129849542</v>
      </c>
    </row>
    <row r="521" spans="27:59">
      <c r="AA521" s="180">
        <f t="shared" si="265"/>
        <v>3234000000</v>
      </c>
      <c r="AB521" s="41">
        <f t="shared" si="266"/>
        <v>3850</v>
      </c>
      <c r="AC521" s="21">
        <v>154</v>
      </c>
      <c r="AD521" s="21" t="s">
        <v>283</v>
      </c>
      <c r="AE521" s="175">
        <f t="shared" si="272"/>
        <v>30</v>
      </c>
      <c r="AF521" s="183">
        <f t="shared" si="273"/>
        <v>27</v>
      </c>
      <c r="AG521" s="84">
        <f t="shared" si="274"/>
        <v>0.39750000000000002</v>
      </c>
      <c r="AH521" s="244">
        <f t="shared" si="275"/>
        <v>0.159</v>
      </c>
      <c r="AI521" s="76">
        <f t="shared" si="276"/>
        <v>1.5600000000000002E-3</v>
      </c>
      <c r="AJ521" s="181">
        <f t="shared" si="277"/>
        <v>5.5650000000000005E-2</v>
      </c>
      <c r="AK521" s="182">
        <f t="shared" si="278"/>
        <v>2.3077257367928001</v>
      </c>
      <c r="AM521" s="201">
        <f t="shared" si="263"/>
        <v>2.3649357367928001</v>
      </c>
      <c r="AN521" s="202">
        <f t="shared" si="269"/>
        <v>2.2960541133910679</v>
      </c>
      <c r="AO521" s="202">
        <f t="shared" si="269"/>
        <v>2.2291787508651146</v>
      </c>
      <c r="AP521" s="202">
        <f t="shared" si="279"/>
        <v>2.16425121443215</v>
      </c>
      <c r="AQ521" s="202">
        <f t="shared" si="279"/>
        <v>2.1012147712933498</v>
      </c>
      <c r="AR521" s="202">
        <f t="shared" si="279"/>
        <v>2.0400143410615046</v>
      </c>
      <c r="AS521" s="202">
        <f t="shared" si="279"/>
        <v>1.9805964476325288</v>
      </c>
      <c r="AT521" s="202">
        <f t="shared" si="279"/>
        <v>1.9229091724587657</v>
      </c>
      <c r="AU521" s="202">
        <f t="shared" si="279"/>
        <v>1.8669021091832678</v>
      </c>
      <c r="AV521" s="202">
        <f t="shared" si="279"/>
        <v>1.8125263195954056</v>
      </c>
      <c r="AW521" s="202">
        <f t="shared" si="279"/>
        <v>1.7597342908693259</v>
      </c>
      <c r="AX521" s="202">
        <f t="shared" si="279"/>
        <v>1.7084798940478891</v>
      </c>
      <c r="AY521" s="202">
        <f t="shared" si="279"/>
        <v>1.6587183437358151</v>
      </c>
      <c r="AZ521" s="202">
        <f t="shared" si="280"/>
        <v>1.6104061589668108</v>
      </c>
      <c r="BA521" s="202">
        <f t="shared" si="280"/>
        <v>1.5635011252104958</v>
      </c>
      <c r="BB521" s="202">
        <f t="shared" si="280"/>
        <v>1.517962257485918</v>
      </c>
      <c r="BC521" s="202">
        <f t="shared" si="280"/>
        <v>1.4737497645494353</v>
      </c>
      <c r="BD521" s="202">
        <f t="shared" si="280"/>
        <v>1.4308250141256653</v>
      </c>
      <c r="BE521" s="202">
        <f t="shared" si="280"/>
        <v>1.3891504991511314</v>
      </c>
      <c r="BF521" s="202">
        <f t="shared" si="280"/>
        <v>1.3486898050010985</v>
      </c>
      <c r="BG521" s="203">
        <f t="shared" si="264"/>
        <v>36.239800129849542</v>
      </c>
    </row>
    <row r="522" spans="27:59">
      <c r="AA522" s="180">
        <f t="shared" si="265"/>
        <v>3255000000</v>
      </c>
      <c r="AB522" s="41">
        <f t="shared" si="266"/>
        <v>3875</v>
      </c>
      <c r="AC522" s="21">
        <v>155</v>
      </c>
      <c r="AD522" s="21" t="s">
        <v>283</v>
      </c>
      <c r="AE522" s="175">
        <f t="shared" si="272"/>
        <v>30</v>
      </c>
      <c r="AF522" s="183">
        <f t="shared" si="273"/>
        <v>27</v>
      </c>
      <c r="AG522" s="84">
        <f t="shared" si="274"/>
        <v>0.39750000000000002</v>
      </c>
      <c r="AH522" s="244">
        <f t="shared" si="275"/>
        <v>0.159</v>
      </c>
      <c r="AI522" s="76">
        <f t="shared" si="276"/>
        <v>1.5600000000000002E-3</v>
      </c>
      <c r="AJ522" s="181">
        <f t="shared" si="277"/>
        <v>5.5650000000000005E-2</v>
      </c>
      <c r="AK522" s="182">
        <f t="shared" si="278"/>
        <v>2.3077257367928001</v>
      </c>
      <c r="AM522" s="201">
        <f t="shared" si="263"/>
        <v>2.3649357367928001</v>
      </c>
      <c r="AN522" s="202">
        <f t="shared" si="269"/>
        <v>2.2960541133910679</v>
      </c>
      <c r="AO522" s="202">
        <f t="shared" si="269"/>
        <v>2.2291787508651146</v>
      </c>
      <c r="AP522" s="202">
        <f t="shared" si="279"/>
        <v>2.16425121443215</v>
      </c>
      <c r="AQ522" s="202">
        <f t="shared" si="279"/>
        <v>2.1012147712933498</v>
      </c>
      <c r="AR522" s="202">
        <f t="shared" si="279"/>
        <v>2.0400143410615046</v>
      </c>
      <c r="AS522" s="202">
        <f t="shared" si="279"/>
        <v>1.9805964476325288</v>
      </c>
      <c r="AT522" s="202">
        <f t="shared" si="279"/>
        <v>1.9229091724587657</v>
      </c>
      <c r="AU522" s="202">
        <f t="shared" si="279"/>
        <v>1.8669021091832678</v>
      </c>
      <c r="AV522" s="202">
        <f t="shared" si="279"/>
        <v>1.8125263195954056</v>
      </c>
      <c r="AW522" s="202">
        <f t="shared" si="279"/>
        <v>1.7597342908693259</v>
      </c>
      <c r="AX522" s="202">
        <f t="shared" si="279"/>
        <v>1.7084798940478891</v>
      </c>
      <c r="AY522" s="202">
        <f t="shared" si="279"/>
        <v>1.6587183437358151</v>
      </c>
      <c r="AZ522" s="202">
        <f t="shared" si="280"/>
        <v>1.6104061589668108</v>
      </c>
      <c r="BA522" s="202">
        <f t="shared" si="280"/>
        <v>1.5635011252104958</v>
      </c>
      <c r="BB522" s="202">
        <f t="shared" si="280"/>
        <v>1.517962257485918</v>
      </c>
      <c r="BC522" s="202">
        <f t="shared" si="280"/>
        <v>1.4737497645494353</v>
      </c>
      <c r="BD522" s="202">
        <f t="shared" si="280"/>
        <v>1.4308250141256653</v>
      </c>
      <c r="BE522" s="202">
        <f t="shared" si="280"/>
        <v>1.3891504991511314</v>
      </c>
      <c r="BF522" s="202">
        <f t="shared" si="280"/>
        <v>1.3486898050010985</v>
      </c>
      <c r="BG522" s="203">
        <f t="shared" si="264"/>
        <v>36.239800129849542</v>
      </c>
    </row>
    <row r="523" spans="27:59">
      <c r="AA523" s="180">
        <f t="shared" si="265"/>
        <v>3276000000</v>
      </c>
      <c r="AB523" s="41">
        <f t="shared" si="266"/>
        <v>3900</v>
      </c>
      <c r="AC523" s="21">
        <v>156</v>
      </c>
      <c r="AD523" s="21" t="s">
        <v>283</v>
      </c>
      <c r="AE523" s="175">
        <f t="shared" si="272"/>
        <v>30</v>
      </c>
      <c r="AF523" s="183">
        <f t="shared" si="273"/>
        <v>27</v>
      </c>
      <c r="AG523" s="84">
        <f t="shared" si="274"/>
        <v>0.39750000000000002</v>
      </c>
      <c r="AH523" s="244">
        <f t="shared" si="275"/>
        <v>0.159</v>
      </c>
      <c r="AI523" s="76">
        <f t="shared" si="276"/>
        <v>1.5600000000000002E-3</v>
      </c>
      <c r="AJ523" s="181">
        <f t="shared" si="277"/>
        <v>5.5650000000000005E-2</v>
      </c>
      <c r="AK523" s="182">
        <f t="shared" si="278"/>
        <v>2.3077257367928001</v>
      </c>
      <c r="AM523" s="201">
        <f t="shared" si="263"/>
        <v>2.3649357367928001</v>
      </c>
      <c r="AN523" s="202">
        <f t="shared" si="269"/>
        <v>2.2960541133910679</v>
      </c>
      <c r="AO523" s="202">
        <f t="shared" si="269"/>
        <v>2.2291787508651146</v>
      </c>
      <c r="AP523" s="202">
        <f t="shared" si="279"/>
        <v>2.16425121443215</v>
      </c>
      <c r="AQ523" s="202">
        <f t="shared" si="279"/>
        <v>2.1012147712933498</v>
      </c>
      <c r="AR523" s="202">
        <f t="shared" si="279"/>
        <v>2.0400143410615046</v>
      </c>
      <c r="AS523" s="202">
        <f t="shared" si="279"/>
        <v>1.9805964476325288</v>
      </c>
      <c r="AT523" s="202">
        <f t="shared" si="279"/>
        <v>1.9229091724587657</v>
      </c>
      <c r="AU523" s="202">
        <f t="shared" si="279"/>
        <v>1.8669021091832678</v>
      </c>
      <c r="AV523" s="202">
        <f t="shared" si="279"/>
        <v>1.8125263195954056</v>
      </c>
      <c r="AW523" s="202">
        <f t="shared" si="279"/>
        <v>1.7597342908693259</v>
      </c>
      <c r="AX523" s="202">
        <f t="shared" si="279"/>
        <v>1.7084798940478891</v>
      </c>
      <c r="AY523" s="202">
        <f t="shared" si="279"/>
        <v>1.6587183437358151</v>
      </c>
      <c r="AZ523" s="202">
        <f t="shared" si="280"/>
        <v>1.6104061589668108</v>
      </c>
      <c r="BA523" s="202">
        <f t="shared" si="280"/>
        <v>1.5635011252104958</v>
      </c>
      <c r="BB523" s="202">
        <f t="shared" si="280"/>
        <v>1.517962257485918</v>
      </c>
      <c r="BC523" s="202">
        <f t="shared" si="280"/>
        <v>1.4737497645494353</v>
      </c>
      <c r="BD523" s="202">
        <f t="shared" si="280"/>
        <v>1.4308250141256653</v>
      </c>
      <c r="BE523" s="202">
        <f t="shared" si="280"/>
        <v>1.3891504991511314</v>
      </c>
      <c r="BF523" s="202">
        <f t="shared" si="280"/>
        <v>1.3486898050010985</v>
      </c>
      <c r="BG523" s="203">
        <f t="shared" si="264"/>
        <v>36.239800129849542</v>
      </c>
    </row>
    <row r="524" spans="27:59">
      <c r="AA524" s="180">
        <f t="shared" si="265"/>
        <v>3297000000</v>
      </c>
      <c r="AB524" s="41">
        <f t="shared" si="266"/>
        <v>3925</v>
      </c>
      <c r="AC524" s="21">
        <v>157</v>
      </c>
      <c r="AD524" s="21" t="s">
        <v>283</v>
      </c>
      <c r="AE524" s="175">
        <f t="shared" si="272"/>
        <v>30</v>
      </c>
      <c r="AF524" s="183">
        <f t="shared" si="273"/>
        <v>27</v>
      </c>
      <c r="AG524" s="84">
        <f t="shared" si="274"/>
        <v>0.39750000000000002</v>
      </c>
      <c r="AH524" s="244">
        <f t="shared" si="275"/>
        <v>0.159</v>
      </c>
      <c r="AI524" s="76">
        <f t="shared" si="276"/>
        <v>1.5600000000000002E-3</v>
      </c>
      <c r="AJ524" s="181">
        <f t="shared" si="277"/>
        <v>5.5650000000000005E-2</v>
      </c>
      <c r="AK524" s="182">
        <f t="shared" si="278"/>
        <v>2.3077257367928001</v>
      </c>
      <c r="AM524" s="201">
        <f t="shared" si="263"/>
        <v>2.3649357367928001</v>
      </c>
      <c r="AN524" s="202">
        <f t="shared" si="269"/>
        <v>2.2960541133910679</v>
      </c>
      <c r="AO524" s="202">
        <f t="shared" si="269"/>
        <v>2.2291787508651146</v>
      </c>
      <c r="AP524" s="202">
        <f t="shared" si="279"/>
        <v>2.16425121443215</v>
      </c>
      <c r="AQ524" s="202">
        <f t="shared" si="279"/>
        <v>2.1012147712933498</v>
      </c>
      <c r="AR524" s="202">
        <f t="shared" si="279"/>
        <v>2.0400143410615046</v>
      </c>
      <c r="AS524" s="202">
        <f t="shared" si="279"/>
        <v>1.9805964476325288</v>
      </c>
      <c r="AT524" s="202">
        <f t="shared" si="279"/>
        <v>1.9229091724587657</v>
      </c>
      <c r="AU524" s="202">
        <f t="shared" si="279"/>
        <v>1.8669021091832678</v>
      </c>
      <c r="AV524" s="202">
        <f t="shared" si="279"/>
        <v>1.8125263195954056</v>
      </c>
      <c r="AW524" s="202">
        <f t="shared" si="279"/>
        <v>1.7597342908693259</v>
      </c>
      <c r="AX524" s="202">
        <f t="shared" si="279"/>
        <v>1.7084798940478891</v>
      </c>
      <c r="AY524" s="202">
        <f t="shared" si="279"/>
        <v>1.6587183437358151</v>
      </c>
      <c r="AZ524" s="202">
        <f t="shared" si="280"/>
        <v>1.6104061589668108</v>
      </c>
      <c r="BA524" s="202">
        <f t="shared" si="280"/>
        <v>1.5635011252104958</v>
      </c>
      <c r="BB524" s="202">
        <f t="shared" si="280"/>
        <v>1.517962257485918</v>
      </c>
      <c r="BC524" s="202">
        <f t="shared" si="280"/>
        <v>1.4737497645494353</v>
      </c>
      <c r="BD524" s="202">
        <f t="shared" si="280"/>
        <v>1.4308250141256653</v>
      </c>
      <c r="BE524" s="202">
        <f t="shared" si="280"/>
        <v>1.3891504991511314</v>
      </c>
      <c r="BF524" s="202">
        <f t="shared" si="280"/>
        <v>1.3486898050010985</v>
      </c>
      <c r="BG524" s="203">
        <f t="shared" si="264"/>
        <v>36.239800129849542</v>
      </c>
    </row>
    <row r="525" spans="27:59">
      <c r="AA525" s="180">
        <f t="shared" si="265"/>
        <v>3318000000</v>
      </c>
      <c r="AB525" s="41">
        <f t="shared" si="266"/>
        <v>3950</v>
      </c>
      <c r="AC525" s="21">
        <v>158</v>
      </c>
      <c r="AD525" s="21" t="s">
        <v>283</v>
      </c>
      <c r="AE525" s="175">
        <f t="shared" si="272"/>
        <v>30</v>
      </c>
      <c r="AF525" s="183">
        <f t="shared" si="273"/>
        <v>27</v>
      </c>
      <c r="AG525" s="84">
        <f t="shared" si="274"/>
        <v>0.39750000000000002</v>
      </c>
      <c r="AH525" s="244">
        <f t="shared" si="275"/>
        <v>0.159</v>
      </c>
      <c r="AI525" s="76">
        <f t="shared" si="276"/>
        <v>1.5600000000000002E-3</v>
      </c>
      <c r="AJ525" s="181">
        <f t="shared" si="277"/>
        <v>5.5650000000000005E-2</v>
      </c>
      <c r="AK525" s="182">
        <f t="shared" si="278"/>
        <v>2.3077257367928001</v>
      </c>
      <c r="AM525" s="201">
        <f t="shared" si="263"/>
        <v>2.3649357367928001</v>
      </c>
      <c r="AN525" s="202">
        <f t="shared" si="269"/>
        <v>2.2960541133910679</v>
      </c>
      <c r="AO525" s="202">
        <f t="shared" si="269"/>
        <v>2.2291787508651146</v>
      </c>
      <c r="AP525" s="202">
        <f t="shared" si="279"/>
        <v>2.16425121443215</v>
      </c>
      <c r="AQ525" s="202">
        <f t="shared" si="279"/>
        <v>2.1012147712933498</v>
      </c>
      <c r="AR525" s="202">
        <f t="shared" si="279"/>
        <v>2.0400143410615046</v>
      </c>
      <c r="AS525" s="202">
        <f t="shared" si="279"/>
        <v>1.9805964476325288</v>
      </c>
      <c r="AT525" s="202">
        <f t="shared" si="279"/>
        <v>1.9229091724587657</v>
      </c>
      <c r="AU525" s="202">
        <f t="shared" si="279"/>
        <v>1.8669021091832678</v>
      </c>
      <c r="AV525" s="202">
        <f t="shared" si="279"/>
        <v>1.8125263195954056</v>
      </c>
      <c r="AW525" s="202">
        <f t="shared" si="279"/>
        <v>1.7597342908693259</v>
      </c>
      <c r="AX525" s="202">
        <f t="shared" si="279"/>
        <v>1.7084798940478891</v>
      </c>
      <c r="AY525" s="202">
        <f t="shared" si="279"/>
        <v>1.6587183437358151</v>
      </c>
      <c r="AZ525" s="202">
        <f t="shared" si="280"/>
        <v>1.6104061589668108</v>
      </c>
      <c r="BA525" s="202">
        <f t="shared" si="280"/>
        <v>1.5635011252104958</v>
      </c>
      <c r="BB525" s="202">
        <f t="shared" si="280"/>
        <v>1.517962257485918</v>
      </c>
      <c r="BC525" s="202">
        <f t="shared" si="280"/>
        <v>1.4737497645494353</v>
      </c>
      <c r="BD525" s="202">
        <f t="shared" si="280"/>
        <v>1.4308250141256653</v>
      </c>
      <c r="BE525" s="202">
        <f t="shared" si="280"/>
        <v>1.3891504991511314</v>
      </c>
      <c r="BF525" s="202">
        <f t="shared" si="280"/>
        <v>1.3486898050010985</v>
      </c>
      <c r="BG525" s="203">
        <f t="shared" si="264"/>
        <v>36.239800129849542</v>
      </c>
    </row>
    <row r="526" spans="27:59">
      <c r="AA526" s="180">
        <f t="shared" si="265"/>
        <v>3339000000</v>
      </c>
      <c r="AB526" s="41">
        <f t="shared" si="266"/>
        <v>3975</v>
      </c>
      <c r="AC526" s="21">
        <v>159</v>
      </c>
      <c r="AD526" s="21" t="s">
        <v>283</v>
      </c>
      <c r="AE526" s="175">
        <f t="shared" si="272"/>
        <v>30</v>
      </c>
      <c r="AF526" s="183">
        <f t="shared" si="273"/>
        <v>27</v>
      </c>
      <c r="AG526" s="84">
        <f t="shared" si="274"/>
        <v>0.39750000000000002</v>
      </c>
      <c r="AH526" s="244">
        <f t="shared" si="275"/>
        <v>0.159</v>
      </c>
      <c r="AI526" s="76">
        <f t="shared" si="276"/>
        <v>1.5600000000000002E-3</v>
      </c>
      <c r="AJ526" s="181">
        <f t="shared" si="277"/>
        <v>5.5650000000000005E-2</v>
      </c>
      <c r="AK526" s="182">
        <f t="shared" si="278"/>
        <v>2.3077257367928001</v>
      </c>
      <c r="AM526" s="201">
        <f t="shared" si="263"/>
        <v>2.3649357367928001</v>
      </c>
      <c r="AN526" s="202">
        <f t="shared" si="269"/>
        <v>2.2960541133910679</v>
      </c>
      <c r="AO526" s="202">
        <f t="shared" si="269"/>
        <v>2.2291787508651146</v>
      </c>
      <c r="AP526" s="202">
        <f t="shared" si="279"/>
        <v>2.16425121443215</v>
      </c>
      <c r="AQ526" s="202">
        <f t="shared" si="279"/>
        <v>2.1012147712933498</v>
      </c>
      <c r="AR526" s="202">
        <f t="shared" si="279"/>
        <v>2.0400143410615046</v>
      </c>
      <c r="AS526" s="202">
        <f t="shared" si="279"/>
        <v>1.9805964476325288</v>
      </c>
      <c r="AT526" s="202">
        <f t="shared" si="279"/>
        <v>1.9229091724587657</v>
      </c>
      <c r="AU526" s="202">
        <f t="shared" si="279"/>
        <v>1.8669021091832678</v>
      </c>
      <c r="AV526" s="202">
        <f t="shared" si="279"/>
        <v>1.8125263195954056</v>
      </c>
      <c r="AW526" s="202">
        <f t="shared" si="279"/>
        <v>1.7597342908693259</v>
      </c>
      <c r="AX526" s="202">
        <f t="shared" si="279"/>
        <v>1.7084798940478891</v>
      </c>
      <c r="AY526" s="202">
        <f t="shared" si="279"/>
        <v>1.6587183437358151</v>
      </c>
      <c r="AZ526" s="202">
        <f t="shared" si="280"/>
        <v>1.6104061589668108</v>
      </c>
      <c r="BA526" s="202">
        <f t="shared" si="280"/>
        <v>1.5635011252104958</v>
      </c>
      <c r="BB526" s="202">
        <f t="shared" si="280"/>
        <v>1.517962257485918</v>
      </c>
      <c r="BC526" s="202">
        <f t="shared" si="280"/>
        <v>1.4737497645494353</v>
      </c>
      <c r="BD526" s="202">
        <f t="shared" si="280"/>
        <v>1.4308250141256653</v>
      </c>
      <c r="BE526" s="202">
        <f t="shared" si="280"/>
        <v>1.3891504991511314</v>
      </c>
      <c r="BF526" s="202">
        <f t="shared" si="280"/>
        <v>1.3486898050010985</v>
      </c>
      <c r="BG526" s="203">
        <f t="shared" si="264"/>
        <v>36.239800129849542</v>
      </c>
    </row>
    <row r="527" spans="27:59">
      <c r="AA527" s="180">
        <f t="shared" si="265"/>
        <v>3360000000</v>
      </c>
      <c r="AB527" s="41">
        <f t="shared" si="266"/>
        <v>4000</v>
      </c>
      <c r="AC527" s="21">
        <v>160</v>
      </c>
      <c r="AD527" s="21" t="s">
        <v>283</v>
      </c>
      <c r="AE527" s="175">
        <f t="shared" si="272"/>
        <v>30</v>
      </c>
      <c r="AF527" s="183">
        <f t="shared" si="273"/>
        <v>27</v>
      </c>
      <c r="AG527" s="84">
        <f t="shared" si="274"/>
        <v>0.39750000000000002</v>
      </c>
      <c r="AH527" s="244">
        <f t="shared" si="275"/>
        <v>0.159</v>
      </c>
      <c r="AI527" s="76">
        <f t="shared" si="276"/>
        <v>1.5600000000000002E-3</v>
      </c>
      <c r="AJ527" s="181">
        <f t="shared" si="277"/>
        <v>5.5650000000000005E-2</v>
      </c>
      <c r="AK527" s="182">
        <f t="shared" si="278"/>
        <v>2.3077257367928001</v>
      </c>
      <c r="AM527" s="201">
        <f t="shared" si="263"/>
        <v>2.3649357367928001</v>
      </c>
      <c r="AN527" s="202">
        <f t="shared" ref="AN527:AO544" si="281">$AM527/POWER(1+($B$10/100),AN$366-2024)</f>
        <v>2.2960541133910679</v>
      </c>
      <c r="AO527" s="202">
        <f t="shared" si="281"/>
        <v>2.2291787508651146</v>
      </c>
      <c r="AP527" s="202">
        <f t="shared" si="279"/>
        <v>2.16425121443215</v>
      </c>
      <c r="AQ527" s="202">
        <f t="shared" si="279"/>
        <v>2.1012147712933498</v>
      </c>
      <c r="AR527" s="202">
        <f t="shared" si="279"/>
        <v>2.0400143410615046</v>
      </c>
      <c r="AS527" s="202">
        <f t="shared" si="279"/>
        <v>1.9805964476325288</v>
      </c>
      <c r="AT527" s="202">
        <f t="shared" si="279"/>
        <v>1.9229091724587657</v>
      </c>
      <c r="AU527" s="202">
        <f t="shared" si="279"/>
        <v>1.8669021091832678</v>
      </c>
      <c r="AV527" s="202">
        <f t="shared" si="279"/>
        <v>1.8125263195954056</v>
      </c>
      <c r="AW527" s="202">
        <f t="shared" si="279"/>
        <v>1.7597342908693259</v>
      </c>
      <c r="AX527" s="202">
        <f t="shared" si="279"/>
        <v>1.7084798940478891</v>
      </c>
      <c r="AY527" s="202">
        <f t="shared" si="279"/>
        <v>1.6587183437358151</v>
      </c>
      <c r="AZ527" s="202">
        <f t="shared" si="280"/>
        <v>1.6104061589668108</v>
      </c>
      <c r="BA527" s="202">
        <f t="shared" si="280"/>
        <v>1.5635011252104958</v>
      </c>
      <c r="BB527" s="202">
        <f t="shared" si="280"/>
        <v>1.517962257485918</v>
      </c>
      <c r="BC527" s="202">
        <f t="shared" si="280"/>
        <v>1.4737497645494353</v>
      </c>
      <c r="BD527" s="202">
        <f t="shared" si="280"/>
        <v>1.4308250141256653</v>
      </c>
      <c r="BE527" s="202">
        <f t="shared" si="280"/>
        <v>1.3891504991511314</v>
      </c>
      <c r="BF527" s="202">
        <f t="shared" si="280"/>
        <v>1.3486898050010985</v>
      </c>
      <c r="BG527" s="203">
        <f t="shared" si="264"/>
        <v>36.239800129849542</v>
      </c>
    </row>
    <row r="528" spans="27:59">
      <c r="AA528" s="180">
        <f t="shared" si="265"/>
        <v>3381000000</v>
      </c>
      <c r="AB528" s="41">
        <f t="shared" si="266"/>
        <v>4025</v>
      </c>
      <c r="AC528" s="21">
        <v>161</v>
      </c>
      <c r="AD528" s="21" t="s">
        <v>283</v>
      </c>
      <c r="AE528" s="175">
        <f t="shared" si="272"/>
        <v>30</v>
      </c>
      <c r="AF528" s="183">
        <f t="shared" si="273"/>
        <v>27</v>
      </c>
      <c r="AG528" s="84">
        <f t="shared" si="274"/>
        <v>0.39750000000000002</v>
      </c>
      <c r="AH528" s="244">
        <f t="shared" si="275"/>
        <v>0.159</v>
      </c>
      <c r="AI528" s="76">
        <f t="shared" si="276"/>
        <v>1.5600000000000002E-3</v>
      </c>
      <c r="AJ528" s="181">
        <f t="shared" si="277"/>
        <v>5.5650000000000005E-2</v>
      </c>
      <c r="AK528" s="182">
        <f t="shared" si="278"/>
        <v>2.3077257367928001</v>
      </c>
      <c r="AM528" s="201">
        <f t="shared" si="263"/>
        <v>2.3649357367928001</v>
      </c>
      <c r="AN528" s="202">
        <f t="shared" si="281"/>
        <v>2.2960541133910679</v>
      </c>
      <c r="AO528" s="202">
        <f t="shared" si="281"/>
        <v>2.2291787508651146</v>
      </c>
      <c r="AP528" s="202">
        <f t="shared" ref="AP528:AY537" si="282">$AM528/POWER(1+($B$10/100),AP$366-2024)</f>
        <v>2.16425121443215</v>
      </c>
      <c r="AQ528" s="202">
        <f t="shared" si="282"/>
        <v>2.1012147712933498</v>
      </c>
      <c r="AR528" s="202">
        <f t="shared" si="282"/>
        <v>2.0400143410615046</v>
      </c>
      <c r="AS528" s="202">
        <f t="shared" si="282"/>
        <v>1.9805964476325288</v>
      </c>
      <c r="AT528" s="202">
        <f t="shared" si="282"/>
        <v>1.9229091724587657</v>
      </c>
      <c r="AU528" s="202">
        <f t="shared" si="282"/>
        <v>1.8669021091832678</v>
      </c>
      <c r="AV528" s="202">
        <f t="shared" si="282"/>
        <v>1.8125263195954056</v>
      </c>
      <c r="AW528" s="202">
        <f t="shared" si="282"/>
        <v>1.7597342908693259</v>
      </c>
      <c r="AX528" s="202">
        <f t="shared" si="282"/>
        <v>1.7084798940478891</v>
      </c>
      <c r="AY528" s="202">
        <f t="shared" si="282"/>
        <v>1.6587183437358151</v>
      </c>
      <c r="AZ528" s="202">
        <f t="shared" ref="AZ528:BF537" si="283">$AM528/POWER(1+($B$10/100),AZ$366-2024)</f>
        <v>1.6104061589668108</v>
      </c>
      <c r="BA528" s="202">
        <f t="shared" si="283"/>
        <v>1.5635011252104958</v>
      </c>
      <c r="BB528" s="202">
        <f t="shared" si="283"/>
        <v>1.517962257485918</v>
      </c>
      <c r="BC528" s="202">
        <f t="shared" si="283"/>
        <v>1.4737497645494353</v>
      </c>
      <c r="BD528" s="202">
        <f t="shared" si="283"/>
        <v>1.4308250141256653</v>
      </c>
      <c r="BE528" s="202">
        <f t="shared" si="283"/>
        <v>1.3891504991511314</v>
      </c>
      <c r="BF528" s="202">
        <f t="shared" si="283"/>
        <v>1.3486898050010985</v>
      </c>
      <c r="BG528" s="203">
        <f t="shared" si="264"/>
        <v>36.239800129849542</v>
      </c>
    </row>
    <row r="529" spans="27:59">
      <c r="AA529" s="180">
        <f t="shared" si="265"/>
        <v>3402000000</v>
      </c>
      <c r="AB529" s="41">
        <f t="shared" si="266"/>
        <v>4050</v>
      </c>
      <c r="AC529" s="21">
        <v>162</v>
      </c>
      <c r="AD529" s="21" t="s">
        <v>283</v>
      </c>
      <c r="AE529" s="175">
        <f t="shared" si="272"/>
        <v>30</v>
      </c>
      <c r="AF529" s="183">
        <f t="shared" si="273"/>
        <v>27</v>
      </c>
      <c r="AG529" s="84">
        <f t="shared" si="274"/>
        <v>0.39750000000000002</v>
      </c>
      <c r="AH529" s="244">
        <f t="shared" si="275"/>
        <v>0.159</v>
      </c>
      <c r="AI529" s="76">
        <f t="shared" si="276"/>
        <v>1.5600000000000002E-3</v>
      </c>
      <c r="AJ529" s="181">
        <f t="shared" si="277"/>
        <v>5.5650000000000005E-2</v>
      </c>
      <c r="AK529" s="182">
        <f t="shared" si="278"/>
        <v>2.3077257367928001</v>
      </c>
      <c r="AM529" s="201">
        <f t="shared" si="263"/>
        <v>2.3649357367928001</v>
      </c>
      <c r="AN529" s="202">
        <f t="shared" si="281"/>
        <v>2.2960541133910679</v>
      </c>
      <c r="AO529" s="202">
        <f t="shared" si="281"/>
        <v>2.2291787508651146</v>
      </c>
      <c r="AP529" s="202">
        <f t="shared" si="282"/>
        <v>2.16425121443215</v>
      </c>
      <c r="AQ529" s="202">
        <f t="shared" si="282"/>
        <v>2.1012147712933498</v>
      </c>
      <c r="AR529" s="202">
        <f t="shared" si="282"/>
        <v>2.0400143410615046</v>
      </c>
      <c r="AS529" s="202">
        <f t="shared" si="282"/>
        <v>1.9805964476325288</v>
      </c>
      <c r="AT529" s="202">
        <f t="shared" si="282"/>
        <v>1.9229091724587657</v>
      </c>
      <c r="AU529" s="202">
        <f t="shared" si="282"/>
        <v>1.8669021091832678</v>
      </c>
      <c r="AV529" s="202">
        <f t="shared" si="282"/>
        <v>1.8125263195954056</v>
      </c>
      <c r="AW529" s="202">
        <f t="shared" si="282"/>
        <v>1.7597342908693259</v>
      </c>
      <c r="AX529" s="202">
        <f t="shared" si="282"/>
        <v>1.7084798940478891</v>
      </c>
      <c r="AY529" s="202">
        <f t="shared" si="282"/>
        <v>1.6587183437358151</v>
      </c>
      <c r="AZ529" s="202">
        <f t="shared" si="283"/>
        <v>1.6104061589668108</v>
      </c>
      <c r="BA529" s="202">
        <f t="shared" si="283"/>
        <v>1.5635011252104958</v>
      </c>
      <c r="BB529" s="202">
        <f t="shared" si="283"/>
        <v>1.517962257485918</v>
      </c>
      <c r="BC529" s="202">
        <f t="shared" si="283"/>
        <v>1.4737497645494353</v>
      </c>
      <c r="BD529" s="202">
        <f t="shared" si="283"/>
        <v>1.4308250141256653</v>
      </c>
      <c r="BE529" s="202">
        <f t="shared" si="283"/>
        <v>1.3891504991511314</v>
      </c>
      <c r="BF529" s="202">
        <f t="shared" si="283"/>
        <v>1.3486898050010985</v>
      </c>
      <c r="BG529" s="203">
        <f t="shared" si="264"/>
        <v>36.239800129849542</v>
      </c>
    </row>
    <row r="530" spans="27:59">
      <c r="AA530" s="180">
        <f t="shared" si="265"/>
        <v>3423000000</v>
      </c>
      <c r="AB530" s="41">
        <f t="shared" si="266"/>
        <v>4075</v>
      </c>
      <c r="AC530" s="21">
        <v>163</v>
      </c>
      <c r="AD530" s="21" t="s">
        <v>283</v>
      </c>
      <c r="AE530" s="175">
        <f t="shared" si="272"/>
        <v>30</v>
      </c>
      <c r="AF530" s="183">
        <f t="shared" si="273"/>
        <v>27</v>
      </c>
      <c r="AG530" s="84">
        <f t="shared" si="274"/>
        <v>0.39750000000000002</v>
      </c>
      <c r="AH530" s="244">
        <f t="shared" si="275"/>
        <v>0.159</v>
      </c>
      <c r="AI530" s="76">
        <f t="shared" si="276"/>
        <v>1.5600000000000002E-3</v>
      </c>
      <c r="AJ530" s="181">
        <f t="shared" si="277"/>
        <v>5.5650000000000005E-2</v>
      </c>
      <c r="AK530" s="182">
        <f t="shared" si="278"/>
        <v>2.3077257367928001</v>
      </c>
      <c r="AM530" s="201">
        <f t="shared" si="263"/>
        <v>2.3649357367928001</v>
      </c>
      <c r="AN530" s="202">
        <f t="shared" si="281"/>
        <v>2.2960541133910679</v>
      </c>
      <c r="AO530" s="202">
        <f t="shared" si="281"/>
        <v>2.2291787508651146</v>
      </c>
      <c r="AP530" s="202">
        <f t="shared" si="282"/>
        <v>2.16425121443215</v>
      </c>
      <c r="AQ530" s="202">
        <f t="shared" si="282"/>
        <v>2.1012147712933498</v>
      </c>
      <c r="AR530" s="202">
        <f t="shared" si="282"/>
        <v>2.0400143410615046</v>
      </c>
      <c r="AS530" s="202">
        <f t="shared" si="282"/>
        <v>1.9805964476325288</v>
      </c>
      <c r="AT530" s="202">
        <f t="shared" si="282"/>
        <v>1.9229091724587657</v>
      </c>
      <c r="AU530" s="202">
        <f t="shared" si="282"/>
        <v>1.8669021091832678</v>
      </c>
      <c r="AV530" s="202">
        <f t="shared" si="282"/>
        <v>1.8125263195954056</v>
      </c>
      <c r="AW530" s="202">
        <f t="shared" si="282"/>
        <v>1.7597342908693259</v>
      </c>
      <c r="AX530" s="202">
        <f t="shared" si="282"/>
        <v>1.7084798940478891</v>
      </c>
      <c r="AY530" s="202">
        <f t="shared" si="282"/>
        <v>1.6587183437358151</v>
      </c>
      <c r="AZ530" s="202">
        <f t="shared" si="283"/>
        <v>1.6104061589668108</v>
      </c>
      <c r="BA530" s="202">
        <f t="shared" si="283"/>
        <v>1.5635011252104958</v>
      </c>
      <c r="BB530" s="202">
        <f t="shared" si="283"/>
        <v>1.517962257485918</v>
      </c>
      <c r="BC530" s="202">
        <f t="shared" si="283"/>
        <v>1.4737497645494353</v>
      </c>
      <c r="BD530" s="202">
        <f t="shared" si="283"/>
        <v>1.4308250141256653</v>
      </c>
      <c r="BE530" s="202">
        <f t="shared" si="283"/>
        <v>1.3891504991511314</v>
      </c>
      <c r="BF530" s="202">
        <f t="shared" si="283"/>
        <v>1.3486898050010985</v>
      </c>
      <c r="BG530" s="203">
        <f t="shared" si="264"/>
        <v>36.239800129849542</v>
      </c>
    </row>
    <row r="531" spans="27:59">
      <c r="AA531" s="180">
        <f t="shared" si="265"/>
        <v>3444000000</v>
      </c>
      <c r="AB531" s="41">
        <f t="shared" si="266"/>
        <v>4100</v>
      </c>
      <c r="AC531" s="21">
        <v>164</v>
      </c>
      <c r="AD531" s="21" t="s">
        <v>283</v>
      </c>
      <c r="AE531" s="175">
        <f t="shared" si="272"/>
        <v>30</v>
      </c>
      <c r="AF531" s="183">
        <f t="shared" si="273"/>
        <v>27</v>
      </c>
      <c r="AG531" s="84">
        <f t="shared" si="274"/>
        <v>0.39750000000000002</v>
      </c>
      <c r="AH531" s="244">
        <f t="shared" si="275"/>
        <v>0.159</v>
      </c>
      <c r="AI531" s="76">
        <f t="shared" si="276"/>
        <v>1.5600000000000002E-3</v>
      </c>
      <c r="AJ531" s="181">
        <f t="shared" si="277"/>
        <v>5.5650000000000005E-2</v>
      </c>
      <c r="AK531" s="182">
        <f t="shared" si="278"/>
        <v>2.3077257367928001</v>
      </c>
      <c r="AM531" s="201">
        <f t="shared" si="263"/>
        <v>2.3649357367928001</v>
      </c>
      <c r="AN531" s="202">
        <f t="shared" si="281"/>
        <v>2.2960541133910679</v>
      </c>
      <c r="AO531" s="202">
        <f t="shared" si="281"/>
        <v>2.2291787508651146</v>
      </c>
      <c r="AP531" s="202">
        <f t="shared" si="282"/>
        <v>2.16425121443215</v>
      </c>
      <c r="AQ531" s="202">
        <f t="shared" si="282"/>
        <v>2.1012147712933498</v>
      </c>
      <c r="AR531" s="202">
        <f t="shared" si="282"/>
        <v>2.0400143410615046</v>
      </c>
      <c r="AS531" s="202">
        <f t="shared" si="282"/>
        <v>1.9805964476325288</v>
      </c>
      <c r="AT531" s="202">
        <f t="shared" si="282"/>
        <v>1.9229091724587657</v>
      </c>
      <c r="AU531" s="202">
        <f t="shared" si="282"/>
        <v>1.8669021091832678</v>
      </c>
      <c r="AV531" s="202">
        <f t="shared" si="282"/>
        <v>1.8125263195954056</v>
      </c>
      <c r="AW531" s="202">
        <f t="shared" si="282"/>
        <v>1.7597342908693259</v>
      </c>
      <c r="AX531" s="202">
        <f t="shared" si="282"/>
        <v>1.7084798940478891</v>
      </c>
      <c r="AY531" s="202">
        <f t="shared" si="282"/>
        <v>1.6587183437358151</v>
      </c>
      <c r="AZ531" s="202">
        <f t="shared" si="283"/>
        <v>1.6104061589668108</v>
      </c>
      <c r="BA531" s="202">
        <f t="shared" si="283"/>
        <v>1.5635011252104958</v>
      </c>
      <c r="BB531" s="202">
        <f t="shared" si="283"/>
        <v>1.517962257485918</v>
      </c>
      <c r="BC531" s="202">
        <f t="shared" si="283"/>
        <v>1.4737497645494353</v>
      </c>
      <c r="BD531" s="202">
        <f t="shared" si="283"/>
        <v>1.4308250141256653</v>
      </c>
      <c r="BE531" s="202">
        <f t="shared" si="283"/>
        <v>1.3891504991511314</v>
      </c>
      <c r="BF531" s="202">
        <f t="shared" si="283"/>
        <v>1.3486898050010985</v>
      </c>
      <c r="BG531" s="203">
        <f t="shared" si="264"/>
        <v>36.239800129849542</v>
      </c>
    </row>
    <row r="532" spans="27:59">
      <c r="AA532" s="180">
        <f t="shared" si="265"/>
        <v>3465000000</v>
      </c>
      <c r="AB532" s="41">
        <f t="shared" si="266"/>
        <v>4125</v>
      </c>
      <c r="AC532" s="21">
        <v>165</v>
      </c>
      <c r="AD532" s="21" t="s">
        <v>283</v>
      </c>
      <c r="AE532" s="175">
        <f t="shared" si="272"/>
        <v>30</v>
      </c>
      <c r="AF532" s="183">
        <f t="shared" si="273"/>
        <v>27</v>
      </c>
      <c r="AG532" s="84">
        <f t="shared" si="274"/>
        <v>0.39750000000000002</v>
      </c>
      <c r="AH532" s="244">
        <f t="shared" si="275"/>
        <v>0.159</v>
      </c>
      <c r="AI532" s="76">
        <f t="shared" si="276"/>
        <v>1.5600000000000002E-3</v>
      </c>
      <c r="AJ532" s="181">
        <f t="shared" si="277"/>
        <v>5.5650000000000005E-2</v>
      </c>
      <c r="AK532" s="182">
        <f t="shared" si="278"/>
        <v>2.3077257367928001</v>
      </c>
      <c r="AM532" s="201">
        <f t="shared" si="263"/>
        <v>2.3649357367928001</v>
      </c>
      <c r="AN532" s="202">
        <f t="shared" si="281"/>
        <v>2.2960541133910679</v>
      </c>
      <c r="AO532" s="202">
        <f t="shared" si="281"/>
        <v>2.2291787508651146</v>
      </c>
      <c r="AP532" s="202">
        <f t="shared" si="282"/>
        <v>2.16425121443215</v>
      </c>
      <c r="AQ532" s="202">
        <f t="shared" si="282"/>
        <v>2.1012147712933498</v>
      </c>
      <c r="AR532" s="202">
        <f t="shared" si="282"/>
        <v>2.0400143410615046</v>
      </c>
      <c r="AS532" s="202">
        <f t="shared" si="282"/>
        <v>1.9805964476325288</v>
      </c>
      <c r="AT532" s="202">
        <f t="shared" si="282"/>
        <v>1.9229091724587657</v>
      </c>
      <c r="AU532" s="202">
        <f t="shared" si="282"/>
        <v>1.8669021091832678</v>
      </c>
      <c r="AV532" s="202">
        <f t="shared" si="282"/>
        <v>1.8125263195954056</v>
      </c>
      <c r="AW532" s="202">
        <f t="shared" si="282"/>
        <v>1.7597342908693259</v>
      </c>
      <c r="AX532" s="202">
        <f t="shared" si="282"/>
        <v>1.7084798940478891</v>
      </c>
      <c r="AY532" s="202">
        <f t="shared" si="282"/>
        <v>1.6587183437358151</v>
      </c>
      <c r="AZ532" s="202">
        <f t="shared" si="283"/>
        <v>1.6104061589668108</v>
      </c>
      <c r="BA532" s="202">
        <f t="shared" si="283"/>
        <v>1.5635011252104958</v>
      </c>
      <c r="BB532" s="202">
        <f t="shared" si="283"/>
        <v>1.517962257485918</v>
      </c>
      <c r="BC532" s="202">
        <f t="shared" si="283"/>
        <v>1.4737497645494353</v>
      </c>
      <c r="BD532" s="202">
        <f t="shared" si="283"/>
        <v>1.4308250141256653</v>
      </c>
      <c r="BE532" s="202">
        <f t="shared" si="283"/>
        <v>1.3891504991511314</v>
      </c>
      <c r="BF532" s="202">
        <f t="shared" si="283"/>
        <v>1.3486898050010985</v>
      </c>
      <c r="BG532" s="203">
        <f t="shared" si="264"/>
        <v>36.239800129849542</v>
      </c>
    </row>
    <row r="533" spans="27:59">
      <c r="AA533" s="180">
        <f t="shared" si="265"/>
        <v>3486000000</v>
      </c>
      <c r="AB533" s="41">
        <f t="shared" si="266"/>
        <v>4150</v>
      </c>
      <c r="AC533" s="21">
        <v>166</v>
      </c>
      <c r="AD533" s="21" t="s">
        <v>283</v>
      </c>
      <c r="AE533" s="175">
        <f t="shared" si="272"/>
        <v>30</v>
      </c>
      <c r="AF533" s="183">
        <f t="shared" si="273"/>
        <v>27</v>
      </c>
      <c r="AG533" s="84">
        <f t="shared" si="274"/>
        <v>0.39750000000000002</v>
      </c>
      <c r="AH533" s="244">
        <f t="shared" si="275"/>
        <v>0.159</v>
      </c>
      <c r="AI533" s="76">
        <f t="shared" si="276"/>
        <v>1.5600000000000002E-3</v>
      </c>
      <c r="AJ533" s="181">
        <f t="shared" si="277"/>
        <v>5.5650000000000005E-2</v>
      </c>
      <c r="AK533" s="182">
        <f t="shared" si="278"/>
        <v>2.3077257367928001</v>
      </c>
      <c r="AM533" s="201">
        <f t="shared" si="263"/>
        <v>2.3649357367928001</v>
      </c>
      <c r="AN533" s="202">
        <f t="shared" si="281"/>
        <v>2.2960541133910679</v>
      </c>
      <c r="AO533" s="202">
        <f t="shared" si="281"/>
        <v>2.2291787508651146</v>
      </c>
      <c r="AP533" s="202">
        <f t="shared" si="282"/>
        <v>2.16425121443215</v>
      </c>
      <c r="AQ533" s="202">
        <f t="shared" si="282"/>
        <v>2.1012147712933498</v>
      </c>
      <c r="AR533" s="202">
        <f t="shared" si="282"/>
        <v>2.0400143410615046</v>
      </c>
      <c r="AS533" s="202">
        <f t="shared" si="282"/>
        <v>1.9805964476325288</v>
      </c>
      <c r="AT533" s="202">
        <f t="shared" si="282"/>
        <v>1.9229091724587657</v>
      </c>
      <c r="AU533" s="202">
        <f t="shared" si="282"/>
        <v>1.8669021091832678</v>
      </c>
      <c r="AV533" s="202">
        <f t="shared" si="282"/>
        <v>1.8125263195954056</v>
      </c>
      <c r="AW533" s="202">
        <f t="shared" si="282"/>
        <v>1.7597342908693259</v>
      </c>
      <c r="AX533" s="202">
        <f t="shared" si="282"/>
        <v>1.7084798940478891</v>
      </c>
      <c r="AY533" s="202">
        <f t="shared" si="282"/>
        <v>1.6587183437358151</v>
      </c>
      <c r="AZ533" s="202">
        <f t="shared" si="283"/>
        <v>1.6104061589668108</v>
      </c>
      <c r="BA533" s="202">
        <f t="shared" si="283"/>
        <v>1.5635011252104958</v>
      </c>
      <c r="BB533" s="202">
        <f t="shared" si="283"/>
        <v>1.517962257485918</v>
      </c>
      <c r="BC533" s="202">
        <f t="shared" si="283"/>
        <v>1.4737497645494353</v>
      </c>
      <c r="BD533" s="202">
        <f t="shared" si="283"/>
        <v>1.4308250141256653</v>
      </c>
      <c r="BE533" s="202">
        <f t="shared" si="283"/>
        <v>1.3891504991511314</v>
      </c>
      <c r="BF533" s="202">
        <f t="shared" si="283"/>
        <v>1.3486898050010985</v>
      </c>
      <c r="BG533" s="203">
        <f t="shared" si="264"/>
        <v>36.239800129849542</v>
      </c>
    </row>
    <row r="534" spans="27:59">
      <c r="AA534" s="180">
        <f t="shared" si="265"/>
        <v>3507000000</v>
      </c>
      <c r="AB534" s="41">
        <f t="shared" si="266"/>
        <v>4175</v>
      </c>
      <c r="AC534" s="21">
        <v>167</v>
      </c>
      <c r="AD534" s="21" t="s">
        <v>283</v>
      </c>
      <c r="AE534" s="175">
        <f t="shared" si="272"/>
        <v>30</v>
      </c>
      <c r="AF534" s="183">
        <f t="shared" si="273"/>
        <v>27</v>
      </c>
      <c r="AG534" s="84">
        <f t="shared" si="274"/>
        <v>0.39750000000000002</v>
      </c>
      <c r="AH534" s="244">
        <f t="shared" si="275"/>
        <v>0.159</v>
      </c>
      <c r="AI534" s="76">
        <f t="shared" si="276"/>
        <v>1.5600000000000002E-3</v>
      </c>
      <c r="AJ534" s="181">
        <f t="shared" si="277"/>
        <v>5.5650000000000005E-2</v>
      </c>
      <c r="AK534" s="182">
        <f t="shared" si="278"/>
        <v>2.3077257367928001</v>
      </c>
      <c r="AM534" s="201">
        <f t="shared" si="263"/>
        <v>2.3649357367928001</v>
      </c>
      <c r="AN534" s="202">
        <f t="shared" si="281"/>
        <v>2.2960541133910679</v>
      </c>
      <c r="AO534" s="202">
        <f t="shared" si="281"/>
        <v>2.2291787508651146</v>
      </c>
      <c r="AP534" s="202">
        <f t="shared" si="282"/>
        <v>2.16425121443215</v>
      </c>
      <c r="AQ534" s="202">
        <f t="shared" si="282"/>
        <v>2.1012147712933498</v>
      </c>
      <c r="AR534" s="202">
        <f t="shared" si="282"/>
        <v>2.0400143410615046</v>
      </c>
      <c r="AS534" s="202">
        <f t="shared" si="282"/>
        <v>1.9805964476325288</v>
      </c>
      <c r="AT534" s="202">
        <f t="shared" si="282"/>
        <v>1.9229091724587657</v>
      </c>
      <c r="AU534" s="202">
        <f t="shared" si="282"/>
        <v>1.8669021091832678</v>
      </c>
      <c r="AV534" s="202">
        <f t="shared" si="282"/>
        <v>1.8125263195954056</v>
      </c>
      <c r="AW534" s="202">
        <f t="shared" si="282"/>
        <v>1.7597342908693259</v>
      </c>
      <c r="AX534" s="202">
        <f t="shared" si="282"/>
        <v>1.7084798940478891</v>
      </c>
      <c r="AY534" s="202">
        <f t="shared" si="282"/>
        <v>1.6587183437358151</v>
      </c>
      <c r="AZ534" s="202">
        <f t="shared" si="283"/>
        <v>1.6104061589668108</v>
      </c>
      <c r="BA534" s="202">
        <f t="shared" si="283"/>
        <v>1.5635011252104958</v>
      </c>
      <c r="BB534" s="202">
        <f t="shared" si="283"/>
        <v>1.517962257485918</v>
      </c>
      <c r="BC534" s="202">
        <f t="shared" si="283"/>
        <v>1.4737497645494353</v>
      </c>
      <c r="BD534" s="202">
        <f t="shared" si="283"/>
        <v>1.4308250141256653</v>
      </c>
      <c r="BE534" s="202">
        <f t="shared" si="283"/>
        <v>1.3891504991511314</v>
      </c>
      <c r="BF534" s="202">
        <f t="shared" si="283"/>
        <v>1.3486898050010985</v>
      </c>
      <c r="BG534" s="203">
        <f t="shared" si="264"/>
        <v>36.239800129849542</v>
      </c>
    </row>
    <row r="535" spans="27:59">
      <c r="AA535" s="180">
        <f t="shared" si="265"/>
        <v>3528000000</v>
      </c>
      <c r="AB535" s="41">
        <f t="shared" si="266"/>
        <v>4200</v>
      </c>
      <c r="AC535" s="21">
        <v>168</v>
      </c>
      <c r="AD535" s="21" t="s">
        <v>283</v>
      </c>
      <c r="AE535" s="175">
        <f t="shared" si="272"/>
        <v>30</v>
      </c>
      <c r="AF535" s="183">
        <f t="shared" si="273"/>
        <v>27</v>
      </c>
      <c r="AG535" s="84">
        <f t="shared" si="274"/>
        <v>0.39750000000000002</v>
      </c>
      <c r="AH535" s="244">
        <f t="shared" si="275"/>
        <v>0.159</v>
      </c>
      <c r="AI535" s="76">
        <f t="shared" si="276"/>
        <v>1.5600000000000002E-3</v>
      </c>
      <c r="AJ535" s="181">
        <f t="shared" si="277"/>
        <v>5.5650000000000005E-2</v>
      </c>
      <c r="AK535" s="182">
        <f t="shared" si="278"/>
        <v>2.3077257367928001</v>
      </c>
      <c r="AM535" s="201">
        <f t="shared" si="263"/>
        <v>2.3649357367928001</v>
      </c>
      <c r="AN535" s="202">
        <f t="shared" si="281"/>
        <v>2.2960541133910679</v>
      </c>
      <c r="AO535" s="202">
        <f t="shared" si="281"/>
        <v>2.2291787508651146</v>
      </c>
      <c r="AP535" s="202">
        <f t="shared" si="282"/>
        <v>2.16425121443215</v>
      </c>
      <c r="AQ535" s="202">
        <f t="shared" si="282"/>
        <v>2.1012147712933498</v>
      </c>
      <c r="AR535" s="202">
        <f t="shared" si="282"/>
        <v>2.0400143410615046</v>
      </c>
      <c r="AS535" s="202">
        <f t="shared" si="282"/>
        <v>1.9805964476325288</v>
      </c>
      <c r="AT535" s="202">
        <f t="shared" si="282"/>
        <v>1.9229091724587657</v>
      </c>
      <c r="AU535" s="202">
        <f t="shared" si="282"/>
        <v>1.8669021091832678</v>
      </c>
      <c r="AV535" s="202">
        <f t="shared" si="282"/>
        <v>1.8125263195954056</v>
      </c>
      <c r="AW535" s="202">
        <f t="shared" si="282"/>
        <v>1.7597342908693259</v>
      </c>
      <c r="AX535" s="202">
        <f t="shared" si="282"/>
        <v>1.7084798940478891</v>
      </c>
      <c r="AY535" s="202">
        <f t="shared" si="282"/>
        <v>1.6587183437358151</v>
      </c>
      <c r="AZ535" s="202">
        <f t="shared" si="283"/>
        <v>1.6104061589668108</v>
      </c>
      <c r="BA535" s="202">
        <f t="shared" si="283"/>
        <v>1.5635011252104958</v>
      </c>
      <c r="BB535" s="202">
        <f t="shared" si="283"/>
        <v>1.517962257485918</v>
      </c>
      <c r="BC535" s="202">
        <f t="shared" si="283"/>
        <v>1.4737497645494353</v>
      </c>
      <c r="BD535" s="202">
        <f t="shared" si="283"/>
        <v>1.4308250141256653</v>
      </c>
      <c r="BE535" s="202">
        <f t="shared" si="283"/>
        <v>1.3891504991511314</v>
      </c>
      <c r="BF535" s="202">
        <f t="shared" si="283"/>
        <v>1.3486898050010985</v>
      </c>
      <c r="BG535" s="203">
        <f t="shared" si="264"/>
        <v>36.239800129849542</v>
      </c>
    </row>
    <row r="536" spans="27:59">
      <c r="AA536" s="180">
        <f t="shared" si="265"/>
        <v>3549000000</v>
      </c>
      <c r="AB536" s="41">
        <f t="shared" si="266"/>
        <v>4225</v>
      </c>
      <c r="AC536" s="21">
        <v>169</v>
      </c>
      <c r="AD536" s="21" t="s">
        <v>283</v>
      </c>
      <c r="AE536" s="175">
        <f t="shared" si="272"/>
        <v>30</v>
      </c>
      <c r="AF536" s="183">
        <f t="shared" si="273"/>
        <v>27</v>
      </c>
      <c r="AG536" s="84">
        <f t="shared" si="274"/>
        <v>0.39750000000000002</v>
      </c>
      <c r="AH536" s="244">
        <f t="shared" si="275"/>
        <v>0.159</v>
      </c>
      <c r="AI536" s="76">
        <f t="shared" si="276"/>
        <v>1.5600000000000002E-3</v>
      </c>
      <c r="AJ536" s="181">
        <f t="shared" si="277"/>
        <v>5.5650000000000005E-2</v>
      </c>
      <c r="AK536" s="182">
        <f t="shared" si="278"/>
        <v>2.3077257367928001</v>
      </c>
      <c r="AM536" s="201">
        <f t="shared" si="263"/>
        <v>2.3649357367928001</v>
      </c>
      <c r="AN536" s="202">
        <f t="shared" si="281"/>
        <v>2.2960541133910679</v>
      </c>
      <c r="AO536" s="202">
        <f t="shared" si="281"/>
        <v>2.2291787508651146</v>
      </c>
      <c r="AP536" s="202">
        <f t="shared" si="282"/>
        <v>2.16425121443215</v>
      </c>
      <c r="AQ536" s="202">
        <f t="shared" si="282"/>
        <v>2.1012147712933498</v>
      </c>
      <c r="AR536" s="202">
        <f t="shared" si="282"/>
        <v>2.0400143410615046</v>
      </c>
      <c r="AS536" s="202">
        <f t="shared" si="282"/>
        <v>1.9805964476325288</v>
      </c>
      <c r="AT536" s="202">
        <f t="shared" si="282"/>
        <v>1.9229091724587657</v>
      </c>
      <c r="AU536" s="202">
        <f t="shared" si="282"/>
        <v>1.8669021091832678</v>
      </c>
      <c r="AV536" s="202">
        <f t="shared" si="282"/>
        <v>1.8125263195954056</v>
      </c>
      <c r="AW536" s="202">
        <f t="shared" si="282"/>
        <v>1.7597342908693259</v>
      </c>
      <c r="AX536" s="202">
        <f t="shared" si="282"/>
        <v>1.7084798940478891</v>
      </c>
      <c r="AY536" s="202">
        <f t="shared" si="282"/>
        <v>1.6587183437358151</v>
      </c>
      <c r="AZ536" s="202">
        <f t="shared" si="283"/>
        <v>1.6104061589668108</v>
      </c>
      <c r="BA536" s="202">
        <f t="shared" si="283"/>
        <v>1.5635011252104958</v>
      </c>
      <c r="BB536" s="202">
        <f t="shared" si="283"/>
        <v>1.517962257485918</v>
      </c>
      <c r="BC536" s="202">
        <f t="shared" si="283"/>
        <v>1.4737497645494353</v>
      </c>
      <c r="BD536" s="202">
        <f t="shared" si="283"/>
        <v>1.4308250141256653</v>
      </c>
      <c r="BE536" s="202">
        <f t="shared" si="283"/>
        <v>1.3891504991511314</v>
      </c>
      <c r="BF536" s="202">
        <f t="shared" si="283"/>
        <v>1.3486898050010985</v>
      </c>
      <c r="BG536" s="203">
        <f t="shared" si="264"/>
        <v>36.239800129849542</v>
      </c>
    </row>
    <row r="537" spans="27:59">
      <c r="AA537" s="180">
        <f t="shared" si="265"/>
        <v>3570000000</v>
      </c>
      <c r="AB537" s="41">
        <f t="shared" si="266"/>
        <v>4250</v>
      </c>
      <c r="AC537" s="21">
        <v>170</v>
      </c>
      <c r="AD537" s="21" t="s">
        <v>283</v>
      </c>
      <c r="AE537" s="175">
        <f t="shared" si="272"/>
        <v>30</v>
      </c>
      <c r="AF537" s="183">
        <f t="shared" si="273"/>
        <v>27</v>
      </c>
      <c r="AG537" s="84">
        <f t="shared" si="274"/>
        <v>0.39750000000000002</v>
      </c>
      <c r="AH537" s="244">
        <f t="shared" si="275"/>
        <v>0.159</v>
      </c>
      <c r="AI537" s="76">
        <f t="shared" si="276"/>
        <v>1.5600000000000002E-3</v>
      </c>
      <c r="AJ537" s="181">
        <f t="shared" si="277"/>
        <v>5.5650000000000005E-2</v>
      </c>
      <c r="AK537" s="182">
        <f t="shared" si="278"/>
        <v>2.3077257367928001</v>
      </c>
      <c r="AM537" s="201">
        <f t="shared" si="263"/>
        <v>2.3649357367928001</v>
      </c>
      <c r="AN537" s="202">
        <f t="shared" si="281"/>
        <v>2.2960541133910679</v>
      </c>
      <c r="AO537" s="202">
        <f t="shared" si="281"/>
        <v>2.2291787508651146</v>
      </c>
      <c r="AP537" s="202">
        <f t="shared" si="282"/>
        <v>2.16425121443215</v>
      </c>
      <c r="AQ537" s="202">
        <f t="shared" si="282"/>
        <v>2.1012147712933498</v>
      </c>
      <c r="AR537" s="202">
        <f t="shared" si="282"/>
        <v>2.0400143410615046</v>
      </c>
      <c r="AS537" s="202">
        <f t="shared" si="282"/>
        <v>1.9805964476325288</v>
      </c>
      <c r="AT537" s="202">
        <f t="shared" si="282"/>
        <v>1.9229091724587657</v>
      </c>
      <c r="AU537" s="202">
        <f t="shared" si="282"/>
        <v>1.8669021091832678</v>
      </c>
      <c r="AV537" s="202">
        <f t="shared" si="282"/>
        <v>1.8125263195954056</v>
      </c>
      <c r="AW537" s="202">
        <f t="shared" si="282"/>
        <v>1.7597342908693259</v>
      </c>
      <c r="AX537" s="202">
        <f t="shared" si="282"/>
        <v>1.7084798940478891</v>
      </c>
      <c r="AY537" s="202">
        <f t="shared" si="282"/>
        <v>1.6587183437358151</v>
      </c>
      <c r="AZ537" s="202">
        <f t="shared" si="283"/>
        <v>1.6104061589668108</v>
      </c>
      <c r="BA537" s="202">
        <f t="shared" si="283"/>
        <v>1.5635011252104958</v>
      </c>
      <c r="BB537" s="202">
        <f t="shared" si="283"/>
        <v>1.517962257485918</v>
      </c>
      <c r="BC537" s="202">
        <f t="shared" si="283"/>
        <v>1.4737497645494353</v>
      </c>
      <c r="BD537" s="202">
        <f t="shared" si="283"/>
        <v>1.4308250141256653</v>
      </c>
      <c r="BE537" s="202">
        <f t="shared" si="283"/>
        <v>1.3891504991511314</v>
      </c>
      <c r="BF537" s="202">
        <f t="shared" si="283"/>
        <v>1.3486898050010985</v>
      </c>
      <c r="BG537" s="203">
        <f t="shared" si="264"/>
        <v>36.239800129849542</v>
      </c>
    </row>
    <row r="538" spans="27:59">
      <c r="AA538" s="180">
        <f t="shared" si="265"/>
        <v>3591000000</v>
      </c>
      <c r="AB538" s="41">
        <f t="shared" si="266"/>
        <v>4275</v>
      </c>
      <c r="AC538" s="21">
        <v>171</v>
      </c>
      <c r="AD538" s="21" t="s">
        <v>283</v>
      </c>
      <c r="AE538" s="175">
        <f t="shared" si="272"/>
        <v>30</v>
      </c>
      <c r="AF538" s="183">
        <f t="shared" si="273"/>
        <v>27</v>
      </c>
      <c r="AG538" s="84">
        <f t="shared" si="274"/>
        <v>0.39750000000000002</v>
      </c>
      <c r="AH538" s="244">
        <f t="shared" si="275"/>
        <v>0.159</v>
      </c>
      <c r="AI538" s="76">
        <f t="shared" si="276"/>
        <v>1.5600000000000002E-3</v>
      </c>
      <c r="AJ538" s="181">
        <f t="shared" si="277"/>
        <v>5.5650000000000005E-2</v>
      </c>
      <c r="AK538" s="182">
        <f t="shared" si="278"/>
        <v>2.3077257367928001</v>
      </c>
      <c r="AM538" s="201">
        <f t="shared" si="263"/>
        <v>2.3649357367928001</v>
      </c>
      <c r="AN538" s="202">
        <f t="shared" si="281"/>
        <v>2.2960541133910679</v>
      </c>
      <c r="AO538" s="202">
        <f t="shared" si="281"/>
        <v>2.2291787508651146</v>
      </c>
      <c r="AP538" s="202">
        <f t="shared" ref="AP538:AY544" si="284">$AM538/POWER(1+($B$10/100),AP$366-2024)</f>
        <v>2.16425121443215</v>
      </c>
      <c r="AQ538" s="202">
        <f t="shared" si="284"/>
        <v>2.1012147712933498</v>
      </c>
      <c r="AR538" s="202">
        <f t="shared" si="284"/>
        <v>2.0400143410615046</v>
      </c>
      <c r="AS538" s="202">
        <f t="shared" si="284"/>
        <v>1.9805964476325288</v>
      </c>
      <c r="AT538" s="202">
        <f t="shared" si="284"/>
        <v>1.9229091724587657</v>
      </c>
      <c r="AU538" s="202">
        <f t="shared" si="284"/>
        <v>1.8669021091832678</v>
      </c>
      <c r="AV538" s="202">
        <f t="shared" si="284"/>
        <v>1.8125263195954056</v>
      </c>
      <c r="AW538" s="202">
        <f t="shared" si="284"/>
        <v>1.7597342908693259</v>
      </c>
      <c r="AX538" s="202">
        <f t="shared" si="284"/>
        <v>1.7084798940478891</v>
      </c>
      <c r="AY538" s="202">
        <f t="shared" si="284"/>
        <v>1.6587183437358151</v>
      </c>
      <c r="AZ538" s="202">
        <f t="shared" ref="AZ538:BF544" si="285">$AM538/POWER(1+($B$10/100),AZ$366-2024)</f>
        <v>1.6104061589668108</v>
      </c>
      <c r="BA538" s="202">
        <f t="shared" si="285"/>
        <v>1.5635011252104958</v>
      </c>
      <c r="BB538" s="202">
        <f t="shared" si="285"/>
        <v>1.517962257485918</v>
      </c>
      <c r="BC538" s="202">
        <f t="shared" si="285"/>
        <v>1.4737497645494353</v>
      </c>
      <c r="BD538" s="202">
        <f t="shared" si="285"/>
        <v>1.4308250141256653</v>
      </c>
      <c r="BE538" s="202">
        <f t="shared" si="285"/>
        <v>1.3891504991511314</v>
      </c>
      <c r="BF538" s="202">
        <f t="shared" si="285"/>
        <v>1.3486898050010985</v>
      </c>
      <c r="BG538" s="203">
        <f t="shared" si="264"/>
        <v>36.239800129849542</v>
      </c>
    </row>
    <row r="539" spans="27:59">
      <c r="AA539" s="180">
        <f t="shared" si="265"/>
        <v>3612000000</v>
      </c>
      <c r="AB539" s="41">
        <f t="shared" si="266"/>
        <v>4300</v>
      </c>
      <c r="AC539" s="21">
        <v>172</v>
      </c>
      <c r="AD539" s="21" t="s">
        <v>283</v>
      </c>
      <c r="AE539" s="175">
        <f t="shared" si="272"/>
        <v>30</v>
      </c>
      <c r="AF539" s="183">
        <f t="shared" si="273"/>
        <v>27</v>
      </c>
      <c r="AG539" s="84">
        <f t="shared" si="274"/>
        <v>0.39750000000000002</v>
      </c>
      <c r="AH539" s="244">
        <f t="shared" si="275"/>
        <v>0.159</v>
      </c>
      <c r="AI539" s="76">
        <f t="shared" si="276"/>
        <v>1.5600000000000002E-3</v>
      </c>
      <c r="AJ539" s="181">
        <f t="shared" si="277"/>
        <v>5.5650000000000005E-2</v>
      </c>
      <c r="AK539" s="182">
        <f t="shared" si="278"/>
        <v>2.3077257367928001</v>
      </c>
      <c r="AM539" s="201">
        <f t="shared" si="263"/>
        <v>2.3649357367928001</v>
      </c>
      <c r="AN539" s="202">
        <f t="shared" si="281"/>
        <v>2.2960541133910679</v>
      </c>
      <c r="AO539" s="202">
        <f t="shared" si="281"/>
        <v>2.2291787508651146</v>
      </c>
      <c r="AP539" s="202">
        <f t="shared" si="284"/>
        <v>2.16425121443215</v>
      </c>
      <c r="AQ539" s="202">
        <f t="shared" si="284"/>
        <v>2.1012147712933498</v>
      </c>
      <c r="AR539" s="202">
        <f t="shared" si="284"/>
        <v>2.0400143410615046</v>
      </c>
      <c r="AS539" s="202">
        <f t="shared" si="284"/>
        <v>1.9805964476325288</v>
      </c>
      <c r="AT539" s="202">
        <f t="shared" si="284"/>
        <v>1.9229091724587657</v>
      </c>
      <c r="AU539" s="202">
        <f t="shared" si="284"/>
        <v>1.8669021091832678</v>
      </c>
      <c r="AV539" s="202">
        <f t="shared" si="284"/>
        <v>1.8125263195954056</v>
      </c>
      <c r="AW539" s="202">
        <f t="shared" si="284"/>
        <v>1.7597342908693259</v>
      </c>
      <c r="AX539" s="202">
        <f t="shared" si="284"/>
        <v>1.7084798940478891</v>
      </c>
      <c r="AY539" s="202">
        <f t="shared" si="284"/>
        <v>1.6587183437358151</v>
      </c>
      <c r="AZ539" s="202">
        <f t="shared" si="285"/>
        <v>1.6104061589668108</v>
      </c>
      <c r="BA539" s="202">
        <f t="shared" si="285"/>
        <v>1.5635011252104958</v>
      </c>
      <c r="BB539" s="202">
        <f t="shared" si="285"/>
        <v>1.517962257485918</v>
      </c>
      <c r="BC539" s="202">
        <f t="shared" si="285"/>
        <v>1.4737497645494353</v>
      </c>
      <c r="BD539" s="202">
        <f t="shared" si="285"/>
        <v>1.4308250141256653</v>
      </c>
      <c r="BE539" s="202">
        <f t="shared" si="285"/>
        <v>1.3891504991511314</v>
      </c>
      <c r="BF539" s="202">
        <f t="shared" si="285"/>
        <v>1.3486898050010985</v>
      </c>
      <c r="BG539" s="203">
        <f t="shared" si="264"/>
        <v>36.239800129849542</v>
      </c>
    </row>
    <row r="540" spans="27:59">
      <c r="AA540" s="180">
        <f t="shared" si="265"/>
        <v>3633000000</v>
      </c>
      <c r="AB540" s="41">
        <f t="shared" si="266"/>
        <v>4325</v>
      </c>
      <c r="AC540" s="21">
        <v>173</v>
      </c>
      <c r="AD540" s="21" t="s">
        <v>283</v>
      </c>
      <c r="AE540" s="175">
        <f t="shared" si="272"/>
        <v>30</v>
      </c>
      <c r="AF540" s="183">
        <f t="shared" si="273"/>
        <v>27</v>
      </c>
      <c r="AG540" s="84">
        <f t="shared" si="274"/>
        <v>0.39750000000000002</v>
      </c>
      <c r="AH540" s="244">
        <f t="shared" si="275"/>
        <v>0.159</v>
      </c>
      <c r="AI540" s="76">
        <f t="shared" si="276"/>
        <v>1.5600000000000002E-3</v>
      </c>
      <c r="AJ540" s="181">
        <f t="shared" si="277"/>
        <v>5.5650000000000005E-2</v>
      </c>
      <c r="AK540" s="182">
        <f t="shared" si="278"/>
        <v>2.3077257367928001</v>
      </c>
      <c r="AM540" s="201">
        <f t="shared" si="263"/>
        <v>2.3649357367928001</v>
      </c>
      <c r="AN540" s="202">
        <f t="shared" si="281"/>
        <v>2.2960541133910679</v>
      </c>
      <c r="AO540" s="202">
        <f t="shared" si="281"/>
        <v>2.2291787508651146</v>
      </c>
      <c r="AP540" s="202">
        <f t="shared" si="284"/>
        <v>2.16425121443215</v>
      </c>
      <c r="AQ540" s="202">
        <f t="shared" si="284"/>
        <v>2.1012147712933498</v>
      </c>
      <c r="AR540" s="202">
        <f t="shared" si="284"/>
        <v>2.0400143410615046</v>
      </c>
      <c r="AS540" s="202">
        <f t="shared" si="284"/>
        <v>1.9805964476325288</v>
      </c>
      <c r="AT540" s="202">
        <f t="shared" si="284"/>
        <v>1.9229091724587657</v>
      </c>
      <c r="AU540" s="202">
        <f t="shared" si="284"/>
        <v>1.8669021091832678</v>
      </c>
      <c r="AV540" s="202">
        <f t="shared" si="284"/>
        <v>1.8125263195954056</v>
      </c>
      <c r="AW540" s="202">
        <f t="shared" si="284"/>
        <v>1.7597342908693259</v>
      </c>
      <c r="AX540" s="202">
        <f t="shared" si="284"/>
        <v>1.7084798940478891</v>
      </c>
      <c r="AY540" s="202">
        <f t="shared" si="284"/>
        <v>1.6587183437358151</v>
      </c>
      <c r="AZ540" s="202">
        <f t="shared" si="285"/>
        <v>1.6104061589668108</v>
      </c>
      <c r="BA540" s="202">
        <f t="shared" si="285"/>
        <v>1.5635011252104958</v>
      </c>
      <c r="BB540" s="202">
        <f t="shared" si="285"/>
        <v>1.517962257485918</v>
      </c>
      <c r="BC540" s="202">
        <f t="shared" si="285"/>
        <v>1.4737497645494353</v>
      </c>
      <c r="BD540" s="202">
        <f t="shared" si="285"/>
        <v>1.4308250141256653</v>
      </c>
      <c r="BE540" s="202">
        <f t="shared" si="285"/>
        <v>1.3891504991511314</v>
      </c>
      <c r="BF540" s="202">
        <f t="shared" si="285"/>
        <v>1.3486898050010985</v>
      </c>
      <c r="BG540" s="203">
        <f t="shared" si="264"/>
        <v>36.239800129849542</v>
      </c>
    </row>
    <row r="541" spans="27:59">
      <c r="AA541" s="180">
        <f t="shared" si="265"/>
        <v>3654000000</v>
      </c>
      <c r="AB541" s="41">
        <f t="shared" si="266"/>
        <v>4350</v>
      </c>
      <c r="AC541" s="21">
        <v>174</v>
      </c>
      <c r="AD541" s="21" t="s">
        <v>283</v>
      </c>
      <c r="AE541" s="175">
        <f t="shared" si="272"/>
        <v>30</v>
      </c>
      <c r="AF541" s="183">
        <f t="shared" si="273"/>
        <v>27</v>
      </c>
      <c r="AG541" s="84">
        <f t="shared" si="274"/>
        <v>0.39750000000000002</v>
      </c>
      <c r="AH541" s="244">
        <f t="shared" si="275"/>
        <v>0.159</v>
      </c>
      <c r="AI541" s="76">
        <f t="shared" si="276"/>
        <v>1.5600000000000002E-3</v>
      </c>
      <c r="AJ541" s="181">
        <f t="shared" si="277"/>
        <v>5.5650000000000005E-2</v>
      </c>
      <c r="AK541" s="182">
        <f t="shared" si="278"/>
        <v>2.3077257367928001</v>
      </c>
      <c r="AM541" s="201">
        <f t="shared" si="263"/>
        <v>2.3649357367928001</v>
      </c>
      <c r="AN541" s="202">
        <f t="shared" si="281"/>
        <v>2.2960541133910679</v>
      </c>
      <c r="AO541" s="202">
        <f t="shared" si="281"/>
        <v>2.2291787508651146</v>
      </c>
      <c r="AP541" s="202">
        <f t="shared" si="284"/>
        <v>2.16425121443215</v>
      </c>
      <c r="AQ541" s="202">
        <f t="shared" si="284"/>
        <v>2.1012147712933498</v>
      </c>
      <c r="AR541" s="202">
        <f t="shared" si="284"/>
        <v>2.0400143410615046</v>
      </c>
      <c r="AS541" s="202">
        <f t="shared" si="284"/>
        <v>1.9805964476325288</v>
      </c>
      <c r="AT541" s="202">
        <f t="shared" si="284"/>
        <v>1.9229091724587657</v>
      </c>
      <c r="AU541" s="202">
        <f t="shared" si="284"/>
        <v>1.8669021091832678</v>
      </c>
      <c r="AV541" s="202">
        <f t="shared" si="284"/>
        <v>1.8125263195954056</v>
      </c>
      <c r="AW541" s="202">
        <f t="shared" si="284"/>
        <v>1.7597342908693259</v>
      </c>
      <c r="AX541" s="202">
        <f t="shared" si="284"/>
        <v>1.7084798940478891</v>
      </c>
      <c r="AY541" s="202">
        <f t="shared" si="284"/>
        <v>1.6587183437358151</v>
      </c>
      <c r="AZ541" s="202">
        <f t="shared" si="285"/>
        <v>1.6104061589668108</v>
      </c>
      <c r="BA541" s="202">
        <f t="shared" si="285"/>
        <v>1.5635011252104958</v>
      </c>
      <c r="BB541" s="202">
        <f t="shared" si="285"/>
        <v>1.517962257485918</v>
      </c>
      <c r="BC541" s="202">
        <f t="shared" si="285"/>
        <v>1.4737497645494353</v>
      </c>
      <c r="BD541" s="202">
        <f t="shared" si="285"/>
        <v>1.4308250141256653</v>
      </c>
      <c r="BE541" s="202">
        <f t="shared" si="285"/>
        <v>1.3891504991511314</v>
      </c>
      <c r="BF541" s="202">
        <f t="shared" si="285"/>
        <v>1.3486898050010985</v>
      </c>
      <c r="BG541" s="203">
        <f t="shared" si="264"/>
        <v>36.239800129849542</v>
      </c>
    </row>
    <row r="542" spans="27:59">
      <c r="AA542" s="180">
        <f t="shared" si="265"/>
        <v>3675000000</v>
      </c>
      <c r="AB542" s="41">
        <f t="shared" si="266"/>
        <v>4375</v>
      </c>
      <c r="AC542" s="21">
        <v>175</v>
      </c>
      <c r="AD542" s="21" t="s">
        <v>283</v>
      </c>
      <c r="AE542" s="175">
        <f t="shared" si="272"/>
        <v>30</v>
      </c>
      <c r="AF542" s="183">
        <f t="shared" si="273"/>
        <v>27</v>
      </c>
      <c r="AG542" s="84">
        <f t="shared" si="274"/>
        <v>0.39750000000000002</v>
      </c>
      <c r="AH542" s="244">
        <f t="shared" si="275"/>
        <v>0.159</v>
      </c>
      <c r="AI542" s="76">
        <f t="shared" si="276"/>
        <v>1.5600000000000002E-3</v>
      </c>
      <c r="AJ542" s="181">
        <f t="shared" si="277"/>
        <v>5.5650000000000005E-2</v>
      </c>
      <c r="AK542" s="182">
        <f t="shared" si="278"/>
        <v>2.3077257367928001</v>
      </c>
      <c r="AM542" s="201">
        <f t="shared" si="263"/>
        <v>2.3649357367928001</v>
      </c>
      <c r="AN542" s="202">
        <f t="shared" si="281"/>
        <v>2.2960541133910679</v>
      </c>
      <c r="AO542" s="202">
        <f t="shared" si="281"/>
        <v>2.2291787508651146</v>
      </c>
      <c r="AP542" s="202">
        <f t="shared" si="284"/>
        <v>2.16425121443215</v>
      </c>
      <c r="AQ542" s="202">
        <f t="shared" si="284"/>
        <v>2.1012147712933498</v>
      </c>
      <c r="AR542" s="202">
        <f t="shared" si="284"/>
        <v>2.0400143410615046</v>
      </c>
      <c r="AS542" s="202">
        <f t="shared" si="284"/>
        <v>1.9805964476325288</v>
      </c>
      <c r="AT542" s="202">
        <f t="shared" si="284"/>
        <v>1.9229091724587657</v>
      </c>
      <c r="AU542" s="202">
        <f t="shared" si="284"/>
        <v>1.8669021091832678</v>
      </c>
      <c r="AV542" s="202">
        <f t="shared" si="284"/>
        <v>1.8125263195954056</v>
      </c>
      <c r="AW542" s="202">
        <f t="shared" si="284"/>
        <v>1.7597342908693259</v>
      </c>
      <c r="AX542" s="202">
        <f t="shared" si="284"/>
        <v>1.7084798940478891</v>
      </c>
      <c r="AY542" s="202">
        <f t="shared" si="284"/>
        <v>1.6587183437358151</v>
      </c>
      <c r="AZ542" s="202">
        <f t="shared" si="285"/>
        <v>1.6104061589668108</v>
      </c>
      <c r="BA542" s="202">
        <f t="shared" si="285"/>
        <v>1.5635011252104958</v>
      </c>
      <c r="BB542" s="202">
        <f t="shared" si="285"/>
        <v>1.517962257485918</v>
      </c>
      <c r="BC542" s="202">
        <f t="shared" si="285"/>
        <v>1.4737497645494353</v>
      </c>
      <c r="BD542" s="202">
        <f t="shared" si="285"/>
        <v>1.4308250141256653</v>
      </c>
      <c r="BE542" s="202">
        <f t="shared" si="285"/>
        <v>1.3891504991511314</v>
      </c>
      <c r="BF542" s="202">
        <f t="shared" si="285"/>
        <v>1.3486898050010985</v>
      </c>
      <c r="BG542" s="203">
        <f t="shared" si="264"/>
        <v>36.239800129849542</v>
      </c>
    </row>
    <row r="543" spans="27:59" ht="15" thickBot="1">
      <c r="AA543" s="180">
        <f t="shared" si="265"/>
        <v>3696000000</v>
      </c>
      <c r="AB543" s="41">
        <f t="shared" si="266"/>
        <v>4400</v>
      </c>
      <c r="AC543" s="21">
        <v>176</v>
      </c>
      <c r="AD543" s="21" t="s">
        <v>283</v>
      </c>
      <c r="AE543" s="175">
        <f t="shared" si="272"/>
        <v>30</v>
      </c>
      <c r="AF543" s="183">
        <f t="shared" si="273"/>
        <v>27</v>
      </c>
      <c r="AG543" s="84">
        <f t="shared" si="274"/>
        <v>0.39750000000000002</v>
      </c>
      <c r="AH543" s="244">
        <f t="shared" si="275"/>
        <v>0.159</v>
      </c>
      <c r="AI543" s="76">
        <f t="shared" si="276"/>
        <v>1.5600000000000002E-3</v>
      </c>
      <c r="AJ543" s="181">
        <f t="shared" si="277"/>
        <v>5.5650000000000005E-2</v>
      </c>
      <c r="AK543" s="182">
        <f t="shared" si="278"/>
        <v>2.3077257367928001</v>
      </c>
      <c r="AM543" s="204">
        <f t="shared" si="263"/>
        <v>2.3649357367928001</v>
      </c>
      <c r="AN543" s="205">
        <f t="shared" si="281"/>
        <v>2.2960541133910679</v>
      </c>
      <c r="AO543" s="205">
        <f t="shared" si="281"/>
        <v>2.2291787508651146</v>
      </c>
      <c r="AP543" s="205">
        <f t="shared" si="284"/>
        <v>2.16425121443215</v>
      </c>
      <c r="AQ543" s="205">
        <f t="shared" si="284"/>
        <v>2.1012147712933498</v>
      </c>
      <c r="AR543" s="205">
        <f t="shared" si="284"/>
        <v>2.0400143410615046</v>
      </c>
      <c r="AS543" s="205">
        <f t="shared" si="284"/>
        <v>1.9805964476325288</v>
      </c>
      <c r="AT543" s="205">
        <f t="shared" si="284"/>
        <v>1.9229091724587657</v>
      </c>
      <c r="AU543" s="205">
        <f t="shared" si="284"/>
        <v>1.8669021091832678</v>
      </c>
      <c r="AV543" s="205">
        <f t="shared" si="284"/>
        <v>1.8125263195954056</v>
      </c>
      <c r="AW543" s="205">
        <f t="shared" si="284"/>
        <v>1.7597342908693259</v>
      </c>
      <c r="AX543" s="205">
        <f t="shared" si="284"/>
        <v>1.7084798940478891</v>
      </c>
      <c r="AY543" s="205">
        <f t="shared" si="284"/>
        <v>1.6587183437358151</v>
      </c>
      <c r="AZ543" s="205">
        <f t="shared" si="285"/>
        <v>1.6104061589668108</v>
      </c>
      <c r="BA543" s="205">
        <f t="shared" si="285"/>
        <v>1.5635011252104958</v>
      </c>
      <c r="BB543" s="205">
        <f t="shared" si="285"/>
        <v>1.517962257485918</v>
      </c>
      <c r="BC543" s="205">
        <f t="shared" si="285"/>
        <v>1.4737497645494353</v>
      </c>
      <c r="BD543" s="205">
        <f t="shared" si="285"/>
        <v>1.4308250141256653</v>
      </c>
      <c r="BE543" s="205">
        <f t="shared" si="285"/>
        <v>1.3891504991511314</v>
      </c>
      <c r="BF543" s="205">
        <f t="shared" si="285"/>
        <v>1.3486898050010985</v>
      </c>
      <c r="BG543" s="206">
        <f t="shared" si="264"/>
        <v>36.239800129849542</v>
      </c>
    </row>
    <row r="544" spans="27:59" ht="15" thickBot="1">
      <c r="AA544" s="188">
        <f t="shared" si="265"/>
        <v>3717000000</v>
      </c>
      <c r="AB544" s="40">
        <f t="shared" si="266"/>
        <v>4425</v>
      </c>
      <c r="AC544" s="81">
        <v>177</v>
      </c>
      <c r="AD544" s="81" t="s">
        <v>283</v>
      </c>
      <c r="AE544" s="177">
        <f t="shared" si="272"/>
        <v>30</v>
      </c>
      <c r="AF544" s="184">
        <f t="shared" si="273"/>
        <v>27</v>
      </c>
      <c r="AG544" s="86">
        <f t="shared" si="274"/>
        <v>0.39750000000000002</v>
      </c>
      <c r="AH544" s="245">
        <f t="shared" si="275"/>
        <v>0.159</v>
      </c>
      <c r="AI544" s="82">
        <f t="shared" si="276"/>
        <v>1.5600000000000002E-3</v>
      </c>
      <c r="AJ544" s="186">
        <f t="shared" si="277"/>
        <v>5.5650000000000005E-2</v>
      </c>
      <c r="AK544" s="187">
        <f t="shared" si="278"/>
        <v>2.3077257367928001</v>
      </c>
      <c r="AM544" s="235">
        <f t="shared" si="263"/>
        <v>2.3649357367928001</v>
      </c>
      <c r="AN544" s="236">
        <f t="shared" si="281"/>
        <v>2.2960541133910679</v>
      </c>
      <c r="AO544" s="236">
        <f t="shared" si="281"/>
        <v>2.2291787508651146</v>
      </c>
      <c r="AP544" s="236">
        <f t="shared" si="284"/>
        <v>2.16425121443215</v>
      </c>
      <c r="AQ544" s="236">
        <f t="shared" si="284"/>
        <v>2.1012147712933498</v>
      </c>
      <c r="AR544" s="236">
        <f t="shared" si="284"/>
        <v>2.0400143410615046</v>
      </c>
      <c r="AS544" s="236">
        <f t="shared" si="284"/>
        <v>1.9805964476325288</v>
      </c>
      <c r="AT544" s="236">
        <f t="shared" si="284"/>
        <v>1.9229091724587657</v>
      </c>
      <c r="AU544" s="236">
        <f t="shared" si="284"/>
        <v>1.8669021091832678</v>
      </c>
      <c r="AV544" s="236">
        <f t="shared" si="284"/>
        <v>1.8125263195954056</v>
      </c>
      <c r="AW544" s="236">
        <f t="shared" si="284"/>
        <v>1.7597342908693259</v>
      </c>
      <c r="AX544" s="236">
        <f t="shared" si="284"/>
        <v>1.7084798940478891</v>
      </c>
      <c r="AY544" s="236">
        <f t="shared" si="284"/>
        <v>1.6587183437358151</v>
      </c>
      <c r="AZ544" s="236">
        <f t="shared" si="285"/>
        <v>1.6104061589668108</v>
      </c>
      <c r="BA544" s="236">
        <f t="shared" si="285"/>
        <v>1.5635011252104958</v>
      </c>
      <c r="BB544" s="236">
        <f t="shared" si="285"/>
        <v>1.517962257485918</v>
      </c>
      <c r="BC544" s="236">
        <f t="shared" si="285"/>
        <v>1.4737497645494353</v>
      </c>
      <c r="BD544" s="236">
        <f t="shared" si="285"/>
        <v>1.4308250141256653</v>
      </c>
      <c r="BE544" s="236">
        <f t="shared" si="285"/>
        <v>1.3891504991511314</v>
      </c>
      <c r="BF544" s="236">
        <f t="shared" si="285"/>
        <v>1.3486898050010985</v>
      </c>
      <c r="BG544" s="237">
        <f t="shared" si="264"/>
        <v>36.239800129849542</v>
      </c>
    </row>
    <row r="545" spans="27:27">
      <c r="AA545" s="55"/>
    </row>
    <row r="546" spans="27:27">
      <c r="AA546" s="55"/>
    </row>
    <row r="547" spans="27:27">
      <c r="AA547" s="55"/>
    </row>
    <row r="548" spans="27:27">
      <c r="AA548" s="55"/>
    </row>
    <row r="549" spans="27:27">
      <c r="AA549" s="55"/>
    </row>
    <row r="550" spans="27:27">
      <c r="AA550" s="55"/>
    </row>
    <row r="551" spans="27:27">
      <c r="AA551" s="55"/>
    </row>
    <row r="552" spans="27:27">
      <c r="AA552" s="55"/>
    </row>
    <row r="553" spans="27:27">
      <c r="AA553" s="55"/>
    </row>
    <row r="554" spans="27:27">
      <c r="AA554" s="55"/>
    </row>
    <row r="555" spans="27:27">
      <c r="AA555" s="55"/>
    </row>
    <row r="556" spans="27:27">
      <c r="AA556" s="55"/>
    </row>
    <row r="557" spans="27:27">
      <c r="AA557" s="55"/>
    </row>
    <row r="558" spans="27:27">
      <c r="AA558" s="55"/>
    </row>
    <row r="559" spans="27:27">
      <c r="AA559" s="55"/>
    </row>
    <row r="560" spans="27:27">
      <c r="AA560" s="55"/>
    </row>
    <row r="561" spans="27:27">
      <c r="AA561" s="55"/>
    </row>
  </sheetData>
  <mergeCells count="8">
    <mergeCell ref="AA365:AK365"/>
    <mergeCell ref="AM365:BF365"/>
    <mergeCell ref="AA183:AK183"/>
    <mergeCell ref="AA1:AK1"/>
    <mergeCell ref="A33:D33"/>
    <mergeCell ref="A23:D23"/>
    <mergeCell ref="A1:D1"/>
    <mergeCell ref="A43:D43"/>
  </mergeCells>
  <conditionalFormatting sqref="AG4:AG180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{7B983C81-1CD6-4160-BFA4-C666BA9997AF}</x14:id>
        </ext>
      </extLst>
    </cfRule>
  </conditionalFormatting>
  <conditionalFormatting sqref="AF4:AF180">
    <cfRule type="dataBar" priority="1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{606E8B63-BEC7-49E0-8BFE-37DF27F31284}</x14:id>
        </ext>
      </extLst>
    </cfRule>
  </conditionalFormatting>
  <conditionalFormatting sqref="AH4:AH180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{F3A2A8ED-E1A6-4729-A0D8-4C5DC7DC7D2F}</x14:id>
        </ext>
      </extLst>
    </cfRule>
  </conditionalFormatting>
  <conditionalFormatting sqref="AI4:AI180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{3D16848D-B749-4964-99F1-532842154181}</x14:id>
        </ext>
      </extLst>
    </cfRule>
  </conditionalFormatting>
  <conditionalFormatting sqref="AE3:AI3 AJ3:AJ180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{F3347385-26B9-40E4-B38D-5441470ECD9B}</x14:id>
        </ext>
      </extLst>
    </cfRule>
  </conditionalFormatting>
  <conditionalFormatting sqref="AE4:AE180 AK3"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{FC5C2E92-67A4-4C3F-9C05-55D9C1B5B64B}</x14:id>
        </ext>
      </extLst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B983C81-1CD6-4160-BFA4-C666BA9997A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AG4:AG180</xm:sqref>
        </x14:conditionalFormatting>
        <x14:conditionalFormatting xmlns:xm="http://schemas.microsoft.com/office/excel/2006/main">
          <x14:cfRule type="dataBar" id="{606E8B63-BEC7-49E0-8BFE-37DF27F3128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AF4:AF180</xm:sqref>
        </x14:conditionalFormatting>
        <x14:conditionalFormatting xmlns:xm="http://schemas.microsoft.com/office/excel/2006/main">
          <x14:cfRule type="dataBar" id="{F3A2A8ED-E1A6-4729-A0D8-4C5DC7DC7D2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AH4:AH180</xm:sqref>
        </x14:conditionalFormatting>
        <x14:conditionalFormatting xmlns:xm="http://schemas.microsoft.com/office/excel/2006/main">
          <x14:cfRule type="dataBar" id="{3D16848D-B749-4964-99F1-53284215418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AI4:AI180</xm:sqref>
        </x14:conditionalFormatting>
        <x14:conditionalFormatting xmlns:xm="http://schemas.microsoft.com/office/excel/2006/main">
          <x14:cfRule type="dataBar" id="{F3347385-26B9-40E4-B38D-5441470ECD9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AE3:AI3 AJ3:AJ180</xm:sqref>
        </x14:conditionalFormatting>
        <x14:conditionalFormatting xmlns:xm="http://schemas.microsoft.com/office/excel/2006/main">
          <x14:cfRule type="dataBar" id="{FC5C2E92-67A4-4C3F-9C05-55D9C1B5B64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AE4:AE180 AK3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463BD-AC38-4CFB-B42E-18B750A3C08A}">
  <sheetPr codeName="Sheet12">
    <tabColor rgb="FFFFC000"/>
  </sheetPr>
  <dimension ref="A1:BK170"/>
  <sheetViews>
    <sheetView zoomScaleNormal="100" workbookViewId="0">
      <selection activeCell="E28" sqref="E28"/>
    </sheetView>
  </sheetViews>
  <sheetFormatPr defaultRowHeight="13.8"/>
  <cols>
    <col min="1" max="1" width="29.5546875" style="28" customWidth="1"/>
    <col min="2" max="2" width="16.33203125" style="2" customWidth="1"/>
    <col min="3" max="3" width="11.33203125" style="2" bestFit="1" customWidth="1"/>
    <col min="4" max="4" width="14.21875" style="2" customWidth="1"/>
    <col min="5" max="26" width="8.88671875" style="2"/>
    <col min="27" max="27" width="7.5546875" style="2" customWidth="1"/>
    <col min="28" max="28" width="18.33203125" style="13" bestFit="1" customWidth="1"/>
    <col min="29" max="29" width="25.33203125" style="2" bestFit="1" customWidth="1"/>
    <col min="30" max="30" width="12.109375" style="2" bestFit="1" customWidth="1"/>
    <col min="31" max="31" width="7" style="2" bestFit="1" customWidth="1"/>
    <col min="32" max="32" width="25.5546875" style="2" bestFit="1" customWidth="1"/>
    <col min="33" max="33" width="18.88671875" style="2" bestFit="1" customWidth="1"/>
    <col min="34" max="34" width="27" style="2" bestFit="1" customWidth="1"/>
    <col min="35" max="35" width="31" style="2" bestFit="1" customWidth="1"/>
    <col min="36" max="36" width="34.88671875" style="2" bestFit="1" customWidth="1"/>
    <col min="37" max="37" width="38.44140625" style="2" bestFit="1" customWidth="1"/>
    <col min="38" max="38" width="25.33203125" style="13" bestFit="1" customWidth="1"/>
    <col min="39" max="39" width="7.5546875" style="2" customWidth="1"/>
    <col min="40" max="46" width="7" style="2" customWidth="1"/>
    <col min="47" max="51" width="7" style="27" customWidth="1"/>
    <col min="52" max="59" width="7" style="2" customWidth="1"/>
    <col min="60" max="60" width="11.109375" style="2" bestFit="1" customWidth="1"/>
    <col min="61" max="61" width="8.88671875" style="2"/>
    <col min="62" max="62" width="11.109375" style="2" bestFit="1" customWidth="1"/>
    <col min="63" max="71" width="8.88671875" style="2"/>
    <col min="72" max="72" width="11.109375" style="2" bestFit="1" customWidth="1"/>
    <col min="73" max="16384" width="8.88671875" style="2"/>
  </cols>
  <sheetData>
    <row r="1" spans="1:38" ht="15" customHeight="1" thickBot="1">
      <c r="A1" s="484" t="s">
        <v>407</v>
      </c>
      <c r="B1" s="484"/>
      <c r="C1" s="484"/>
      <c r="D1" s="484"/>
      <c r="AB1" s="483" t="s">
        <v>398</v>
      </c>
      <c r="AC1" s="483"/>
      <c r="AD1" s="483"/>
      <c r="AE1" s="483"/>
      <c r="AF1" s="483"/>
      <c r="AG1" s="483"/>
      <c r="AH1" s="483"/>
      <c r="AI1" s="483"/>
      <c r="AJ1" s="483"/>
      <c r="AK1" s="483"/>
    </row>
    <row r="2" spans="1:38">
      <c r="A2" s="66" t="s">
        <v>272</v>
      </c>
      <c r="B2" s="63" t="s">
        <v>9</v>
      </c>
      <c r="C2" s="63" t="s">
        <v>8</v>
      </c>
      <c r="D2" s="64" t="s">
        <v>273</v>
      </c>
      <c r="AB2" s="240" t="s">
        <v>261</v>
      </c>
      <c r="AC2" s="210" t="s">
        <v>390</v>
      </c>
      <c r="AD2" s="210" t="s">
        <v>274</v>
      </c>
      <c r="AE2" s="210" t="s">
        <v>242</v>
      </c>
      <c r="AF2" s="210" t="s">
        <v>402</v>
      </c>
      <c r="AG2" s="210" t="s">
        <v>403</v>
      </c>
      <c r="AH2" s="210" t="s">
        <v>404</v>
      </c>
      <c r="AI2" s="210" t="s">
        <v>323</v>
      </c>
      <c r="AJ2" s="210" t="s">
        <v>361</v>
      </c>
      <c r="AK2" s="210" t="s">
        <v>362</v>
      </c>
      <c r="AL2" s="211" t="s">
        <v>405</v>
      </c>
    </row>
    <row r="3" spans="1:38">
      <c r="A3" s="65" t="s">
        <v>281</v>
      </c>
      <c r="B3" s="25">
        <v>200</v>
      </c>
      <c r="C3" s="25" t="s">
        <v>282</v>
      </c>
      <c r="D3" s="54" t="s">
        <v>72</v>
      </c>
      <c r="AB3" s="92">
        <f>AB62</f>
        <v>0</v>
      </c>
      <c r="AC3" s="67">
        <f>AC62</f>
        <v>0</v>
      </c>
      <c r="AD3" s="67">
        <f>AD62</f>
        <v>0</v>
      </c>
      <c r="AE3" s="67" t="str">
        <f>AE62</f>
        <v>GEO</v>
      </c>
      <c r="AF3" s="17">
        <v>0</v>
      </c>
      <c r="AG3" s="67">
        <v>0</v>
      </c>
      <c r="AH3" s="15">
        <v>0</v>
      </c>
      <c r="AI3" s="15">
        <v>0</v>
      </c>
      <c r="AJ3" s="15">
        <v>0</v>
      </c>
      <c r="AK3" s="15">
        <v>0</v>
      </c>
      <c r="AL3" s="127">
        <v>0</v>
      </c>
    </row>
    <row r="4" spans="1:38">
      <c r="A4" s="65" t="s">
        <v>284</v>
      </c>
      <c r="B4" s="25">
        <v>100</v>
      </c>
      <c r="C4" s="25" t="s">
        <v>282</v>
      </c>
      <c r="D4" s="54" t="s">
        <v>72</v>
      </c>
      <c r="AB4" s="180">
        <f>($AB$6/3)*AC4</f>
        <v>21000000</v>
      </c>
      <c r="AC4" s="15">
        <f>AD4</f>
        <v>1</v>
      </c>
      <c r="AD4" s="15">
        <v>1</v>
      </c>
      <c r="AE4" s="15" t="s">
        <v>314</v>
      </c>
      <c r="AF4" s="17">
        <f>SUM(AG4:AH4)</f>
        <v>1518.427193582557</v>
      </c>
      <c r="AG4" s="17">
        <f t="shared" ref="AG4:AG35" si="0">SUM($AF$119:$AI$119,$BH$119)</f>
        <v>1518.427193582557</v>
      </c>
      <c r="AH4" s="68">
        <v>0</v>
      </c>
      <c r="AI4" s="67">
        <f>IFERROR(SUM(AJ4:AK4),0)</f>
        <v>72.30605683726462</v>
      </c>
      <c r="AJ4" s="67">
        <f t="shared" ref="AJ4:AJ55" si="1">IFERROR(AG4/AB4,0)*1000000</f>
        <v>72.30605683726462</v>
      </c>
      <c r="AK4" s="90">
        <f>IFERROR(AH4/AB4,0)*1000000</f>
        <v>0</v>
      </c>
      <c r="AL4" s="127">
        <f>IFERROR((AF4-AF3)/(AB4-AB3),0)*1000000</f>
        <v>72.30605683726462</v>
      </c>
    </row>
    <row r="5" spans="1:38">
      <c r="A5" s="65" t="s">
        <v>269</v>
      </c>
      <c r="B5" s="25">
        <v>0.5</v>
      </c>
      <c r="C5" s="25" t="s">
        <v>282</v>
      </c>
      <c r="D5" s="54" t="s">
        <v>72</v>
      </c>
      <c r="AB5" s="180">
        <f>($AB$6/3)*AC5</f>
        <v>42000000</v>
      </c>
      <c r="AC5" s="15">
        <f t="shared" ref="AC5:AC55" si="2">AD5</f>
        <v>2</v>
      </c>
      <c r="AD5" s="15">
        <v>2</v>
      </c>
      <c r="AE5" s="15" t="s">
        <v>314</v>
      </c>
      <c r="AF5" s="17">
        <f>SUM(AG5:AH5)</f>
        <v>1952.3627700619336</v>
      </c>
      <c r="AG5" s="17">
        <f t="shared" si="0"/>
        <v>1518.427193582557</v>
      </c>
      <c r="AH5" s="68">
        <f>AH4+SUM(AF120:AG120,BH120)</f>
        <v>433.93557647937666</v>
      </c>
      <c r="AI5" s="67">
        <f t="shared" ref="AI5:AI55" si="3">IFERROR(SUM(AJ5:AK5),0)</f>
        <v>46.484827858617464</v>
      </c>
      <c r="AJ5" s="67">
        <f t="shared" si="1"/>
        <v>36.15302841863231</v>
      </c>
      <c r="AK5" s="90">
        <f t="shared" ref="AK5:AK55" si="4">IFERROR(AH5/AB5,0)*1000000</f>
        <v>10.331799439985158</v>
      </c>
      <c r="AL5" s="127">
        <f t="shared" ref="AL5:AL11" si="5">IFERROR((AF5-AF4)/(AB5-AB4),0)*1000000</f>
        <v>20.663598879970312</v>
      </c>
    </row>
    <row r="6" spans="1:38">
      <c r="A6" s="65" t="s">
        <v>285</v>
      </c>
      <c r="B6" s="25">
        <v>0.02</v>
      </c>
      <c r="C6" s="25" t="s">
        <v>286</v>
      </c>
      <c r="D6" s="54" t="s">
        <v>72</v>
      </c>
      <c r="AB6" s="180">
        <v>63000000</v>
      </c>
      <c r="AC6" s="15">
        <f t="shared" si="2"/>
        <v>3</v>
      </c>
      <c r="AD6" s="15">
        <v>3</v>
      </c>
      <c r="AE6" s="15" t="s">
        <v>314</v>
      </c>
      <c r="AF6" s="17">
        <f t="shared" ref="AF6:AF11" si="6">SUM(AG6:AH6)</f>
        <v>2386.2983465413104</v>
      </c>
      <c r="AG6" s="17">
        <f t="shared" si="0"/>
        <v>1518.427193582557</v>
      </c>
      <c r="AH6" s="68">
        <f t="shared" ref="AH6:AH55" si="7">AH5+SUM(AF121:AG121,BH121)</f>
        <v>867.87115295875333</v>
      </c>
      <c r="AI6" s="67">
        <f t="shared" si="3"/>
        <v>37.877751532401753</v>
      </c>
      <c r="AJ6" s="67">
        <f t="shared" si="1"/>
        <v>24.102018945754875</v>
      </c>
      <c r="AK6" s="90">
        <f t="shared" si="4"/>
        <v>13.775732586646878</v>
      </c>
      <c r="AL6" s="127">
        <f t="shared" si="5"/>
        <v>20.663598879970323</v>
      </c>
    </row>
    <row r="7" spans="1:38">
      <c r="A7" s="65" t="s">
        <v>287</v>
      </c>
      <c r="B7" s="25">
        <v>0.11799999999999999</v>
      </c>
      <c r="C7" s="25" t="s">
        <v>288</v>
      </c>
      <c r="D7" s="54" t="s">
        <v>73</v>
      </c>
      <c r="AB7" s="180">
        <f t="shared" ref="AB7:AB38" si="8">AB6+$AB$4</f>
        <v>84000000</v>
      </c>
      <c r="AC7" s="15">
        <f t="shared" si="2"/>
        <v>4</v>
      </c>
      <c r="AD7" s="15">
        <v>4</v>
      </c>
      <c r="AE7" s="15" t="s">
        <v>314</v>
      </c>
      <c r="AF7" s="17">
        <f t="shared" si="6"/>
        <v>2820.2339230206871</v>
      </c>
      <c r="AG7" s="17">
        <f t="shared" si="0"/>
        <v>1518.427193582557</v>
      </c>
      <c r="AH7" s="68">
        <f t="shared" si="7"/>
        <v>1301.8067294381299</v>
      </c>
      <c r="AI7" s="67">
        <f t="shared" si="3"/>
        <v>33.574213369293894</v>
      </c>
      <c r="AJ7" s="67">
        <f t="shared" si="1"/>
        <v>18.076514209316155</v>
      </c>
      <c r="AK7" s="90">
        <f t="shared" si="4"/>
        <v>15.497699159977737</v>
      </c>
      <c r="AL7" s="127">
        <f t="shared" si="5"/>
        <v>20.663598879970323</v>
      </c>
    </row>
    <row r="8" spans="1:38">
      <c r="A8" s="65" t="s">
        <v>289</v>
      </c>
      <c r="B8" s="25">
        <v>10</v>
      </c>
      <c r="C8" s="25" t="s">
        <v>290</v>
      </c>
      <c r="D8" s="54" t="s">
        <v>73</v>
      </c>
      <c r="AB8" s="180">
        <f t="shared" si="8"/>
        <v>105000000</v>
      </c>
      <c r="AC8" s="15">
        <f t="shared" si="2"/>
        <v>5</v>
      </c>
      <c r="AD8" s="15">
        <v>5</v>
      </c>
      <c r="AE8" s="15" t="s">
        <v>314</v>
      </c>
      <c r="AF8" s="17">
        <f t="shared" si="6"/>
        <v>3254.1694995000635</v>
      </c>
      <c r="AG8" s="17">
        <f t="shared" si="0"/>
        <v>1518.427193582557</v>
      </c>
      <c r="AH8" s="68">
        <f t="shared" si="7"/>
        <v>1735.7423059175067</v>
      </c>
      <c r="AI8" s="67">
        <f t="shared" si="3"/>
        <v>30.992090471429179</v>
      </c>
      <c r="AJ8" s="67">
        <f t="shared" si="1"/>
        <v>14.461211367452925</v>
      </c>
      <c r="AK8" s="90">
        <f t="shared" si="4"/>
        <v>16.530879103976254</v>
      </c>
      <c r="AL8" s="127">
        <f t="shared" si="5"/>
        <v>20.663598879970301</v>
      </c>
    </row>
    <row r="9" spans="1:38">
      <c r="A9" s="65" t="s">
        <v>270</v>
      </c>
      <c r="B9" s="25">
        <v>0.19</v>
      </c>
      <c r="C9" s="25" t="s">
        <v>291</v>
      </c>
      <c r="D9" s="54" t="s">
        <v>73</v>
      </c>
      <c r="AB9" s="180">
        <f t="shared" si="8"/>
        <v>126000000</v>
      </c>
      <c r="AC9" s="15">
        <f t="shared" si="2"/>
        <v>6</v>
      </c>
      <c r="AD9" s="15">
        <v>6</v>
      </c>
      <c r="AE9" s="15" t="s">
        <v>314</v>
      </c>
      <c r="AF9" s="17">
        <f t="shared" si="6"/>
        <v>3688.1050759794407</v>
      </c>
      <c r="AG9" s="17">
        <f t="shared" si="0"/>
        <v>1518.427193582557</v>
      </c>
      <c r="AH9" s="68">
        <f t="shared" si="7"/>
        <v>2169.6778823968834</v>
      </c>
      <c r="AI9" s="67">
        <f t="shared" si="3"/>
        <v>29.270675206186034</v>
      </c>
      <c r="AJ9" s="67">
        <f t="shared" si="1"/>
        <v>12.051009472877437</v>
      </c>
      <c r="AK9" s="90">
        <f t="shared" si="4"/>
        <v>17.219665733308599</v>
      </c>
      <c r="AL9" s="127">
        <f t="shared" si="5"/>
        <v>20.663598879970344</v>
      </c>
    </row>
    <row r="10" spans="1:38" ht="14.4" thickBot="1">
      <c r="A10" s="70" t="s">
        <v>71</v>
      </c>
      <c r="B10" s="71">
        <v>3</v>
      </c>
      <c r="C10" s="72" t="s">
        <v>292</v>
      </c>
      <c r="D10" s="73" t="s">
        <v>10</v>
      </c>
      <c r="AB10" s="180">
        <f t="shared" si="8"/>
        <v>147000000</v>
      </c>
      <c r="AC10" s="15">
        <f t="shared" si="2"/>
        <v>7</v>
      </c>
      <c r="AD10" s="15">
        <v>7</v>
      </c>
      <c r="AE10" s="15" t="s">
        <v>314</v>
      </c>
      <c r="AF10" s="17">
        <f t="shared" si="6"/>
        <v>4122.040652458817</v>
      </c>
      <c r="AG10" s="17">
        <f t="shared" si="0"/>
        <v>1518.427193582557</v>
      </c>
      <c r="AH10" s="68">
        <f t="shared" si="7"/>
        <v>2603.6134588762602</v>
      </c>
      <c r="AI10" s="67">
        <f t="shared" si="3"/>
        <v>28.041092873869502</v>
      </c>
      <c r="AJ10" s="67">
        <f t="shared" si="1"/>
        <v>10.329436691037802</v>
      </c>
      <c r="AK10" s="90">
        <f t="shared" si="4"/>
        <v>17.7116561828317</v>
      </c>
      <c r="AL10" s="127">
        <f t="shared" si="5"/>
        <v>20.663598879970301</v>
      </c>
    </row>
    <row r="11" spans="1:38">
      <c r="AB11" s="180">
        <f t="shared" si="8"/>
        <v>168000000</v>
      </c>
      <c r="AC11" s="15">
        <f t="shared" si="2"/>
        <v>8</v>
      </c>
      <c r="AD11" s="15">
        <v>8</v>
      </c>
      <c r="AE11" s="15" t="s">
        <v>314</v>
      </c>
      <c r="AF11" s="17">
        <f t="shared" si="6"/>
        <v>4555.9762289381943</v>
      </c>
      <c r="AG11" s="17">
        <f t="shared" si="0"/>
        <v>1518.427193582557</v>
      </c>
      <c r="AH11" s="68">
        <f t="shared" si="7"/>
        <v>3037.549035355637</v>
      </c>
      <c r="AI11" s="67">
        <f t="shared" si="3"/>
        <v>27.118906124632112</v>
      </c>
      <c r="AJ11" s="67">
        <f t="shared" si="1"/>
        <v>9.0382571046580775</v>
      </c>
      <c r="AK11" s="90">
        <f t="shared" si="4"/>
        <v>18.080649019974032</v>
      </c>
      <c r="AL11" s="127">
        <f t="shared" si="5"/>
        <v>20.663598879970344</v>
      </c>
    </row>
    <row r="12" spans="1:38">
      <c r="AB12" s="180">
        <f t="shared" si="8"/>
        <v>189000000</v>
      </c>
      <c r="AC12" s="15">
        <f t="shared" si="2"/>
        <v>9</v>
      </c>
      <c r="AD12" s="15">
        <v>9</v>
      </c>
      <c r="AE12" s="15" t="s">
        <v>314</v>
      </c>
      <c r="AF12" s="17">
        <f>SUM(AG12:AH12)</f>
        <v>4989.9118054175706</v>
      </c>
      <c r="AG12" s="17">
        <f t="shared" si="0"/>
        <v>1518.427193582557</v>
      </c>
      <c r="AH12" s="68">
        <f t="shared" si="7"/>
        <v>3471.4846118350138</v>
      </c>
      <c r="AI12" s="67">
        <f t="shared" si="3"/>
        <v>26.401649764114133</v>
      </c>
      <c r="AJ12" s="67">
        <f t="shared" si="1"/>
        <v>8.0340063152516255</v>
      </c>
      <c r="AK12" s="90">
        <f t="shared" si="4"/>
        <v>18.367643448862506</v>
      </c>
      <c r="AL12" s="127">
        <f>IFERROR((AF12-AF11)/(AB12-AB11),0)*1000000</f>
        <v>20.663598879970301</v>
      </c>
    </row>
    <row r="13" spans="1:38">
      <c r="A13" s="28" t="s">
        <v>4</v>
      </c>
      <c r="AB13" s="180">
        <f t="shared" si="8"/>
        <v>210000000</v>
      </c>
      <c r="AC13" s="15">
        <f t="shared" si="2"/>
        <v>10</v>
      </c>
      <c r="AD13" s="15">
        <v>10</v>
      </c>
      <c r="AE13" s="15" t="s">
        <v>314</v>
      </c>
      <c r="AF13" s="17">
        <f>SUM(AG13:AH13)</f>
        <v>5423.8473818969478</v>
      </c>
      <c r="AG13" s="17">
        <f t="shared" si="0"/>
        <v>1518.427193582557</v>
      </c>
      <c r="AH13" s="68">
        <f t="shared" si="7"/>
        <v>3905.4201883143905</v>
      </c>
      <c r="AI13" s="67">
        <f t="shared" si="3"/>
        <v>25.827844675699751</v>
      </c>
      <c r="AJ13" s="67">
        <f t="shared" si="1"/>
        <v>7.2306056837264627</v>
      </c>
      <c r="AK13" s="90">
        <f t="shared" si="4"/>
        <v>18.597238991973288</v>
      </c>
      <c r="AL13" s="127">
        <f t="shared" ref="AL13:AL17" si="9">IFERROR((AF13-AF12)/(AB13-AB12),0)*1000000</f>
        <v>20.663598879970344</v>
      </c>
    </row>
    <row r="14" spans="1:38">
      <c r="A14" s="2" t="s">
        <v>293</v>
      </c>
      <c r="AB14" s="180">
        <f t="shared" si="8"/>
        <v>231000000</v>
      </c>
      <c r="AC14" s="15">
        <f t="shared" si="2"/>
        <v>11</v>
      </c>
      <c r="AD14" s="15">
        <v>11</v>
      </c>
      <c r="AE14" s="15" t="s">
        <v>314</v>
      </c>
      <c r="AF14" s="17">
        <f t="shared" ref="AF14:AF17" si="10">SUM(AG14:AH14)</f>
        <v>5857.7829583763241</v>
      </c>
      <c r="AG14" s="17">
        <f t="shared" si="0"/>
        <v>1518.427193582557</v>
      </c>
      <c r="AH14" s="68">
        <f t="shared" si="7"/>
        <v>4339.3557647937669</v>
      </c>
      <c r="AI14" s="67">
        <f t="shared" si="3"/>
        <v>25.358367785178892</v>
      </c>
      <c r="AJ14" s="67">
        <f t="shared" si="1"/>
        <v>6.5732778942967842</v>
      </c>
      <c r="AK14" s="90">
        <f t="shared" si="4"/>
        <v>18.785089890882109</v>
      </c>
      <c r="AL14" s="127">
        <f t="shared" si="9"/>
        <v>20.663598879970301</v>
      </c>
    </row>
    <row r="15" spans="1:38">
      <c r="A15" s="2" t="s">
        <v>294</v>
      </c>
      <c r="AB15" s="180">
        <f t="shared" si="8"/>
        <v>252000000</v>
      </c>
      <c r="AC15" s="15">
        <f t="shared" si="2"/>
        <v>12</v>
      </c>
      <c r="AD15" s="15">
        <v>12</v>
      </c>
      <c r="AE15" s="15" t="s">
        <v>314</v>
      </c>
      <c r="AF15" s="17">
        <f t="shared" si="10"/>
        <v>6291.7185348557005</v>
      </c>
      <c r="AG15" s="17">
        <f t="shared" si="0"/>
        <v>1518.427193582557</v>
      </c>
      <c r="AH15" s="68">
        <f t="shared" si="7"/>
        <v>4773.2913412731432</v>
      </c>
      <c r="AI15" s="67">
        <f t="shared" si="3"/>
        <v>24.967137043078178</v>
      </c>
      <c r="AJ15" s="67">
        <f t="shared" si="1"/>
        <v>6.0255047364387186</v>
      </c>
      <c r="AK15" s="90">
        <f t="shared" si="4"/>
        <v>18.941632306639459</v>
      </c>
      <c r="AL15" s="127">
        <f t="shared" si="9"/>
        <v>20.663598879970301</v>
      </c>
    </row>
    <row r="16" spans="1:38">
      <c r="A16" s="2" t="s">
        <v>295</v>
      </c>
      <c r="AB16" s="180">
        <f t="shared" si="8"/>
        <v>273000000</v>
      </c>
      <c r="AC16" s="15">
        <f t="shared" si="2"/>
        <v>13</v>
      </c>
      <c r="AD16" s="15">
        <v>13</v>
      </c>
      <c r="AE16" s="15" t="s">
        <v>314</v>
      </c>
      <c r="AF16" s="17">
        <f t="shared" si="10"/>
        <v>6725.6541113350768</v>
      </c>
      <c r="AG16" s="17">
        <f t="shared" si="0"/>
        <v>1518.427193582557</v>
      </c>
      <c r="AH16" s="68">
        <f t="shared" si="7"/>
        <v>5207.2269177525195</v>
      </c>
      <c r="AI16" s="67">
        <f t="shared" si="3"/>
        <v>24.636095645916029</v>
      </c>
      <c r="AJ16" s="67">
        <f t="shared" si="1"/>
        <v>5.5620043720972792</v>
      </c>
      <c r="AK16" s="90">
        <f t="shared" si="4"/>
        <v>19.074091273818752</v>
      </c>
      <c r="AL16" s="127">
        <f t="shared" si="9"/>
        <v>20.663598879970301</v>
      </c>
    </row>
    <row r="17" spans="1:63">
      <c r="A17" s="2" t="s">
        <v>296</v>
      </c>
      <c r="AB17" s="180">
        <f t="shared" si="8"/>
        <v>294000000</v>
      </c>
      <c r="AC17" s="15">
        <f t="shared" si="2"/>
        <v>14</v>
      </c>
      <c r="AD17" s="15">
        <v>14</v>
      </c>
      <c r="AE17" s="15" t="s">
        <v>314</v>
      </c>
      <c r="AF17" s="17">
        <f t="shared" si="10"/>
        <v>7159.5896878144531</v>
      </c>
      <c r="AG17" s="17">
        <f t="shared" si="0"/>
        <v>1518.427193582557</v>
      </c>
      <c r="AH17" s="68">
        <f t="shared" si="7"/>
        <v>5641.1624942318958</v>
      </c>
      <c r="AI17" s="67">
        <f t="shared" si="3"/>
        <v>24.352345876919905</v>
      </c>
      <c r="AJ17" s="67">
        <f t="shared" si="1"/>
        <v>5.1647183455189012</v>
      </c>
      <c r="AK17" s="90">
        <f t="shared" si="4"/>
        <v>19.187627531401006</v>
      </c>
      <c r="AL17" s="127">
        <f t="shared" si="9"/>
        <v>20.663598879970301</v>
      </c>
    </row>
    <row r="18" spans="1:63">
      <c r="A18" s="2" t="s">
        <v>360</v>
      </c>
      <c r="AB18" s="180">
        <f t="shared" si="8"/>
        <v>315000000</v>
      </c>
      <c r="AC18" s="15">
        <f t="shared" si="2"/>
        <v>15</v>
      </c>
      <c r="AD18" s="15">
        <v>15</v>
      </c>
      <c r="AE18" s="15" t="s">
        <v>314</v>
      </c>
      <c r="AF18" s="17">
        <f>SUM(AG18:AH18)</f>
        <v>7593.5252642938294</v>
      </c>
      <c r="AG18" s="17">
        <f t="shared" si="0"/>
        <v>1518.427193582557</v>
      </c>
      <c r="AH18" s="68">
        <f t="shared" si="7"/>
        <v>6075.0980707112722</v>
      </c>
      <c r="AI18" s="67">
        <f t="shared" si="3"/>
        <v>24.106429410456599</v>
      </c>
      <c r="AJ18" s="67">
        <f t="shared" si="1"/>
        <v>4.8204037891509746</v>
      </c>
      <c r="AK18" s="90">
        <f t="shared" si="4"/>
        <v>19.286025621305626</v>
      </c>
      <c r="AL18" s="127">
        <f>IFERROR((AF18-AF17)/(AB18-AB17),0)*1000000</f>
        <v>20.663598879970301</v>
      </c>
    </row>
    <row r="19" spans="1:63">
      <c r="A19" s="2" t="s">
        <v>297</v>
      </c>
      <c r="AB19" s="180">
        <f t="shared" si="8"/>
        <v>336000000</v>
      </c>
      <c r="AC19" s="15">
        <f t="shared" si="2"/>
        <v>16</v>
      </c>
      <c r="AD19" s="15">
        <v>16</v>
      </c>
      <c r="AE19" s="15" t="s">
        <v>314</v>
      </c>
      <c r="AF19" s="17">
        <f>SUM(AG19:AH19)</f>
        <v>8027.4608407732057</v>
      </c>
      <c r="AG19" s="17">
        <f t="shared" si="0"/>
        <v>1518.427193582557</v>
      </c>
      <c r="AH19" s="68">
        <f t="shared" si="7"/>
        <v>6509.0336471906485</v>
      </c>
      <c r="AI19" s="67">
        <f t="shared" si="3"/>
        <v>23.891252502301207</v>
      </c>
      <c r="AJ19" s="67">
        <f t="shared" si="1"/>
        <v>4.5191285523290388</v>
      </c>
      <c r="AK19" s="90">
        <f t="shared" si="4"/>
        <v>19.372123949972167</v>
      </c>
      <c r="AL19" s="127">
        <f t="shared" ref="AL19:AL23" si="11">IFERROR((AF19-AF18)/(AB19-AB18),0)*1000000</f>
        <v>20.663598879970301</v>
      </c>
    </row>
    <row r="20" spans="1:63">
      <c r="A20" s="2" t="s">
        <v>298</v>
      </c>
      <c r="AB20" s="180">
        <f t="shared" si="8"/>
        <v>357000000</v>
      </c>
      <c r="AC20" s="15">
        <f t="shared" si="2"/>
        <v>17</v>
      </c>
      <c r="AD20" s="15">
        <v>17</v>
      </c>
      <c r="AE20" s="15" t="s">
        <v>314</v>
      </c>
      <c r="AF20" s="17">
        <f t="shared" ref="AF20:AF23" si="12">SUM(AG20:AH20)</f>
        <v>8461.3964172525812</v>
      </c>
      <c r="AG20" s="17">
        <f t="shared" si="0"/>
        <v>1518.427193582557</v>
      </c>
      <c r="AH20" s="68">
        <f t="shared" si="7"/>
        <v>6942.9692236700248</v>
      </c>
      <c r="AI20" s="67">
        <f t="shared" si="3"/>
        <v>23.701390524517034</v>
      </c>
      <c r="AJ20" s="67">
        <f t="shared" si="1"/>
        <v>4.253297461015566</v>
      </c>
      <c r="AK20" s="90">
        <f t="shared" si="4"/>
        <v>19.448093063501467</v>
      </c>
      <c r="AL20" s="127">
        <f t="shared" si="11"/>
        <v>20.663598879970259</v>
      </c>
    </row>
    <row r="21" spans="1:63">
      <c r="A21" s="2" t="s">
        <v>365</v>
      </c>
      <c r="AB21" s="180">
        <f t="shared" si="8"/>
        <v>378000000</v>
      </c>
      <c r="AC21" s="15">
        <f t="shared" si="2"/>
        <v>18</v>
      </c>
      <c r="AD21" s="15">
        <v>18</v>
      </c>
      <c r="AE21" s="15" t="s">
        <v>314</v>
      </c>
      <c r="AF21" s="17">
        <f t="shared" si="12"/>
        <v>8895.3319937319575</v>
      </c>
      <c r="AG21" s="17">
        <f t="shared" si="0"/>
        <v>1518.427193582557</v>
      </c>
      <c r="AH21" s="68">
        <f t="shared" si="7"/>
        <v>7376.9048001494011</v>
      </c>
      <c r="AI21" s="67">
        <f t="shared" si="3"/>
        <v>23.532624322042217</v>
      </c>
      <c r="AJ21" s="67">
        <f t="shared" si="1"/>
        <v>4.0170031576258127</v>
      </c>
      <c r="AK21" s="90">
        <f t="shared" si="4"/>
        <v>19.515621164416405</v>
      </c>
      <c r="AL21" s="127">
        <f t="shared" si="11"/>
        <v>20.663598879970301</v>
      </c>
    </row>
    <row r="22" spans="1:63">
      <c r="AB22" s="180">
        <f t="shared" si="8"/>
        <v>399000000</v>
      </c>
      <c r="AC22" s="15">
        <f t="shared" si="2"/>
        <v>19</v>
      </c>
      <c r="AD22" s="15">
        <v>19</v>
      </c>
      <c r="AE22" s="15" t="s">
        <v>314</v>
      </c>
      <c r="AF22" s="17">
        <f t="shared" si="12"/>
        <v>9329.2675702113338</v>
      </c>
      <c r="AG22" s="17">
        <f t="shared" si="0"/>
        <v>1518.427193582557</v>
      </c>
      <c r="AH22" s="68">
        <f t="shared" si="7"/>
        <v>7810.8403766287774</v>
      </c>
      <c r="AI22" s="67">
        <f t="shared" si="3"/>
        <v>23.3816229829858</v>
      </c>
      <c r="AJ22" s="67">
        <f t="shared" si="1"/>
        <v>3.8055819388034009</v>
      </c>
      <c r="AK22" s="90">
        <f t="shared" si="4"/>
        <v>19.5760410441824</v>
      </c>
      <c r="AL22" s="127">
        <f t="shared" si="11"/>
        <v>20.663598879970301</v>
      </c>
    </row>
    <row r="23" spans="1:63" ht="14.4" thickBot="1">
      <c r="A23" s="484" t="s">
        <v>408</v>
      </c>
      <c r="B23" s="484"/>
      <c r="C23" s="484"/>
      <c r="D23" s="484"/>
      <c r="AB23" s="180">
        <f t="shared" si="8"/>
        <v>420000000</v>
      </c>
      <c r="AC23" s="15">
        <f t="shared" si="2"/>
        <v>20</v>
      </c>
      <c r="AD23" s="15">
        <v>20</v>
      </c>
      <c r="AE23" s="15" t="s">
        <v>314</v>
      </c>
      <c r="AF23" s="17">
        <f t="shared" si="12"/>
        <v>9763.2031466907101</v>
      </c>
      <c r="AG23" s="17">
        <f t="shared" si="0"/>
        <v>1518.427193582557</v>
      </c>
      <c r="AH23" s="68">
        <f t="shared" si="7"/>
        <v>8244.7759531081538</v>
      </c>
      <c r="AI23" s="67">
        <f t="shared" si="3"/>
        <v>23.245721777835023</v>
      </c>
      <c r="AJ23" s="67">
        <f t="shared" si="1"/>
        <v>3.6153028418632314</v>
      </c>
      <c r="AK23" s="90">
        <f t="shared" si="4"/>
        <v>19.630418935971793</v>
      </c>
      <c r="AL23" s="127">
        <f t="shared" si="11"/>
        <v>20.663598879970301</v>
      </c>
    </row>
    <row r="24" spans="1:63" ht="14.4" customHeight="1">
      <c r="A24" s="164" t="s">
        <v>300</v>
      </c>
      <c r="B24" s="165" t="s">
        <v>301</v>
      </c>
      <c r="C24" s="165" t="s">
        <v>271</v>
      </c>
      <c r="D24" s="166" t="s">
        <v>302</v>
      </c>
      <c r="AB24" s="180">
        <f t="shared" si="8"/>
        <v>441000000</v>
      </c>
      <c r="AC24" s="15">
        <f t="shared" si="2"/>
        <v>21</v>
      </c>
      <c r="AD24" s="15">
        <v>21</v>
      </c>
      <c r="AE24" s="15" t="s">
        <v>314</v>
      </c>
      <c r="AF24" s="17">
        <f t="shared" ref="AF24:AF55" si="13">SUM(AG24:AH24)</f>
        <v>10197.138723170086</v>
      </c>
      <c r="AG24" s="17">
        <f t="shared" si="0"/>
        <v>1518.427193582557</v>
      </c>
      <c r="AH24" s="68">
        <f t="shared" si="7"/>
        <v>8678.7115295875301</v>
      </c>
      <c r="AI24" s="67">
        <f t="shared" si="3"/>
        <v>23.122763544603373</v>
      </c>
      <c r="AJ24" s="67">
        <f t="shared" si="1"/>
        <v>3.4431455636792676</v>
      </c>
      <c r="AK24" s="90">
        <f t="shared" si="4"/>
        <v>19.679617980924107</v>
      </c>
      <c r="AL24" s="127">
        <f t="shared" ref="AL24:AL55" si="14">IFERROR((AF24-AF23)/(AB24-AB23),0)*1000000</f>
        <v>20.663598879970301</v>
      </c>
      <c r="AM24"/>
      <c r="AN24" s="99"/>
      <c r="AO24" s="189"/>
      <c r="AP24" s="189"/>
      <c r="AQ24" s="189"/>
      <c r="AR24" s="189"/>
      <c r="AS24" s="189"/>
      <c r="AT24" s="189"/>
      <c r="AU24" s="189"/>
      <c r="AV24" s="189"/>
      <c r="AW24" s="189"/>
      <c r="AX24" s="189"/>
      <c r="AY24"/>
      <c r="AZ24"/>
      <c r="BA24"/>
      <c r="BB24"/>
      <c r="BC24"/>
      <c r="BD24"/>
      <c r="BE24"/>
      <c r="BF24"/>
      <c r="BG24"/>
      <c r="BH24"/>
      <c r="BI24"/>
      <c r="BJ24"/>
      <c r="BK24"/>
    </row>
    <row r="25" spans="1:63" ht="14.4">
      <c r="A25" s="75" t="s">
        <v>303</v>
      </c>
      <c r="B25" s="21">
        <v>12</v>
      </c>
      <c r="C25" s="21">
        <v>3236</v>
      </c>
      <c r="D25" s="193">
        <f>B25/C25</f>
        <v>3.708281829419036E-3</v>
      </c>
      <c r="AB25" s="180">
        <f t="shared" si="8"/>
        <v>462000000</v>
      </c>
      <c r="AC25" s="15">
        <f t="shared" si="2"/>
        <v>22</v>
      </c>
      <c r="AD25" s="15">
        <v>22</v>
      </c>
      <c r="AE25" s="15" t="s">
        <v>314</v>
      </c>
      <c r="AF25" s="17">
        <f t="shared" si="13"/>
        <v>10631.074299649463</v>
      </c>
      <c r="AG25" s="17">
        <f t="shared" si="0"/>
        <v>1518.427193582557</v>
      </c>
      <c r="AH25" s="68">
        <f t="shared" si="7"/>
        <v>9112.6471060669064</v>
      </c>
      <c r="AI25" s="67">
        <f t="shared" si="3"/>
        <v>23.0109833325746</v>
      </c>
      <c r="AJ25" s="67">
        <f t="shared" si="1"/>
        <v>3.2866389471483921</v>
      </c>
      <c r="AK25" s="90">
        <f t="shared" si="4"/>
        <v>19.724344385426207</v>
      </c>
      <c r="AL25" s="127">
        <f t="shared" si="14"/>
        <v>20.663598879970301</v>
      </c>
      <c r="AM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</row>
    <row r="26" spans="1:63" ht="14.4">
      <c r="A26" s="75" t="s">
        <v>304</v>
      </c>
      <c r="B26" s="21">
        <v>44</v>
      </c>
      <c r="C26" s="21">
        <v>630</v>
      </c>
      <c r="D26" s="193">
        <f>B26/C26</f>
        <v>6.9841269841269843E-2</v>
      </c>
      <c r="AB26" s="180">
        <f t="shared" si="8"/>
        <v>483000000</v>
      </c>
      <c r="AC26" s="15">
        <f t="shared" si="2"/>
        <v>23</v>
      </c>
      <c r="AD26" s="15">
        <v>23</v>
      </c>
      <c r="AE26" s="15" t="s">
        <v>314</v>
      </c>
      <c r="AF26" s="17">
        <f t="shared" si="13"/>
        <v>11065.009876128839</v>
      </c>
      <c r="AG26" s="17">
        <f t="shared" si="0"/>
        <v>1518.427193582557</v>
      </c>
      <c r="AH26" s="68">
        <f t="shared" si="7"/>
        <v>9546.5826825462827</v>
      </c>
      <c r="AI26" s="67">
        <f t="shared" si="3"/>
        <v>22.908923138983106</v>
      </c>
      <c r="AJ26" s="67">
        <f t="shared" si="1"/>
        <v>3.1437416016202011</v>
      </c>
      <c r="AK26" s="90">
        <f t="shared" si="4"/>
        <v>19.765181537362906</v>
      </c>
      <c r="AL26" s="127">
        <f t="shared" si="14"/>
        <v>20.663598879970301</v>
      </c>
      <c r="AM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</row>
    <row r="27" spans="1:63" ht="14.4">
      <c r="A27" s="75" t="s">
        <v>313</v>
      </c>
      <c r="B27" s="21">
        <v>150</v>
      </c>
      <c r="C27" s="21">
        <v>4425</v>
      </c>
      <c r="D27" s="193">
        <f>B27/C27</f>
        <v>3.3898305084745763E-2</v>
      </c>
      <c r="AB27" s="180">
        <f t="shared" si="8"/>
        <v>504000000</v>
      </c>
      <c r="AC27" s="15">
        <f t="shared" si="2"/>
        <v>24</v>
      </c>
      <c r="AD27" s="15">
        <v>24</v>
      </c>
      <c r="AE27" s="15" t="s">
        <v>314</v>
      </c>
      <c r="AF27" s="17">
        <f t="shared" si="13"/>
        <v>11498.945452608215</v>
      </c>
      <c r="AG27" s="17">
        <f t="shared" si="0"/>
        <v>1518.427193582557</v>
      </c>
      <c r="AH27" s="68">
        <f t="shared" si="7"/>
        <v>9980.5182590256591</v>
      </c>
      <c r="AI27" s="67">
        <f t="shared" si="3"/>
        <v>22.815367961524238</v>
      </c>
      <c r="AJ27" s="67">
        <f t="shared" si="1"/>
        <v>3.0127523682193593</v>
      </c>
      <c r="AK27" s="90">
        <f t="shared" si="4"/>
        <v>19.802615593304878</v>
      </c>
      <c r="AL27" s="127">
        <f t="shared" si="14"/>
        <v>20.663598879970301</v>
      </c>
      <c r="AM27"/>
      <c r="AN27" s="74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</row>
    <row r="28" spans="1:63" ht="15" thickBot="1">
      <c r="A28" s="80" t="s">
        <v>314</v>
      </c>
      <c r="B28" s="81">
        <v>20</v>
      </c>
      <c r="C28" s="81">
        <v>44</v>
      </c>
      <c r="D28" s="194">
        <f>B28/C28</f>
        <v>0.45454545454545453</v>
      </c>
      <c r="AB28" s="180">
        <f t="shared" si="8"/>
        <v>525000000</v>
      </c>
      <c r="AC28" s="15">
        <f t="shared" si="2"/>
        <v>25</v>
      </c>
      <c r="AD28" s="15">
        <v>25</v>
      </c>
      <c r="AE28" s="15" t="s">
        <v>314</v>
      </c>
      <c r="AF28" s="17">
        <f t="shared" si="13"/>
        <v>11932.881029087592</v>
      </c>
      <c r="AG28" s="17">
        <f t="shared" si="0"/>
        <v>1518.427193582557</v>
      </c>
      <c r="AH28" s="68">
        <f t="shared" si="7"/>
        <v>10414.453835505035</v>
      </c>
      <c r="AI28" s="67">
        <f t="shared" si="3"/>
        <v>22.729297198262078</v>
      </c>
      <c r="AJ28" s="67">
        <f t="shared" si="1"/>
        <v>2.8922422734905848</v>
      </c>
      <c r="AK28" s="90">
        <f t="shared" si="4"/>
        <v>19.837054924771493</v>
      </c>
      <c r="AL28" s="127">
        <f t="shared" si="14"/>
        <v>20.663598879970301</v>
      </c>
      <c r="AM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</row>
    <row r="29" spans="1:63" ht="14.4">
      <c r="A29" s="27"/>
      <c r="B29" s="27"/>
      <c r="C29" s="27"/>
      <c r="D29" s="27"/>
      <c r="AB29" s="180">
        <f t="shared" si="8"/>
        <v>546000000</v>
      </c>
      <c r="AC29" s="15">
        <f t="shared" si="2"/>
        <v>26</v>
      </c>
      <c r="AD29" s="15">
        <v>26</v>
      </c>
      <c r="AE29" s="15" t="s">
        <v>314</v>
      </c>
      <c r="AF29" s="17">
        <f t="shared" si="13"/>
        <v>12366.816605566968</v>
      </c>
      <c r="AG29" s="17">
        <f t="shared" si="0"/>
        <v>1518.427193582557</v>
      </c>
      <c r="AH29" s="68">
        <f t="shared" si="7"/>
        <v>10848.389411984412</v>
      </c>
      <c r="AI29" s="67">
        <f t="shared" si="3"/>
        <v>22.649847262943165</v>
      </c>
      <c r="AJ29" s="67">
        <f t="shared" si="1"/>
        <v>2.7810021860486396</v>
      </c>
      <c r="AK29" s="90">
        <f t="shared" si="4"/>
        <v>19.868845076894527</v>
      </c>
      <c r="AL29" s="127">
        <f t="shared" si="14"/>
        <v>20.663598879970301</v>
      </c>
      <c r="AM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</row>
    <row r="30" spans="1:63" ht="14.4">
      <c r="A30" s="27"/>
      <c r="B30" s="27"/>
      <c r="C30" s="169" t="s">
        <v>315</v>
      </c>
      <c r="D30" s="83">
        <f>SUM(D25:D27)/3</f>
        <v>3.5815952251811549E-2</v>
      </c>
      <c r="AB30" s="180">
        <f t="shared" si="8"/>
        <v>567000000</v>
      </c>
      <c r="AC30" s="15">
        <f t="shared" si="2"/>
        <v>27</v>
      </c>
      <c r="AD30" s="15">
        <v>27</v>
      </c>
      <c r="AE30" s="15" t="s">
        <v>314</v>
      </c>
      <c r="AF30" s="17">
        <f t="shared" si="13"/>
        <v>12800.752182046344</v>
      </c>
      <c r="AG30" s="17">
        <f t="shared" si="0"/>
        <v>1518.427193582557</v>
      </c>
      <c r="AH30" s="68">
        <f t="shared" si="7"/>
        <v>11282.324988463788</v>
      </c>
      <c r="AI30" s="67">
        <f t="shared" si="3"/>
        <v>22.576282508018245</v>
      </c>
      <c r="AJ30" s="67">
        <f t="shared" si="1"/>
        <v>2.6780021050838747</v>
      </c>
      <c r="AK30" s="90">
        <f t="shared" si="4"/>
        <v>19.898280402934372</v>
      </c>
      <c r="AL30" s="127">
        <f t="shared" si="14"/>
        <v>20.663598879970301</v>
      </c>
      <c r="AM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</row>
    <row r="31" spans="1:63" ht="14.4">
      <c r="A31" s="27"/>
      <c r="B31" s="27"/>
      <c r="C31" s="169" t="s">
        <v>316</v>
      </c>
      <c r="D31" s="83">
        <f>D28</f>
        <v>0.45454545454545453</v>
      </c>
      <c r="AB31" s="180">
        <f t="shared" si="8"/>
        <v>588000000</v>
      </c>
      <c r="AC31" s="15">
        <f t="shared" si="2"/>
        <v>28</v>
      </c>
      <c r="AD31" s="15">
        <v>28</v>
      </c>
      <c r="AE31" s="15" t="s">
        <v>314</v>
      </c>
      <c r="AF31" s="17">
        <f t="shared" si="13"/>
        <v>13234.687758525721</v>
      </c>
      <c r="AG31" s="17">
        <f t="shared" si="0"/>
        <v>1518.427193582557</v>
      </c>
      <c r="AH31" s="68">
        <f t="shared" si="7"/>
        <v>11716.260564943164</v>
      </c>
      <c r="AI31" s="67">
        <f t="shared" si="3"/>
        <v>22.507972378445103</v>
      </c>
      <c r="AJ31" s="67">
        <f t="shared" si="1"/>
        <v>2.5823591727594506</v>
      </c>
      <c r="AK31" s="90">
        <f t="shared" si="4"/>
        <v>19.925613205685654</v>
      </c>
      <c r="AL31" s="127">
        <f t="shared" si="14"/>
        <v>20.663598879970301</v>
      </c>
      <c r="AM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</row>
    <row r="32" spans="1:63" ht="14.4">
      <c r="A32" s="27"/>
      <c r="B32" s="27"/>
      <c r="C32" s="27"/>
      <c r="D32" s="27"/>
      <c r="AB32" s="180">
        <f t="shared" si="8"/>
        <v>609000000</v>
      </c>
      <c r="AC32" s="15">
        <f t="shared" si="2"/>
        <v>29</v>
      </c>
      <c r="AD32" s="15">
        <v>29</v>
      </c>
      <c r="AE32" s="15" t="s">
        <v>314</v>
      </c>
      <c r="AF32" s="17">
        <f t="shared" si="13"/>
        <v>13668.623335005097</v>
      </c>
      <c r="AG32" s="17">
        <f t="shared" si="0"/>
        <v>1518.427193582557</v>
      </c>
      <c r="AH32" s="68">
        <f t="shared" si="7"/>
        <v>12150.196141422541</v>
      </c>
      <c r="AI32" s="67">
        <f t="shared" si="3"/>
        <v>22.444373292290802</v>
      </c>
      <c r="AJ32" s="67">
        <f t="shared" si="1"/>
        <v>2.493312304733263</v>
      </c>
      <c r="AK32" s="90">
        <f t="shared" si="4"/>
        <v>19.95106098755754</v>
      </c>
      <c r="AL32" s="127">
        <f t="shared" si="14"/>
        <v>20.663598879970301</v>
      </c>
      <c r="AM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</row>
    <row r="33" spans="1:63" ht="15" thickBot="1">
      <c r="A33" s="484" t="s">
        <v>409</v>
      </c>
      <c r="B33" s="484"/>
      <c r="C33" s="484"/>
      <c r="D33" s="484"/>
      <c r="AB33" s="180">
        <f t="shared" si="8"/>
        <v>630000000</v>
      </c>
      <c r="AC33" s="15">
        <f t="shared" si="2"/>
        <v>30</v>
      </c>
      <c r="AD33" s="15">
        <v>30</v>
      </c>
      <c r="AE33" s="15" t="s">
        <v>314</v>
      </c>
      <c r="AF33" s="17">
        <f t="shared" si="13"/>
        <v>14102.558911484473</v>
      </c>
      <c r="AG33" s="17">
        <f t="shared" si="0"/>
        <v>1518.427193582557</v>
      </c>
      <c r="AH33" s="68">
        <f t="shared" si="7"/>
        <v>12584.131717901917</v>
      </c>
      <c r="AI33" s="67">
        <f t="shared" si="3"/>
        <v>22.38501414521345</v>
      </c>
      <c r="AJ33" s="67">
        <f t="shared" si="1"/>
        <v>2.4102018945754873</v>
      </c>
      <c r="AK33" s="90">
        <f t="shared" si="4"/>
        <v>19.974812250637964</v>
      </c>
      <c r="AL33" s="127">
        <f t="shared" si="14"/>
        <v>20.663598879970301</v>
      </c>
      <c r="AM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</row>
    <row r="34" spans="1:63" ht="14.4">
      <c r="A34" s="164" t="s">
        <v>300</v>
      </c>
      <c r="B34" s="165" t="s">
        <v>317</v>
      </c>
      <c r="C34" s="165" t="s">
        <v>271</v>
      </c>
      <c r="D34" s="166" t="s">
        <v>318</v>
      </c>
      <c r="AB34" s="180">
        <f t="shared" si="8"/>
        <v>651000000</v>
      </c>
      <c r="AC34" s="15">
        <f t="shared" si="2"/>
        <v>31</v>
      </c>
      <c r="AD34" s="15">
        <v>31</v>
      </c>
      <c r="AE34" s="15" t="s">
        <v>314</v>
      </c>
      <c r="AF34" s="17">
        <f t="shared" si="13"/>
        <v>14536.49448796385</v>
      </c>
      <c r="AG34" s="17">
        <f t="shared" si="0"/>
        <v>1518.427193582557</v>
      </c>
      <c r="AH34" s="68">
        <f t="shared" si="7"/>
        <v>13018.067294381293</v>
      </c>
      <c r="AI34" s="67">
        <f t="shared" si="3"/>
        <v>22.329484620528188</v>
      </c>
      <c r="AJ34" s="67">
        <f t="shared" si="1"/>
        <v>2.3324534463633748</v>
      </c>
      <c r="AK34" s="90">
        <f t="shared" si="4"/>
        <v>19.997031174164814</v>
      </c>
      <c r="AL34" s="127">
        <f t="shared" si="14"/>
        <v>20.663598879970301</v>
      </c>
      <c r="AM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</row>
    <row r="35" spans="1:63" ht="14.4">
      <c r="A35" s="75" t="s">
        <v>303</v>
      </c>
      <c r="B35" s="21">
        <f>4.65*1000</f>
        <v>4650</v>
      </c>
      <c r="C35" s="21">
        <v>3236</v>
      </c>
      <c r="D35" s="182">
        <f>B35/C35</f>
        <v>1.4369592088998764</v>
      </c>
      <c r="AA35" s="85"/>
      <c r="AB35" s="180">
        <f t="shared" si="8"/>
        <v>672000000</v>
      </c>
      <c r="AC35" s="15">
        <f t="shared" si="2"/>
        <v>32</v>
      </c>
      <c r="AD35" s="15">
        <v>32</v>
      </c>
      <c r="AE35" s="15" t="s">
        <v>314</v>
      </c>
      <c r="AF35" s="17">
        <f t="shared" si="13"/>
        <v>14970.430064443226</v>
      </c>
      <c r="AG35" s="17">
        <f t="shared" si="0"/>
        <v>1518.427193582557</v>
      </c>
      <c r="AH35" s="68">
        <f t="shared" si="7"/>
        <v>13452.00287086067</v>
      </c>
      <c r="AI35" s="67">
        <f t="shared" si="3"/>
        <v>22.277425691135754</v>
      </c>
      <c r="AJ35" s="67">
        <f t="shared" si="1"/>
        <v>2.2595642761645194</v>
      </c>
      <c r="AK35" s="90">
        <f t="shared" si="4"/>
        <v>20.017861414971236</v>
      </c>
      <c r="AL35" s="127">
        <f t="shared" si="14"/>
        <v>20.663598879970301</v>
      </c>
      <c r="AM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</row>
    <row r="36" spans="1:63" ht="14.4">
      <c r="A36" s="75" t="s">
        <v>304</v>
      </c>
      <c r="B36" s="21">
        <f>5.9*1000</f>
        <v>5900</v>
      </c>
      <c r="C36" s="21">
        <v>630</v>
      </c>
      <c r="D36" s="182">
        <f>B36/C36</f>
        <v>9.3650793650793656</v>
      </c>
      <c r="AA36" s="85"/>
      <c r="AB36" s="180">
        <f t="shared" si="8"/>
        <v>693000000</v>
      </c>
      <c r="AC36" s="15">
        <f t="shared" si="2"/>
        <v>33</v>
      </c>
      <c r="AD36" s="15">
        <v>33</v>
      </c>
      <c r="AE36" s="15" t="s">
        <v>314</v>
      </c>
      <c r="AF36" s="17">
        <f t="shared" si="13"/>
        <v>15404.365640922602</v>
      </c>
      <c r="AG36" s="17">
        <f t="shared" ref="AG36:AG55" si="15">SUM($AF$119:$AI$119,$BH$119)</f>
        <v>1518.427193582557</v>
      </c>
      <c r="AH36" s="68">
        <f t="shared" si="7"/>
        <v>13885.938447340046</v>
      </c>
      <c r="AI36" s="67">
        <f t="shared" si="3"/>
        <v>22.228521848373166</v>
      </c>
      <c r="AJ36" s="67">
        <f t="shared" si="1"/>
        <v>2.1910926314322614</v>
      </c>
      <c r="AK36" s="90">
        <f t="shared" si="4"/>
        <v>20.037429216940904</v>
      </c>
      <c r="AL36" s="127">
        <f t="shared" si="14"/>
        <v>20.663598879970301</v>
      </c>
      <c r="AM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</row>
    <row r="37" spans="1:63" ht="14.4">
      <c r="A37" s="75" t="s">
        <v>313</v>
      </c>
      <c r="B37" s="21">
        <f>6.95*1000</f>
        <v>6950</v>
      </c>
      <c r="C37" s="21">
        <v>4425</v>
      </c>
      <c r="D37" s="182">
        <f>B37/C37</f>
        <v>1.5706214689265536</v>
      </c>
      <c r="AA37" s="85"/>
      <c r="AB37" s="180">
        <f t="shared" si="8"/>
        <v>714000000</v>
      </c>
      <c r="AC37" s="15">
        <f t="shared" si="2"/>
        <v>34</v>
      </c>
      <c r="AD37" s="15">
        <v>34</v>
      </c>
      <c r="AE37" s="15" t="s">
        <v>314</v>
      </c>
      <c r="AF37" s="17">
        <f t="shared" si="13"/>
        <v>15838.301217401979</v>
      </c>
      <c r="AG37" s="17">
        <f t="shared" si="15"/>
        <v>1518.427193582557</v>
      </c>
      <c r="AH37" s="68">
        <f t="shared" si="7"/>
        <v>14319.874023819422</v>
      </c>
      <c r="AI37" s="67">
        <f t="shared" si="3"/>
        <v>22.182494702243666</v>
      </c>
      <c r="AJ37" s="67">
        <f t="shared" si="1"/>
        <v>2.126648730507783</v>
      </c>
      <c r="AK37" s="90">
        <f t="shared" si="4"/>
        <v>20.055845971735884</v>
      </c>
      <c r="AL37" s="127">
        <f t="shared" si="14"/>
        <v>20.663598879970301</v>
      </c>
      <c r="AM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</row>
    <row r="38" spans="1:63" ht="15" thickBot="1">
      <c r="A38" s="80" t="s">
        <v>314</v>
      </c>
      <c r="B38" s="81">
        <f>4.8*1000</f>
        <v>4800</v>
      </c>
      <c r="C38" s="81">
        <v>44</v>
      </c>
      <c r="D38" s="187">
        <f>B38/C38</f>
        <v>109.09090909090909</v>
      </c>
      <c r="AA38" s="85"/>
      <c r="AB38" s="180">
        <f t="shared" si="8"/>
        <v>735000000</v>
      </c>
      <c r="AC38" s="15">
        <f t="shared" si="2"/>
        <v>35</v>
      </c>
      <c r="AD38" s="15">
        <v>35</v>
      </c>
      <c r="AE38" s="15" t="s">
        <v>314</v>
      </c>
      <c r="AF38" s="17">
        <f t="shared" si="13"/>
        <v>16272.236793881355</v>
      </c>
      <c r="AG38" s="17">
        <f t="shared" si="15"/>
        <v>1518.427193582557</v>
      </c>
      <c r="AH38" s="68">
        <f t="shared" si="7"/>
        <v>14753.809600298799</v>
      </c>
      <c r="AI38" s="67">
        <f t="shared" si="3"/>
        <v>22.139097678750144</v>
      </c>
      <c r="AJ38" s="67">
        <f t="shared" si="1"/>
        <v>2.0658873382075607</v>
      </c>
      <c r="AK38" s="90">
        <f t="shared" si="4"/>
        <v>20.073210340542584</v>
      </c>
      <c r="AL38" s="127">
        <f t="shared" si="14"/>
        <v>20.663598879970301</v>
      </c>
      <c r="AM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</row>
    <row r="39" spans="1:63" ht="14.4">
      <c r="A39" s="27"/>
      <c r="B39" s="27"/>
      <c r="C39" s="27"/>
      <c r="D39" s="27"/>
      <c r="AB39" s="180">
        <f t="shared" ref="AB39:AB55" si="16">AB38+$AB$4</f>
        <v>756000000</v>
      </c>
      <c r="AC39" s="15">
        <f t="shared" si="2"/>
        <v>36</v>
      </c>
      <c r="AD39" s="15">
        <v>36</v>
      </c>
      <c r="AE39" s="15" t="s">
        <v>314</v>
      </c>
      <c r="AF39" s="17">
        <f t="shared" si="13"/>
        <v>16706.172370360731</v>
      </c>
      <c r="AG39" s="17">
        <f t="shared" si="15"/>
        <v>1518.427193582557</v>
      </c>
      <c r="AH39" s="68">
        <f t="shared" si="7"/>
        <v>15187.745176778175</v>
      </c>
      <c r="AI39" s="67">
        <f t="shared" si="3"/>
        <v>22.098111601006259</v>
      </c>
      <c r="AJ39" s="67">
        <f t="shared" si="1"/>
        <v>2.0085015788129064</v>
      </c>
      <c r="AK39" s="90">
        <f t="shared" si="4"/>
        <v>20.089610022193352</v>
      </c>
      <c r="AL39" s="127">
        <f t="shared" si="14"/>
        <v>20.663598879970301</v>
      </c>
      <c r="AM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</row>
    <row r="40" spans="1:63" ht="14.4">
      <c r="A40" s="27"/>
      <c r="B40" s="27"/>
      <c r="C40" s="169" t="s">
        <v>315</v>
      </c>
      <c r="D40" s="83">
        <f>SUM(D35:D37)/3</f>
        <v>4.1242200143019323</v>
      </c>
      <c r="AA40" s="74"/>
      <c r="AB40" s="180">
        <f t="shared" si="16"/>
        <v>777000000</v>
      </c>
      <c r="AC40" s="15">
        <f t="shared" si="2"/>
        <v>37</v>
      </c>
      <c r="AD40" s="15">
        <v>37</v>
      </c>
      <c r="AE40" s="15" t="s">
        <v>314</v>
      </c>
      <c r="AF40" s="17">
        <f t="shared" si="13"/>
        <v>17140.107946840108</v>
      </c>
      <c r="AG40" s="17">
        <f t="shared" si="15"/>
        <v>1518.427193582557</v>
      </c>
      <c r="AH40" s="68">
        <f t="shared" si="7"/>
        <v>15621.680753257551</v>
      </c>
      <c r="AI40" s="67">
        <f t="shared" si="3"/>
        <v>22.059340986924209</v>
      </c>
      <c r="AJ40" s="67">
        <f t="shared" si="1"/>
        <v>1.9542177523585031</v>
      </c>
      <c r="AK40" s="90">
        <f t="shared" si="4"/>
        <v>20.105123234565706</v>
      </c>
      <c r="AL40" s="127">
        <f t="shared" si="14"/>
        <v>20.663598879970301</v>
      </c>
      <c r="AM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</row>
    <row r="41" spans="1:63" ht="14.4">
      <c r="A41" s="27"/>
      <c r="B41" s="27"/>
      <c r="C41" s="169" t="s">
        <v>316</v>
      </c>
      <c r="D41" s="83">
        <f>D38</f>
        <v>109.09090909090909</v>
      </c>
      <c r="AB41" s="180">
        <f t="shared" si="16"/>
        <v>798000000</v>
      </c>
      <c r="AC41" s="15">
        <f t="shared" si="2"/>
        <v>38</v>
      </c>
      <c r="AD41" s="15">
        <v>38</v>
      </c>
      <c r="AE41" s="15" t="s">
        <v>314</v>
      </c>
      <c r="AF41" s="17">
        <f t="shared" si="13"/>
        <v>17574.043523319484</v>
      </c>
      <c r="AG41" s="17">
        <f t="shared" si="15"/>
        <v>1518.427193582557</v>
      </c>
      <c r="AH41" s="68">
        <f t="shared" si="7"/>
        <v>16055.616329736928</v>
      </c>
      <c r="AI41" s="67">
        <f t="shared" si="3"/>
        <v>22.022610931478052</v>
      </c>
      <c r="AJ41" s="67">
        <f t="shared" si="1"/>
        <v>1.9027909694017004</v>
      </c>
      <c r="AK41" s="90">
        <f t="shared" si="4"/>
        <v>20.119819962076352</v>
      </c>
      <c r="AL41" s="127">
        <f t="shared" si="14"/>
        <v>20.663598879970301</v>
      </c>
      <c r="AM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</row>
    <row r="42" spans="1:63" ht="14.4">
      <c r="A42" s="27"/>
      <c r="B42" s="27"/>
      <c r="C42" s="27"/>
      <c r="D42" s="27"/>
      <c r="AB42" s="180">
        <f t="shared" si="16"/>
        <v>819000000</v>
      </c>
      <c r="AC42" s="15">
        <f t="shared" si="2"/>
        <v>39</v>
      </c>
      <c r="AD42" s="15">
        <v>39</v>
      </c>
      <c r="AE42" s="15" t="s">
        <v>314</v>
      </c>
      <c r="AF42" s="17">
        <f t="shared" si="13"/>
        <v>18007.97909979886</v>
      </c>
      <c r="AG42" s="17">
        <f t="shared" si="15"/>
        <v>1518.427193582557</v>
      </c>
      <c r="AH42" s="68">
        <f t="shared" si="7"/>
        <v>16489.551906216304</v>
      </c>
      <c r="AI42" s="67">
        <f t="shared" si="3"/>
        <v>21.987764468618877</v>
      </c>
      <c r="AJ42" s="67">
        <f t="shared" si="1"/>
        <v>1.8540014573657595</v>
      </c>
      <c r="AK42" s="90">
        <f t="shared" si="4"/>
        <v>20.133763011253119</v>
      </c>
      <c r="AL42" s="127">
        <f t="shared" si="14"/>
        <v>20.663598879970301</v>
      </c>
      <c r="AM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</row>
    <row r="43" spans="1:63" ht="15" thickBot="1">
      <c r="A43" s="484" t="s">
        <v>410</v>
      </c>
      <c r="B43" s="484"/>
      <c r="C43" s="484"/>
      <c r="D43" s="484"/>
      <c r="AB43" s="180">
        <f t="shared" si="16"/>
        <v>840000000</v>
      </c>
      <c r="AC43" s="15">
        <f t="shared" si="2"/>
        <v>40</v>
      </c>
      <c r="AD43" s="15">
        <v>40</v>
      </c>
      <c r="AE43" s="15" t="s">
        <v>314</v>
      </c>
      <c r="AF43" s="17">
        <f t="shared" si="13"/>
        <v>18441.914676278237</v>
      </c>
      <c r="AG43" s="17">
        <f t="shared" si="15"/>
        <v>1518.427193582557</v>
      </c>
      <c r="AH43" s="68">
        <f t="shared" si="7"/>
        <v>16923.48748269568</v>
      </c>
      <c r="AI43" s="67">
        <f t="shared" si="3"/>
        <v>21.954660328902666</v>
      </c>
      <c r="AJ43" s="67">
        <f t="shared" si="1"/>
        <v>1.8076514209316157</v>
      </c>
      <c r="AK43" s="90">
        <f t="shared" si="4"/>
        <v>20.147008907971049</v>
      </c>
      <c r="AL43" s="127">
        <f t="shared" si="14"/>
        <v>20.663598879970301</v>
      </c>
      <c r="AM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</row>
    <row r="44" spans="1:63" ht="14.4">
      <c r="A44" s="164" t="s">
        <v>300</v>
      </c>
      <c r="B44" s="165" t="s">
        <v>270</v>
      </c>
      <c r="C44" s="165" t="s">
        <v>271</v>
      </c>
      <c r="D44" s="166" t="s">
        <v>319</v>
      </c>
      <c r="AB44" s="180">
        <f t="shared" si="16"/>
        <v>861000000</v>
      </c>
      <c r="AC44" s="15">
        <f t="shared" si="2"/>
        <v>41</v>
      </c>
      <c r="AD44" s="15">
        <v>41</v>
      </c>
      <c r="AE44" s="15" t="s">
        <v>314</v>
      </c>
      <c r="AF44" s="17">
        <f t="shared" si="13"/>
        <v>18875.850252757613</v>
      </c>
      <c r="AG44" s="17">
        <f t="shared" si="15"/>
        <v>1518.427193582557</v>
      </c>
      <c r="AH44" s="68">
        <f t="shared" si="7"/>
        <v>17357.423059175057</v>
      </c>
      <c r="AI44" s="67">
        <f t="shared" si="3"/>
        <v>21.923171025270168</v>
      </c>
      <c r="AJ44" s="67">
        <f t="shared" si="1"/>
        <v>1.7635623618845031</v>
      </c>
      <c r="AK44" s="90">
        <f t="shared" si="4"/>
        <v>20.159608663385665</v>
      </c>
      <c r="AL44" s="127">
        <f t="shared" si="14"/>
        <v>20.663598879970301</v>
      </c>
      <c r="AM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</row>
    <row r="45" spans="1:63" ht="14.4">
      <c r="A45" s="75" t="s">
        <v>303</v>
      </c>
      <c r="B45" s="21">
        <v>1200</v>
      </c>
      <c r="C45" s="21">
        <v>3236</v>
      </c>
      <c r="D45" s="182">
        <f>B45/C45</f>
        <v>0.37082818294190356</v>
      </c>
      <c r="AB45" s="180">
        <f t="shared" si="16"/>
        <v>882000000</v>
      </c>
      <c r="AC45" s="15">
        <f t="shared" si="2"/>
        <v>42</v>
      </c>
      <c r="AD45" s="15">
        <v>42</v>
      </c>
      <c r="AE45" s="15" t="s">
        <v>314</v>
      </c>
      <c r="AF45" s="17">
        <f t="shared" si="13"/>
        <v>19309.785829236989</v>
      </c>
      <c r="AG45" s="17">
        <f t="shared" si="15"/>
        <v>1518.427193582557</v>
      </c>
      <c r="AH45" s="68">
        <f t="shared" si="7"/>
        <v>17791.358635654433</v>
      </c>
      <c r="AI45" s="67">
        <f t="shared" si="3"/>
        <v>21.893181212286837</v>
      </c>
      <c r="AJ45" s="67">
        <f t="shared" si="1"/>
        <v>1.7215727818396338</v>
      </c>
      <c r="AK45" s="90">
        <f t="shared" si="4"/>
        <v>20.171608430447204</v>
      </c>
      <c r="AL45" s="127">
        <f t="shared" si="14"/>
        <v>20.663598879970301</v>
      </c>
      <c r="AM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</row>
    <row r="46" spans="1:63" ht="14.4">
      <c r="A46" s="75" t="s">
        <v>304</v>
      </c>
      <c r="B46" s="21">
        <v>528</v>
      </c>
      <c r="C46" s="21">
        <v>630</v>
      </c>
      <c r="D46" s="182">
        <f>B46/C46</f>
        <v>0.83809523809523812</v>
      </c>
      <c r="AB46" s="180">
        <f t="shared" si="16"/>
        <v>903000000</v>
      </c>
      <c r="AC46" s="15">
        <f t="shared" si="2"/>
        <v>43</v>
      </c>
      <c r="AD46" s="15">
        <v>43</v>
      </c>
      <c r="AE46" s="15" t="s">
        <v>314</v>
      </c>
      <c r="AF46" s="17">
        <f t="shared" si="13"/>
        <v>19743.721405716366</v>
      </c>
      <c r="AG46" s="17">
        <f t="shared" si="15"/>
        <v>1518.427193582557</v>
      </c>
      <c r="AH46" s="68">
        <f t="shared" si="7"/>
        <v>18225.294212133809</v>
      </c>
      <c r="AI46" s="67">
        <f t="shared" si="3"/>
        <v>21.86458627432599</v>
      </c>
      <c r="AJ46" s="67">
        <f t="shared" si="1"/>
        <v>1.681536205517782</v>
      </c>
      <c r="AK46" s="90">
        <f t="shared" si="4"/>
        <v>20.183050068808207</v>
      </c>
      <c r="AL46" s="127">
        <f t="shared" si="14"/>
        <v>20.663598879970301</v>
      </c>
      <c r="AM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</row>
    <row r="47" spans="1:63" ht="14.4">
      <c r="A47" s="75" t="s">
        <v>363</v>
      </c>
      <c r="B47" s="21">
        <v>11000</v>
      </c>
      <c r="C47" s="21">
        <v>4425</v>
      </c>
      <c r="D47" s="182">
        <f>((B47)*0.1)/C47</f>
        <v>0.24858757062146894</v>
      </c>
      <c r="AB47" s="180">
        <f t="shared" si="16"/>
        <v>924000000</v>
      </c>
      <c r="AC47" s="15">
        <f t="shared" si="2"/>
        <v>44</v>
      </c>
      <c r="AD47" s="15">
        <v>44</v>
      </c>
      <c r="AE47" s="15" t="s">
        <v>314</v>
      </c>
      <c r="AF47" s="17">
        <f t="shared" si="13"/>
        <v>20177.656982195742</v>
      </c>
      <c r="AG47" s="17">
        <f t="shared" si="15"/>
        <v>1518.427193582557</v>
      </c>
      <c r="AH47" s="68">
        <f t="shared" si="7"/>
        <v>18659.229788613186</v>
      </c>
      <c r="AI47" s="67">
        <f t="shared" si="3"/>
        <v>21.837291106272449</v>
      </c>
      <c r="AJ47" s="67">
        <f t="shared" si="1"/>
        <v>1.6433194735741961</v>
      </c>
      <c r="AK47" s="90">
        <f t="shared" si="4"/>
        <v>20.193971632698254</v>
      </c>
      <c r="AL47" s="127">
        <f t="shared" si="14"/>
        <v>20.663598879970301</v>
      </c>
      <c r="AM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</row>
    <row r="48" spans="1:63" ht="15" thickBot="1">
      <c r="A48" s="80" t="s">
        <v>314</v>
      </c>
      <c r="B48" s="81">
        <v>2000</v>
      </c>
      <c r="C48" s="81">
        <v>44</v>
      </c>
      <c r="D48" s="187">
        <f>B48/C48</f>
        <v>45.454545454545453</v>
      </c>
      <c r="AB48" s="180">
        <f t="shared" si="16"/>
        <v>945000000</v>
      </c>
      <c r="AC48" s="15">
        <f t="shared" si="2"/>
        <v>45</v>
      </c>
      <c r="AD48" s="15">
        <v>45</v>
      </c>
      <c r="AE48" s="15" t="s">
        <v>314</v>
      </c>
      <c r="AF48" s="17">
        <f t="shared" si="13"/>
        <v>20611.592558675118</v>
      </c>
      <c r="AG48" s="17">
        <f t="shared" si="15"/>
        <v>1518.427193582557</v>
      </c>
      <c r="AH48" s="68">
        <f t="shared" si="7"/>
        <v>19093.165365092562</v>
      </c>
      <c r="AI48" s="67">
        <f t="shared" si="3"/>
        <v>21.811209056799068</v>
      </c>
      <c r="AJ48" s="67">
        <f t="shared" si="1"/>
        <v>1.6068012630503248</v>
      </c>
      <c r="AK48" s="90">
        <f t="shared" si="4"/>
        <v>20.204407793748743</v>
      </c>
      <c r="AL48" s="127">
        <f t="shared" si="14"/>
        <v>20.663598879970301</v>
      </c>
      <c r="AM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</row>
    <row r="49" spans="1:63" ht="15" customHeight="1">
      <c r="A49" s="27" t="s">
        <v>364</v>
      </c>
      <c r="B49" s="27"/>
      <c r="C49" s="27"/>
      <c r="D49" s="27"/>
      <c r="AB49" s="180">
        <f t="shared" si="16"/>
        <v>966000000</v>
      </c>
      <c r="AC49" s="15">
        <f t="shared" si="2"/>
        <v>46</v>
      </c>
      <c r="AD49" s="15">
        <v>46</v>
      </c>
      <c r="AE49" s="15" t="s">
        <v>314</v>
      </c>
      <c r="AF49" s="17">
        <f t="shared" si="13"/>
        <v>21045.528135154495</v>
      </c>
      <c r="AG49" s="17">
        <f t="shared" si="15"/>
        <v>1518.427193582557</v>
      </c>
      <c r="AH49" s="68">
        <f t="shared" si="7"/>
        <v>19527.100941571938</v>
      </c>
      <c r="AI49" s="67">
        <f t="shared" si="3"/>
        <v>21.786261009476704</v>
      </c>
      <c r="AJ49" s="67">
        <f t="shared" si="1"/>
        <v>1.5718708008101006</v>
      </c>
      <c r="AK49" s="90">
        <f t="shared" si="4"/>
        <v>20.214390208666604</v>
      </c>
      <c r="AL49" s="127">
        <f t="shared" si="14"/>
        <v>20.663598879970301</v>
      </c>
      <c r="AM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</row>
    <row r="50" spans="1:63" ht="14.4">
      <c r="A50" s="27"/>
      <c r="B50" s="27"/>
      <c r="C50" s="169" t="s">
        <v>315</v>
      </c>
      <c r="D50" s="83">
        <f>SUM(D45:D47)/3</f>
        <v>0.48583699721953683</v>
      </c>
      <c r="AB50" s="180">
        <f t="shared" si="16"/>
        <v>987000000</v>
      </c>
      <c r="AC50" s="15">
        <f t="shared" si="2"/>
        <v>47</v>
      </c>
      <c r="AD50" s="15">
        <v>47</v>
      </c>
      <c r="AE50" s="15" t="s">
        <v>314</v>
      </c>
      <c r="AF50" s="17">
        <f t="shared" si="13"/>
        <v>21479.463711633871</v>
      </c>
      <c r="AG50" s="17">
        <f t="shared" si="15"/>
        <v>1518.427193582557</v>
      </c>
      <c r="AH50" s="68">
        <f t="shared" si="7"/>
        <v>19961.036518051314</v>
      </c>
      <c r="AI50" s="67">
        <f t="shared" si="3"/>
        <v>21.762374581189331</v>
      </c>
      <c r="AJ50" s="67">
        <f t="shared" si="1"/>
        <v>1.5384267412183961</v>
      </c>
      <c r="AK50" s="90">
        <f t="shared" si="4"/>
        <v>20.223947839970936</v>
      </c>
      <c r="AL50" s="127">
        <f t="shared" si="14"/>
        <v>20.663598879970301</v>
      </c>
      <c r="AM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</row>
    <row r="51" spans="1:63" ht="14.4">
      <c r="A51" s="27"/>
      <c r="B51" s="27"/>
      <c r="C51" s="169" t="s">
        <v>316</v>
      </c>
      <c r="D51" s="83">
        <f>D48</f>
        <v>45.454545454545453</v>
      </c>
      <c r="AB51" s="180">
        <f t="shared" si="16"/>
        <v>1008000000</v>
      </c>
      <c r="AC51" s="15">
        <f t="shared" si="2"/>
        <v>48</v>
      </c>
      <c r="AD51" s="15">
        <v>48</v>
      </c>
      <c r="AE51" s="15" t="s">
        <v>314</v>
      </c>
      <c r="AF51" s="17">
        <f t="shared" si="13"/>
        <v>21913.399288113247</v>
      </c>
      <c r="AG51" s="17">
        <f t="shared" si="15"/>
        <v>1518.427193582557</v>
      </c>
      <c r="AH51" s="68">
        <f t="shared" si="7"/>
        <v>20394.972094530691</v>
      </c>
      <c r="AI51" s="67">
        <f t="shared" si="3"/>
        <v>21.73948342074727</v>
      </c>
      <c r="AJ51" s="67">
        <f t="shared" si="1"/>
        <v>1.5063761841096797</v>
      </c>
      <c r="AK51" s="90">
        <f t="shared" si="4"/>
        <v>20.23310723663759</v>
      </c>
      <c r="AL51" s="127">
        <f t="shared" si="14"/>
        <v>20.663598879970301</v>
      </c>
      <c r="AM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</row>
    <row r="52" spans="1:63" ht="14.4">
      <c r="AA52" s="16"/>
      <c r="AB52" s="180">
        <f t="shared" si="16"/>
        <v>1029000000</v>
      </c>
      <c r="AC52" s="15">
        <f t="shared" si="2"/>
        <v>49</v>
      </c>
      <c r="AD52" s="15">
        <v>49</v>
      </c>
      <c r="AE52" s="15" t="s">
        <v>314</v>
      </c>
      <c r="AF52" s="17">
        <f t="shared" si="13"/>
        <v>22347.334864592623</v>
      </c>
      <c r="AG52" s="17">
        <f t="shared" si="15"/>
        <v>1518.427193582557</v>
      </c>
      <c r="AH52" s="68">
        <f t="shared" si="7"/>
        <v>20828.907671010067</v>
      </c>
      <c r="AI52" s="67">
        <f t="shared" si="3"/>
        <v>21.717526593384473</v>
      </c>
      <c r="AJ52" s="67">
        <f t="shared" si="1"/>
        <v>1.4756338130054005</v>
      </c>
      <c r="AK52" s="90">
        <f t="shared" si="4"/>
        <v>20.241892780379072</v>
      </c>
      <c r="AL52" s="127">
        <f t="shared" si="14"/>
        <v>20.663598879970301</v>
      </c>
      <c r="AM52"/>
      <c r="AN52" s="16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</row>
    <row r="53" spans="1:63" ht="14.4">
      <c r="A53" s="28" t="s">
        <v>325</v>
      </c>
      <c r="AB53" s="180">
        <f t="shared" si="16"/>
        <v>1050000000</v>
      </c>
      <c r="AC53" s="15">
        <f t="shared" si="2"/>
        <v>50</v>
      </c>
      <c r="AD53" s="15">
        <v>50</v>
      </c>
      <c r="AE53" s="15" t="s">
        <v>314</v>
      </c>
      <c r="AF53" s="17">
        <f t="shared" si="13"/>
        <v>22781.270441072</v>
      </c>
      <c r="AG53" s="17">
        <f t="shared" si="15"/>
        <v>1518.427193582557</v>
      </c>
      <c r="AH53" s="68">
        <f t="shared" si="7"/>
        <v>21262.843247489443</v>
      </c>
      <c r="AI53" s="67">
        <f t="shared" si="3"/>
        <v>21.696448039116195</v>
      </c>
      <c r="AJ53" s="67">
        <f t="shared" si="1"/>
        <v>1.4461211367452924</v>
      </c>
      <c r="AK53" s="90">
        <f t="shared" si="4"/>
        <v>20.250326902370901</v>
      </c>
      <c r="AL53" s="127">
        <f t="shared" si="14"/>
        <v>20.663598879970301</v>
      </c>
      <c r="AM53"/>
      <c r="AN53" s="16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</row>
    <row r="54" spans="1:63" ht="14.4">
      <c r="A54" s="28" t="s">
        <v>326</v>
      </c>
      <c r="AB54" s="180">
        <f t="shared" si="16"/>
        <v>1071000000</v>
      </c>
      <c r="AC54" s="15">
        <f t="shared" si="2"/>
        <v>51</v>
      </c>
      <c r="AD54" s="15">
        <v>51</v>
      </c>
      <c r="AE54" s="15" t="s">
        <v>314</v>
      </c>
      <c r="AF54" s="17">
        <f t="shared" si="13"/>
        <v>23215.206017551376</v>
      </c>
      <c r="AG54" s="17">
        <f t="shared" si="15"/>
        <v>1518.427193582557</v>
      </c>
      <c r="AH54" s="68">
        <f t="shared" si="7"/>
        <v>21696.77882396882</v>
      </c>
      <c r="AI54" s="67">
        <f t="shared" si="3"/>
        <v>21.676196094819215</v>
      </c>
      <c r="AJ54" s="67">
        <f t="shared" si="1"/>
        <v>1.4177658203385219</v>
      </c>
      <c r="AK54" s="90">
        <f t="shared" si="4"/>
        <v>20.258430274480691</v>
      </c>
      <c r="AL54" s="127">
        <f t="shared" si="14"/>
        <v>20.663598879970301</v>
      </c>
      <c r="AM54"/>
      <c r="AN54" s="16"/>
    </row>
    <row r="55" spans="1:63" ht="15" thickBot="1">
      <c r="A55" s="28" t="s">
        <v>327</v>
      </c>
      <c r="AB55" s="188">
        <f t="shared" si="16"/>
        <v>1092000000</v>
      </c>
      <c r="AC55" s="95">
        <f t="shared" si="2"/>
        <v>52</v>
      </c>
      <c r="AD55" s="95">
        <v>52</v>
      </c>
      <c r="AE55" s="95" t="s">
        <v>314</v>
      </c>
      <c r="AF55" s="96">
        <f t="shared" si="13"/>
        <v>23649.141594030752</v>
      </c>
      <c r="AG55" s="96">
        <f t="shared" si="15"/>
        <v>1518.427193582557</v>
      </c>
      <c r="AH55" s="68">
        <f t="shared" si="7"/>
        <v>22130.714400448196</v>
      </c>
      <c r="AI55" s="67">
        <f t="shared" si="3"/>
        <v>21.656723071456732</v>
      </c>
      <c r="AJ55" s="67">
        <f t="shared" si="1"/>
        <v>1.3905010930243198</v>
      </c>
      <c r="AK55" s="90">
        <f t="shared" si="4"/>
        <v>20.266221978432412</v>
      </c>
      <c r="AL55" s="128">
        <f t="shared" si="14"/>
        <v>20.663598879970301</v>
      </c>
      <c r="AM55"/>
      <c r="AN55" s="16"/>
    </row>
    <row r="56" spans="1:63" ht="14.4">
      <c r="A56" s="28" t="s">
        <v>328</v>
      </c>
      <c r="AB56" s="55"/>
      <c r="AC56"/>
      <c r="AD56"/>
      <c r="AE56"/>
      <c r="AF56"/>
      <c r="AG56"/>
      <c r="AH56"/>
      <c r="AI56"/>
      <c r="AJ56"/>
      <c r="AK56"/>
      <c r="AL56"/>
      <c r="AM56"/>
      <c r="AN56" s="16"/>
    </row>
    <row r="57" spans="1:63" ht="14.4">
      <c r="AB57" s="55"/>
      <c r="AC57"/>
      <c r="AD57"/>
      <c r="AE57"/>
      <c r="AF57"/>
      <c r="AG57"/>
      <c r="AH57"/>
      <c r="AI57"/>
      <c r="AJ57"/>
      <c r="AK57"/>
      <c r="AL57"/>
      <c r="AM57"/>
      <c r="AN57" s="16"/>
      <c r="AT57" s="37"/>
      <c r="AU57" s="37"/>
      <c r="AV57" s="37"/>
      <c r="AW57" s="37"/>
      <c r="AX57" s="13"/>
      <c r="AY57" s="2"/>
    </row>
    <row r="58" spans="1:63" ht="14.4">
      <c r="AB58" s="55"/>
      <c r="AC58"/>
      <c r="AD58"/>
      <c r="AE58"/>
      <c r="AF58"/>
      <c r="AG58"/>
      <c r="AH58"/>
      <c r="AI58"/>
      <c r="AJ58"/>
      <c r="AK58"/>
      <c r="AL58"/>
      <c r="AM58"/>
      <c r="AN58" s="16"/>
      <c r="AT58" s="16"/>
      <c r="AU58" s="93"/>
      <c r="AV58" s="16"/>
      <c r="AW58" s="74"/>
      <c r="AX58" s="13"/>
      <c r="AY58" s="2"/>
    </row>
    <row r="59" spans="1:63" ht="14.4">
      <c r="AB59" s="55"/>
      <c r="AC59"/>
      <c r="AD59"/>
      <c r="AE59"/>
      <c r="AF59"/>
      <c r="AG59"/>
      <c r="AH59"/>
      <c r="AI59"/>
      <c r="AJ59"/>
      <c r="AK59"/>
      <c r="AL59"/>
      <c r="AM59"/>
      <c r="AN59" s="16"/>
      <c r="AT59" s="16"/>
      <c r="AU59" s="93"/>
      <c r="AV59" s="16"/>
      <c r="AW59" s="74"/>
      <c r="AX59" s="13"/>
      <c r="AY59" s="2"/>
    </row>
    <row r="60" spans="1:63" ht="15" thickBot="1">
      <c r="AB60" s="482" t="s">
        <v>399</v>
      </c>
      <c r="AC60" s="482"/>
      <c r="AD60" s="482"/>
      <c r="AE60" s="482"/>
      <c r="AF60" s="482"/>
      <c r="AG60" s="482"/>
      <c r="AH60" s="482"/>
      <c r="AI60" s="482"/>
      <c r="AJ60" s="482"/>
      <c r="AK60" s="482"/>
      <c r="AL60" s="482"/>
      <c r="AM60"/>
    </row>
    <row r="61" spans="1:63" ht="14.4">
      <c r="AB61" s="242" t="s">
        <v>261</v>
      </c>
      <c r="AC61" s="88" t="s">
        <v>390</v>
      </c>
      <c r="AD61" s="88" t="s">
        <v>274</v>
      </c>
      <c r="AE61" s="88" t="s">
        <v>242</v>
      </c>
      <c r="AF61" s="88" t="s">
        <v>275</v>
      </c>
      <c r="AG61" s="88" t="s">
        <v>276</v>
      </c>
      <c r="AH61" s="88" t="s">
        <v>277</v>
      </c>
      <c r="AI61" s="212" t="s">
        <v>278</v>
      </c>
      <c r="AJ61" s="88" t="s">
        <v>279</v>
      </c>
      <c r="AK61" s="117" t="s">
        <v>388</v>
      </c>
      <c r="AL61" s="89" t="s">
        <v>389</v>
      </c>
      <c r="AM61"/>
    </row>
    <row r="62" spans="1:63" ht="14.4">
      <c r="AB62" s="92">
        <v>0</v>
      </c>
      <c r="AC62" s="15">
        <v>0</v>
      </c>
      <c r="AD62" s="15">
        <v>0</v>
      </c>
      <c r="AE62" s="15" t="s">
        <v>314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67">
        <v>0</v>
      </c>
      <c r="AL62" s="119">
        <v>0</v>
      </c>
      <c r="AM62"/>
    </row>
    <row r="63" spans="1:63" ht="14.4">
      <c r="AB63" s="92">
        <f>AB4</f>
        <v>21000000</v>
      </c>
      <c r="AC63" s="15">
        <v>1</v>
      </c>
      <c r="AD63" s="15">
        <v>1</v>
      </c>
      <c r="AE63" s="15" t="s">
        <v>314</v>
      </c>
      <c r="AF63" s="15">
        <f>AC63-AF62</f>
        <v>1</v>
      </c>
      <c r="AG63" s="15">
        <f t="shared" ref="AG63:AG70" si="17">AF63</f>
        <v>1</v>
      </c>
      <c r="AH63" s="15">
        <v>6</v>
      </c>
      <c r="AI63" s="14">
        <f>AH63*10</f>
        <v>60</v>
      </c>
      <c r="AJ63" s="14">
        <f>1</f>
        <v>1</v>
      </c>
      <c r="AK63" s="67">
        <f t="shared" ref="AK63:AK114" si="18">$B$8</f>
        <v>10</v>
      </c>
      <c r="AL63" s="91">
        <v>400</v>
      </c>
      <c r="AM63"/>
    </row>
    <row r="64" spans="1:63" ht="14.4">
      <c r="AB64" s="92">
        <f t="shared" ref="AB64:AB114" si="19">AB5</f>
        <v>42000000</v>
      </c>
      <c r="AC64" s="15">
        <v>2</v>
      </c>
      <c r="AD64" s="15">
        <v>2</v>
      </c>
      <c r="AE64" s="15" t="s">
        <v>314</v>
      </c>
      <c r="AF64" s="15">
        <f>AC64-AF63</f>
        <v>1</v>
      </c>
      <c r="AG64" s="15">
        <f t="shared" si="17"/>
        <v>1</v>
      </c>
      <c r="AH64" s="69">
        <v>0.2</v>
      </c>
      <c r="AI64" s="14">
        <f t="shared" ref="AI64:AI70" si="20">AH64*10</f>
        <v>2</v>
      </c>
      <c r="AJ64" s="14">
        <v>0</v>
      </c>
      <c r="AK64" s="67">
        <f t="shared" si="18"/>
        <v>10</v>
      </c>
      <c r="AL64" s="91">
        <f t="shared" ref="AL64:AL70" si="21">(AC64-AC63)*$D$51</f>
        <v>45.454545454545453</v>
      </c>
      <c r="AM64"/>
    </row>
    <row r="65" spans="1:39" ht="14.4">
      <c r="AB65" s="92">
        <f t="shared" si="19"/>
        <v>63000000</v>
      </c>
      <c r="AC65" s="15">
        <v>3</v>
      </c>
      <c r="AD65" s="15">
        <v>3</v>
      </c>
      <c r="AE65" s="15" t="s">
        <v>314</v>
      </c>
      <c r="AF65" s="15">
        <v>1</v>
      </c>
      <c r="AG65" s="15">
        <f t="shared" si="17"/>
        <v>1</v>
      </c>
      <c r="AH65" s="69">
        <v>0.2</v>
      </c>
      <c r="AI65" s="14">
        <f t="shared" si="20"/>
        <v>2</v>
      </c>
      <c r="AJ65" s="14">
        <v>0</v>
      </c>
      <c r="AK65" s="67">
        <f t="shared" si="18"/>
        <v>10</v>
      </c>
      <c r="AL65" s="91">
        <f t="shared" si="21"/>
        <v>45.454545454545453</v>
      </c>
      <c r="AM65"/>
    </row>
    <row r="66" spans="1:39" ht="14.4">
      <c r="A66" s="2"/>
      <c r="AB66" s="92">
        <f t="shared" si="19"/>
        <v>84000000</v>
      </c>
      <c r="AC66" s="15">
        <v>4</v>
      </c>
      <c r="AD66" s="15">
        <v>4</v>
      </c>
      <c r="AE66" s="15" t="s">
        <v>314</v>
      </c>
      <c r="AF66" s="15">
        <v>1</v>
      </c>
      <c r="AG66" s="15">
        <f t="shared" si="17"/>
        <v>1</v>
      </c>
      <c r="AH66" s="69">
        <v>0.2</v>
      </c>
      <c r="AI66" s="14">
        <f t="shared" si="20"/>
        <v>2</v>
      </c>
      <c r="AJ66" s="14">
        <v>0</v>
      </c>
      <c r="AK66" s="67">
        <f t="shared" si="18"/>
        <v>10</v>
      </c>
      <c r="AL66" s="91">
        <f t="shared" si="21"/>
        <v>45.454545454545453</v>
      </c>
      <c r="AM66"/>
    </row>
    <row r="67" spans="1:39" ht="14.4">
      <c r="A67" s="2"/>
      <c r="AB67" s="92">
        <f t="shared" si="19"/>
        <v>105000000</v>
      </c>
      <c r="AC67" s="15">
        <v>5</v>
      </c>
      <c r="AD67" s="15">
        <v>5</v>
      </c>
      <c r="AE67" s="15" t="s">
        <v>314</v>
      </c>
      <c r="AF67" s="15">
        <v>1</v>
      </c>
      <c r="AG67" s="15">
        <f t="shared" si="17"/>
        <v>1</v>
      </c>
      <c r="AH67" s="69">
        <v>0.2</v>
      </c>
      <c r="AI67" s="14">
        <f t="shared" si="20"/>
        <v>2</v>
      </c>
      <c r="AJ67" s="14">
        <v>0</v>
      </c>
      <c r="AK67" s="67">
        <f t="shared" si="18"/>
        <v>10</v>
      </c>
      <c r="AL67" s="91">
        <f t="shared" si="21"/>
        <v>45.454545454545453</v>
      </c>
      <c r="AM67"/>
    </row>
    <row r="68" spans="1:39" ht="14.4">
      <c r="A68" s="2"/>
      <c r="AB68" s="92">
        <f t="shared" si="19"/>
        <v>126000000</v>
      </c>
      <c r="AC68" s="15">
        <v>6</v>
      </c>
      <c r="AD68" s="15">
        <v>6</v>
      </c>
      <c r="AE68" s="15" t="s">
        <v>314</v>
      </c>
      <c r="AF68" s="15">
        <v>1</v>
      </c>
      <c r="AG68" s="15">
        <f t="shared" si="17"/>
        <v>1</v>
      </c>
      <c r="AH68" s="69">
        <v>0.2</v>
      </c>
      <c r="AI68" s="14">
        <f t="shared" si="20"/>
        <v>2</v>
      </c>
      <c r="AJ68" s="14">
        <v>0</v>
      </c>
      <c r="AK68" s="67">
        <f t="shared" si="18"/>
        <v>10</v>
      </c>
      <c r="AL68" s="91">
        <f t="shared" si="21"/>
        <v>45.454545454545453</v>
      </c>
      <c r="AM68"/>
    </row>
    <row r="69" spans="1:39" ht="14.4">
      <c r="A69" s="2"/>
      <c r="AB69" s="92">
        <f t="shared" si="19"/>
        <v>147000000</v>
      </c>
      <c r="AC69" s="15">
        <v>7</v>
      </c>
      <c r="AD69" s="15">
        <v>7</v>
      </c>
      <c r="AE69" s="15" t="s">
        <v>314</v>
      </c>
      <c r="AF69" s="15">
        <v>1</v>
      </c>
      <c r="AG69" s="15">
        <f t="shared" si="17"/>
        <v>1</v>
      </c>
      <c r="AH69" s="69">
        <v>0.2</v>
      </c>
      <c r="AI69" s="14">
        <f t="shared" si="20"/>
        <v>2</v>
      </c>
      <c r="AJ69" s="14">
        <v>0</v>
      </c>
      <c r="AK69" s="67">
        <f t="shared" si="18"/>
        <v>10</v>
      </c>
      <c r="AL69" s="91">
        <f t="shared" si="21"/>
        <v>45.454545454545453</v>
      </c>
      <c r="AM69"/>
    </row>
    <row r="70" spans="1:39" ht="14.4">
      <c r="AB70" s="92">
        <f t="shared" si="19"/>
        <v>168000000</v>
      </c>
      <c r="AC70" s="15">
        <v>8</v>
      </c>
      <c r="AD70" s="15">
        <v>8</v>
      </c>
      <c r="AE70" s="15" t="s">
        <v>314</v>
      </c>
      <c r="AF70" s="15">
        <v>1</v>
      </c>
      <c r="AG70" s="15">
        <f t="shared" si="17"/>
        <v>1</v>
      </c>
      <c r="AH70" s="69">
        <v>0.2</v>
      </c>
      <c r="AI70" s="14">
        <f t="shared" si="20"/>
        <v>2</v>
      </c>
      <c r="AJ70" s="14">
        <v>0</v>
      </c>
      <c r="AK70" s="67">
        <f t="shared" si="18"/>
        <v>10</v>
      </c>
      <c r="AL70" s="91">
        <f t="shared" si="21"/>
        <v>45.454545454545453</v>
      </c>
      <c r="AM70"/>
    </row>
    <row r="71" spans="1:39" ht="14.4">
      <c r="AB71" s="92">
        <f t="shared" si="19"/>
        <v>189000000</v>
      </c>
      <c r="AC71" s="15">
        <v>9</v>
      </c>
      <c r="AD71" s="15">
        <v>9</v>
      </c>
      <c r="AE71" s="15" t="s">
        <v>314</v>
      </c>
      <c r="AF71" s="15">
        <v>1</v>
      </c>
      <c r="AG71" s="15">
        <f t="shared" ref="AG71:AG82" si="22">AF71</f>
        <v>1</v>
      </c>
      <c r="AH71" s="69">
        <v>0.2</v>
      </c>
      <c r="AI71" s="14">
        <f t="shared" ref="AI71:AI114" si="23">AH71*10</f>
        <v>2</v>
      </c>
      <c r="AJ71" s="14">
        <v>0</v>
      </c>
      <c r="AK71" s="67">
        <f t="shared" si="18"/>
        <v>10</v>
      </c>
      <c r="AL71" s="91">
        <f t="shared" ref="AL71:AL82" si="24">(AC71-AC70)*$D$51</f>
        <v>45.454545454545453</v>
      </c>
      <c r="AM71"/>
    </row>
    <row r="72" spans="1:39" ht="14.4">
      <c r="AB72" s="92">
        <f t="shared" si="19"/>
        <v>210000000</v>
      </c>
      <c r="AC72" s="15">
        <v>10</v>
      </c>
      <c r="AD72" s="15">
        <v>10</v>
      </c>
      <c r="AE72" s="15" t="s">
        <v>314</v>
      </c>
      <c r="AF72" s="15">
        <v>1</v>
      </c>
      <c r="AG72" s="15">
        <f t="shared" si="22"/>
        <v>1</v>
      </c>
      <c r="AH72" s="69">
        <v>0.2</v>
      </c>
      <c r="AI72" s="14">
        <f t="shared" si="23"/>
        <v>2</v>
      </c>
      <c r="AJ72" s="14">
        <v>0</v>
      </c>
      <c r="AK72" s="67">
        <f t="shared" si="18"/>
        <v>10</v>
      </c>
      <c r="AL72" s="91">
        <f t="shared" si="24"/>
        <v>45.454545454545453</v>
      </c>
      <c r="AM72"/>
    </row>
    <row r="73" spans="1:39" ht="14.4">
      <c r="AB73" s="92">
        <f t="shared" si="19"/>
        <v>231000000</v>
      </c>
      <c r="AC73" s="15">
        <v>11</v>
      </c>
      <c r="AD73" s="15">
        <v>11</v>
      </c>
      <c r="AE73" s="15" t="s">
        <v>314</v>
      </c>
      <c r="AF73" s="15">
        <v>1</v>
      </c>
      <c r="AG73" s="15">
        <f t="shared" si="22"/>
        <v>1</v>
      </c>
      <c r="AH73" s="69">
        <v>0.2</v>
      </c>
      <c r="AI73" s="14">
        <f t="shared" si="23"/>
        <v>2</v>
      </c>
      <c r="AJ73" s="14">
        <v>0</v>
      </c>
      <c r="AK73" s="67">
        <f t="shared" si="18"/>
        <v>10</v>
      </c>
      <c r="AL73" s="91">
        <f t="shared" si="24"/>
        <v>45.454545454545453</v>
      </c>
      <c r="AM73"/>
    </row>
    <row r="74" spans="1:39" ht="14.4">
      <c r="AB74" s="92">
        <f t="shared" si="19"/>
        <v>252000000</v>
      </c>
      <c r="AC74" s="15">
        <v>12</v>
      </c>
      <c r="AD74" s="15">
        <v>12</v>
      </c>
      <c r="AE74" s="15" t="s">
        <v>314</v>
      </c>
      <c r="AF74" s="15">
        <v>1</v>
      </c>
      <c r="AG74" s="15">
        <f t="shared" si="22"/>
        <v>1</v>
      </c>
      <c r="AH74" s="69">
        <v>0.2</v>
      </c>
      <c r="AI74" s="14">
        <f t="shared" si="23"/>
        <v>2</v>
      </c>
      <c r="AJ74" s="14">
        <v>0</v>
      </c>
      <c r="AK74" s="67">
        <f t="shared" si="18"/>
        <v>10</v>
      </c>
      <c r="AL74" s="91">
        <f t="shared" si="24"/>
        <v>45.454545454545453</v>
      </c>
      <c r="AM74"/>
    </row>
    <row r="75" spans="1:39" ht="14.4">
      <c r="AB75" s="92">
        <f t="shared" si="19"/>
        <v>273000000</v>
      </c>
      <c r="AC75" s="15">
        <v>13</v>
      </c>
      <c r="AD75" s="15">
        <v>13</v>
      </c>
      <c r="AE75" s="15" t="s">
        <v>314</v>
      </c>
      <c r="AF75" s="15">
        <v>1</v>
      </c>
      <c r="AG75" s="15">
        <f t="shared" si="22"/>
        <v>1</v>
      </c>
      <c r="AH75" s="69">
        <v>0.2</v>
      </c>
      <c r="AI75" s="14">
        <f t="shared" si="23"/>
        <v>2</v>
      </c>
      <c r="AJ75" s="14">
        <v>0</v>
      </c>
      <c r="AK75" s="67">
        <f t="shared" si="18"/>
        <v>10</v>
      </c>
      <c r="AL75" s="91">
        <f t="shared" si="24"/>
        <v>45.454545454545453</v>
      </c>
      <c r="AM75"/>
    </row>
    <row r="76" spans="1:39" ht="14.4">
      <c r="AB76" s="92">
        <f t="shared" si="19"/>
        <v>294000000</v>
      </c>
      <c r="AC76" s="15">
        <v>14</v>
      </c>
      <c r="AD76" s="15">
        <v>14</v>
      </c>
      <c r="AE76" s="15" t="s">
        <v>314</v>
      </c>
      <c r="AF76" s="15">
        <v>1</v>
      </c>
      <c r="AG76" s="15">
        <f t="shared" si="22"/>
        <v>1</v>
      </c>
      <c r="AH76" s="69">
        <v>0.2</v>
      </c>
      <c r="AI76" s="14">
        <f t="shared" si="23"/>
        <v>2</v>
      </c>
      <c r="AJ76" s="14">
        <v>0</v>
      </c>
      <c r="AK76" s="67">
        <f t="shared" si="18"/>
        <v>10</v>
      </c>
      <c r="AL76" s="91">
        <f t="shared" si="24"/>
        <v>45.454545454545453</v>
      </c>
      <c r="AM76"/>
    </row>
    <row r="77" spans="1:39" ht="14.4">
      <c r="AB77" s="92">
        <f t="shared" si="19"/>
        <v>315000000</v>
      </c>
      <c r="AC77" s="15">
        <v>15</v>
      </c>
      <c r="AD77" s="15">
        <v>15</v>
      </c>
      <c r="AE77" s="15" t="s">
        <v>314</v>
      </c>
      <c r="AF77" s="15">
        <v>1</v>
      </c>
      <c r="AG77" s="15">
        <f t="shared" si="22"/>
        <v>1</v>
      </c>
      <c r="AH77" s="69">
        <v>0.2</v>
      </c>
      <c r="AI77" s="14">
        <f t="shared" si="23"/>
        <v>2</v>
      </c>
      <c r="AJ77" s="14">
        <v>0</v>
      </c>
      <c r="AK77" s="67">
        <f t="shared" si="18"/>
        <v>10</v>
      </c>
      <c r="AL77" s="91">
        <f t="shared" si="24"/>
        <v>45.454545454545453</v>
      </c>
      <c r="AM77"/>
    </row>
    <row r="78" spans="1:39" ht="14.4">
      <c r="AB78" s="92">
        <f t="shared" si="19"/>
        <v>336000000</v>
      </c>
      <c r="AC78" s="15">
        <v>16</v>
      </c>
      <c r="AD78" s="15">
        <v>16</v>
      </c>
      <c r="AE78" s="15" t="s">
        <v>314</v>
      </c>
      <c r="AF78" s="15">
        <v>1</v>
      </c>
      <c r="AG78" s="15">
        <f t="shared" si="22"/>
        <v>1</v>
      </c>
      <c r="AH78" s="69">
        <v>0.2</v>
      </c>
      <c r="AI78" s="14">
        <f t="shared" si="23"/>
        <v>2</v>
      </c>
      <c r="AJ78" s="14">
        <v>0</v>
      </c>
      <c r="AK78" s="67">
        <f t="shared" si="18"/>
        <v>10</v>
      </c>
      <c r="AL78" s="91">
        <f t="shared" si="24"/>
        <v>45.454545454545453</v>
      </c>
      <c r="AM78"/>
    </row>
    <row r="79" spans="1:39" ht="14.4">
      <c r="AB79" s="92">
        <f t="shared" si="19"/>
        <v>357000000</v>
      </c>
      <c r="AC79" s="15">
        <v>17</v>
      </c>
      <c r="AD79" s="15">
        <v>17</v>
      </c>
      <c r="AE79" s="15" t="s">
        <v>314</v>
      </c>
      <c r="AF79" s="15">
        <v>1</v>
      </c>
      <c r="AG79" s="15">
        <f t="shared" si="22"/>
        <v>1</v>
      </c>
      <c r="AH79" s="69">
        <v>0.2</v>
      </c>
      <c r="AI79" s="14">
        <f t="shared" si="23"/>
        <v>2</v>
      </c>
      <c r="AJ79" s="14">
        <v>0</v>
      </c>
      <c r="AK79" s="67">
        <f t="shared" si="18"/>
        <v>10</v>
      </c>
      <c r="AL79" s="91">
        <f t="shared" si="24"/>
        <v>45.454545454545453</v>
      </c>
      <c r="AM79"/>
    </row>
    <row r="80" spans="1:39" ht="14.4">
      <c r="AB80" s="92">
        <f t="shared" si="19"/>
        <v>378000000</v>
      </c>
      <c r="AC80" s="15">
        <v>18</v>
      </c>
      <c r="AD80" s="15">
        <v>18</v>
      </c>
      <c r="AE80" s="15" t="s">
        <v>314</v>
      </c>
      <c r="AF80" s="15">
        <v>1</v>
      </c>
      <c r="AG80" s="15">
        <f t="shared" si="22"/>
        <v>1</v>
      </c>
      <c r="AH80" s="69">
        <v>0.2</v>
      </c>
      <c r="AI80" s="14">
        <f t="shared" si="23"/>
        <v>2</v>
      </c>
      <c r="AJ80" s="14">
        <v>0</v>
      </c>
      <c r="AK80" s="67">
        <f t="shared" si="18"/>
        <v>10</v>
      </c>
      <c r="AL80" s="91">
        <f t="shared" si="24"/>
        <v>45.454545454545453</v>
      </c>
      <c r="AM80"/>
    </row>
    <row r="81" spans="28:39" ht="14.4" customHeight="1">
      <c r="AB81" s="92">
        <f t="shared" si="19"/>
        <v>399000000</v>
      </c>
      <c r="AC81" s="15">
        <v>19</v>
      </c>
      <c r="AD81" s="15">
        <v>19</v>
      </c>
      <c r="AE81" s="15" t="s">
        <v>314</v>
      </c>
      <c r="AF81" s="15">
        <v>1</v>
      </c>
      <c r="AG81" s="15">
        <f t="shared" si="22"/>
        <v>1</v>
      </c>
      <c r="AH81" s="69">
        <v>0.2</v>
      </c>
      <c r="AI81" s="14">
        <f t="shared" si="23"/>
        <v>2</v>
      </c>
      <c r="AJ81" s="14">
        <v>0</v>
      </c>
      <c r="AK81" s="67">
        <f t="shared" si="18"/>
        <v>10</v>
      </c>
      <c r="AL81" s="91">
        <f t="shared" si="24"/>
        <v>45.454545454545453</v>
      </c>
      <c r="AM81"/>
    </row>
    <row r="82" spans="28:39" ht="14.4">
      <c r="AB82" s="92">
        <f t="shared" si="19"/>
        <v>420000000</v>
      </c>
      <c r="AC82" s="15">
        <v>20</v>
      </c>
      <c r="AD82" s="15">
        <v>20</v>
      </c>
      <c r="AE82" s="15" t="s">
        <v>314</v>
      </c>
      <c r="AF82" s="15">
        <v>1</v>
      </c>
      <c r="AG82" s="15">
        <f t="shared" si="22"/>
        <v>1</v>
      </c>
      <c r="AH82" s="69">
        <v>0.2</v>
      </c>
      <c r="AI82" s="14">
        <f t="shared" si="23"/>
        <v>2</v>
      </c>
      <c r="AJ82" s="14">
        <v>0</v>
      </c>
      <c r="AK82" s="67">
        <f t="shared" si="18"/>
        <v>10</v>
      </c>
      <c r="AL82" s="91">
        <f t="shared" si="24"/>
        <v>45.454545454545453</v>
      </c>
      <c r="AM82"/>
    </row>
    <row r="83" spans="28:39">
      <c r="AB83" s="92">
        <f t="shared" si="19"/>
        <v>441000000</v>
      </c>
      <c r="AC83" s="15">
        <v>21</v>
      </c>
      <c r="AD83" s="15">
        <v>21</v>
      </c>
      <c r="AE83" s="15" t="s">
        <v>314</v>
      </c>
      <c r="AF83" s="15">
        <v>1</v>
      </c>
      <c r="AG83" s="15">
        <f t="shared" ref="AG83:AG114" si="25">AF83</f>
        <v>1</v>
      </c>
      <c r="AH83" s="69">
        <v>0.2</v>
      </c>
      <c r="AI83" s="14">
        <f t="shared" si="23"/>
        <v>2</v>
      </c>
      <c r="AJ83" s="14">
        <v>0</v>
      </c>
      <c r="AK83" s="67">
        <f t="shared" si="18"/>
        <v>10</v>
      </c>
      <c r="AL83" s="91">
        <f t="shared" ref="AL83:AL114" si="26">(AC83-AC82)*$D$51</f>
        <v>45.454545454545453</v>
      </c>
    </row>
    <row r="84" spans="28:39" ht="15" customHeight="1">
      <c r="AB84" s="92">
        <f t="shared" si="19"/>
        <v>462000000</v>
      </c>
      <c r="AC84" s="15">
        <v>22</v>
      </c>
      <c r="AD84" s="15">
        <v>22</v>
      </c>
      <c r="AE84" s="15" t="s">
        <v>314</v>
      </c>
      <c r="AF84" s="15">
        <v>1</v>
      </c>
      <c r="AG84" s="15">
        <f t="shared" si="25"/>
        <v>1</v>
      </c>
      <c r="AH84" s="69">
        <v>0.2</v>
      </c>
      <c r="AI84" s="14">
        <f t="shared" si="23"/>
        <v>2</v>
      </c>
      <c r="AJ84" s="14">
        <v>0</v>
      </c>
      <c r="AK84" s="67">
        <f t="shared" si="18"/>
        <v>10</v>
      </c>
      <c r="AL84" s="91">
        <f t="shared" si="26"/>
        <v>45.454545454545453</v>
      </c>
    </row>
    <row r="85" spans="28:39">
      <c r="AB85" s="92">
        <f t="shared" si="19"/>
        <v>483000000</v>
      </c>
      <c r="AC85" s="15">
        <v>23</v>
      </c>
      <c r="AD85" s="15">
        <v>23</v>
      </c>
      <c r="AE85" s="15" t="s">
        <v>314</v>
      </c>
      <c r="AF85" s="15">
        <v>1</v>
      </c>
      <c r="AG85" s="15">
        <f t="shared" si="25"/>
        <v>1</v>
      </c>
      <c r="AH85" s="69">
        <v>0.2</v>
      </c>
      <c r="AI85" s="14">
        <f t="shared" si="23"/>
        <v>2</v>
      </c>
      <c r="AJ85" s="14">
        <v>0</v>
      </c>
      <c r="AK85" s="67">
        <f t="shared" si="18"/>
        <v>10</v>
      </c>
      <c r="AL85" s="91">
        <f t="shared" si="26"/>
        <v>45.454545454545453</v>
      </c>
    </row>
    <row r="86" spans="28:39">
      <c r="AB86" s="92">
        <f t="shared" si="19"/>
        <v>504000000</v>
      </c>
      <c r="AC86" s="15">
        <v>24</v>
      </c>
      <c r="AD86" s="15">
        <v>24</v>
      </c>
      <c r="AE86" s="15" t="s">
        <v>314</v>
      </c>
      <c r="AF86" s="15">
        <v>1</v>
      </c>
      <c r="AG86" s="15">
        <f t="shared" si="25"/>
        <v>1</v>
      </c>
      <c r="AH86" s="69">
        <v>0.2</v>
      </c>
      <c r="AI86" s="14">
        <f t="shared" si="23"/>
        <v>2</v>
      </c>
      <c r="AJ86" s="14">
        <v>0</v>
      </c>
      <c r="AK86" s="67">
        <f t="shared" si="18"/>
        <v>10</v>
      </c>
      <c r="AL86" s="91">
        <f t="shared" si="26"/>
        <v>45.454545454545453</v>
      </c>
    </row>
    <row r="87" spans="28:39">
      <c r="AB87" s="92">
        <f t="shared" si="19"/>
        <v>525000000</v>
      </c>
      <c r="AC87" s="15">
        <v>25</v>
      </c>
      <c r="AD87" s="15">
        <v>25</v>
      </c>
      <c r="AE87" s="15" t="s">
        <v>314</v>
      </c>
      <c r="AF87" s="15">
        <v>1</v>
      </c>
      <c r="AG87" s="15">
        <f t="shared" si="25"/>
        <v>1</v>
      </c>
      <c r="AH87" s="69">
        <v>0.2</v>
      </c>
      <c r="AI87" s="14">
        <f t="shared" si="23"/>
        <v>2</v>
      </c>
      <c r="AJ87" s="14">
        <v>0</v>
      </c>
      <c r="AK87" s="67">
        <f t="shared" si="18"/>
        <v>10</v>
      </c>
      <c r="AL87" s="91">
        <f t="shared" si="26"/>
        <v>45.454545454545453</v>
      </c>
    </row>
    <row r="88" spans="28:39">
      <c r="AB88" s="92">
        <f t="shared" si="19"/>
        <v>546000000</v>
      </c>
      <c r="AC88" s="15">
        <v>26</v>
      </c>
      <c r="AD88" s="15">
        <v>26</v>
      </c>
      <c r="AE88" s="15" t="s">
        <v>314</v>
      </c>
      <c r="AF88" s="15">
        <v>1</v>
      </c>
      <c r="AG88" s="15">
        <f t="shared" si="25"/>
        <v>1</v>
      </c>
      <c r="AH88" s="69">
        <v>0.2</v>
      </c>
      <c r="AI88" s="14">
        <f t="shared" si="23"/>
        <v>2</v>
      </c>
      <c r="AJ88" s="14">
        <v>0</v>
      </c>
      <c r="AK88" s="67">
        <f t="shared" si="18"/>
        <v>10</v>
      </c>
      <c r="AL88" s="91">
        <f t="shared" si="26"/>
        <v>45.454545454545453</v>
      </c>
    </row>
    <row r="89" spans="28:39">
      <c r="AB89" s="92">
        <f t="shared" si="19"/>
        <v>567000000</v>
      </c>
      <c r="AC89" s="15">
        <v>27</v>
      </c>
      <c r="AD89" s="15">
        <v>27</v>
      </c>
      <c r="AE89" s="15" t="s">
        <v>314</v>
      </c>
      <c r="AF89" s="15">
        <v>1</v>
      </c>
      <c r="AG89" s="15">
        <f t="shared" si="25"/>
        <v>1</v>
      </c>
      <c r="AH89" s="69">
        <v>0.2</v>
      </c>
      <c r="AI89" s="14">
        <f t="shared" si="23"/>
        <v>2</v>
      </c>
      <c r="AJ89" s="14">
        <v>0</v>
      </c>
      <c r="AK89" s="67">
        <f t="shared" si="18"/>
        <v>10</v>
      </c>
      <c r="AL89" s="91">
        <f t="shared" si="26"/>
        <v>45.454545454545453</v>
      </c>
    </row>
    <row r="90" spans="28:39">
      <c r="AB90" s="92">
        <f t="shared" si="19"/>
        <v>588000000</v>
      </c>
      <c r="AC90" s="15">
        <v>28</v>
      </c>
      <c r="AD90" s="15">
        <v>28</v>
      </c>
      <c r="AE90" s="15" t="s">
        <v>314</v>
      </c>
      <c r="AF90" s="15">
        <v>1</v>
      </c>
      <c r="AG90" s="15">
        <f t="shared" si="25"/>
        <v>1</v>
      </c>
      <c r="AH90" s="69">
        <v>0.2</v>
      </c>
      <c r="AI90" s="14">
        <f t="shared" si="23"/>
        <v>2</v>
      </c>
      <c r="AJ90" s="14">
        <v>0</v>
      </c>
      <c r="AK90" s="67">
        <f t="shared" si="18"/>
        <v>10</v>
      </c>
      <c r="AL90" s="91">
        <f t="shared" si="26"/>
        <v>45.454545454545453</v>
      </c>
    </row>
    <row r="91" spans="28:39">
      <c r="AB91" s="92">
        <f t="shared" si="19"/>
        <v>609000000</v>
      </c>
      <c r="AC91" s="15">
        <v>29</v>
      </c>
      <c r="AD91" s="15">
        <v>29</v>
      </c>
      <c r="AE91" s="15" t="s">
        <v>314</v>
      </c>
      <c r="AF91" s="15">
        <v>1</v>
      </c>
      <c r="AG91" s="15">
        <f t="shared" si="25"/>
        <v>1</v>
      </c>
      <c r="AH91" s="69">
        <v>0.2</v>
      </c>
      <c r="AI91" s="14">
        <f t="shared" si="23"/>
        <v>2</v>
      </c>
      <c r="AJ91" s="14">
        <v>0</v>
      </c>
      <c r="AK91" s="67">
        <f t="shared" si="18"/>
        <v>10</v>
      </c>
      <c r="AL91" s="91">
        <f t="shared" si="26"/>
        <v>45.454545454545453</v>
      </c>
    </row>
    <row r="92" spans="28:39">
      <c r="AB92" s="92">
        <f t="shared" si="19"/>
        <v>630000000</v>
      </c>
      <c r="AC92" s="15">
        <v>30</v>
      </c>
      <c r="AD92" s="15">
        <v>30</v>
      </c>
      <c r="AE92" s="15" t="s">
        <v>314</v>
      </c>
      <c r="AF92" s="15">
        <v>1</v>
      </c>
      <c r="AG92" s="15">
        <f t="shared" si="25"/>
        <v>1</v>
      </c>
      <c r="AH92" s="69">
        <v>0.2</v>
      </c>
      <c r="AI92" s="14">
        <f t="shared" si="23"/>
        <v>2</v>
      </c>
      <c r="AJ92" s="14">
        <v>0</v>
      </c>
      <c r="AK92" s="67">
        <f t="shared" si="18"/>
        <v>10</v>
      </c>
      <c r="AL92" s="91">
        <f t="shared" si="26"/>
        <v>45.454545454545453</v>
      </c>
    </row>
    <row r="93" spans="28:39">
      <c r="AB93" s="92">
        <f t="shared" si="19"/>
        <v>651000000</v>
      </c>
      <c r="AC93" s="15">
        <v>31</v>
      </c>
      <c r="AD93" s="15">
        <v>31</v>
      </c>
      <c r="AE93" s="15" t="s">
        <v>314</v>
      </c>
      <c r="AF93" s="15">
        <v>1</v>
      </c>
      <c r="AG93" s="15">
        <f t="shared" si="25"/>
        <v>1</v>
      </c>
      <c r="AH93" s="69">
        <v>0.2</v>
      </c>
      <c r="AI93" s="14">
        <f t="shared" si="23"/>
        <v>2</v>
      </c>
      <c r="AJ93" s="14">
        <v>0</v>
      </c>
      <c r="AK93" s="67">
        <f t="shared" si="18"/>
        <v>10</v>
      </c>
      <c r="AL93" s="91">
        <f t="shared" si="26"/>
        <v>45.454545454545453</v>
      </c>
    </row>
    <row r="94" spans="28:39">
      <c r="AB94" s="92">
        <f t="shared" si="19"/>
        <v>672000000</v>
      </c>
      <c r="AC94" s="15">
        <v>32</v>
      </c>
      <c r="AD94" s="15">
        <v>32</v>
      </c>
      <c r="AE94" s="15" t="s">
        <v>314</v>
      </c>
      <c r="AF94" s="15">
        <v>1</v>
      </c>
      <c r="AG94" s="15">
        <f t="shared" si="25"/>
        <v>1</v>
      </c>
      <c r="AH94" s="69">
        <v>0.2</v>
      </c>
      <c r="AI94" s="14">
        <f t="shared" si="23"/>
        <v>2</v>
      </c>
      <c r="AJ94" s="14">
        <v>0</v>
      </c>
      <c r="AK94" s="67">
        <f t="shared" si="18"/>
        <v>10</v>
      </c>
      <c r="AL94" s="91">
        <f t="shared" si="26"/>
        <v>45.454545454545453</v>
      </c>
    </row>
    <row r="95" spans="28:39">
      <c r="AB95" s="92">
        <f t="shared" si="19"/>
        <v>693000000</v>
      </c>
      <c r="AC95" s="15">
        <v>33</v>
      </c>
      <c r="AD95" s="15">
        <v>33</v>
      </c>
      <c r="AE95" s="15" t="s">
        <v>314</v>
      </c>
      <c r="AF95" s="15">
        <v>1</v>
      </c>
      <c r="AG95" s="15">
        <f t="shared" si="25"/>
        <v>1</v>
      </c>
      <c r="AH95" s="69">
        <v>0.2</v>
      </c>
      <c r="AI95" s="14">
        <f t="shared" si="23"/>
        <v>2</v>
      </c>
      <c r="AJ95" s="14">
        <v>0</v>
      </c>
      <c r="AK95" s="67">
        <f t="shared" si="18"/>
        <v>10</v>
      </c>
      <c r="AL95" s="91">
        <f t="shared" si="26"/>
        <v>45.454545454545453</v>
      </c>
    </row>
    <row r="96" spans="28:39">
      <c r="AB96" s="92">
        <f t="shared" si="19"/>
        <v>714000000</v>
      </c>
      <c r="AC96" s="15">
        <v>34</v>
      </c>
      <c r="AD96" s="15">
        <v>34</v>
      </c>
      <c r="AE96" s="15" t="s">
        <v>314</v>
      </c>
      <c r="AF96" s="15">
        <v>1</v>
      </c>
      <c r="AG96" s="15">
        <f t="shared" si="25"/>
        <v>1</v>
      </c>
      <c r="AH96" s="69">
        <v>0.2</v>
      </c>
      <c r="AI96" s="14">
        <f t="shared" si="23"/>
        <v>2</v>
      </c>
      <c r="AJ96" s="14">
        <v>0</v>
      </c>
      <c r="AK96" s="67">
        <f t="shared" si="18"/>
        <v>10</v>
      </c>
      <c r="AL96" s="91">
        <f t="shared" si="26"/>
        <v>45.454545454545453</v>
      </c>
    </row>
    <row r="97" spans="28:38">
      <c r="AB97" s="92">
        <f t="shared" si="19"/>
        <v>735000000</v>
      </c>
      <c r="AC97" s="15">
        <v>35</v>
      </c>
      <c r="AD97" s="15">
        <v>35</v>
      </c>
      <c r="AE97" s="15" t="s">
        <v>314</v>
      </c>
      <c r="AF97" s="15">
        <v>1</v>
      </c>
      <c r="AG97" s="15">
        <f t="shared" si="25"/>
        <v>1</v>
      </c>
      <c r="AH97" s="69">
        <v>0.2</v>
      </c>
      <c r="AI97" s="14">
        <f t="shared" si="23"/>
        <v>2</v>
      </c>
      <c r="AJ97" s="14">
        <v>0</v>
      </c>
      <c r="AK97" s="67">
        <f t="shared" si="18"/>
        <v>10</v>
      </c>
      <c r="AL97" s="91">
        <f t="shared" si="26"/>
        <v>45.454545454545453</v>
      </c>
    </row>
    <row r="98" spans="28:38">
      <c r="AB98" s="92">
        <f t="shared" si="19"/>
        <v>756000000</v>
      </c>
      <c r="AC98" s="15">
        <v>36</v>
      </c>
      <c r="AD98" s="15">
        <v>36</v>
      </c>
      <c r="AE98" s="15" t="s">
        <v>314</v>
      </c>
      <c r="AF98" s="15">
        <v>1</v>
      </c>
      <c r="AG98" s="15">
        <f t="shared" si="25"/>
        <v>1</v>
      </c>
      <c r="AH98" s="69">
        <v>0.2</v>
      </c>
      <c r="AI98" s="14">
        <f t="shared" si="23"/>
        <v>2</v>
      </c>
      <c r="AJ98" s="14">
        <v>0</v>
      </c>
      <c r="AK98" s="67">
        <f t="shared" si="18"/>
        <v>10</v>
      </c>
      <c r="AL98" s="91">
        <f t="shared" si="26"/>
        <v>45.454545454545453</v>
      </c>
    </row>
    <row r="99" spans="28:38">
      <c r="AB99" s="92">
        <f t="shared" si="19"/>
        <v>777000000</v>
      </c>
      <c r="AC99" s="15">
        <v>37</v>
      </c>
      <c r="AD99" s="15">
        <v>37</v>
      </c>
      <c r="AE99" s="15" t="s">
        <v>314</v>
      </c>
      <c r="AF99" s="15">
        <v>1</v>
      </c>
      <c r="AG99" s="15">
        <f t="shared" si="25"/>
        <v>1</v>
      </c>
      <c r="AH99" s="69">
        <v>0.2</v>
      </c>
      <c r="AI99" s="14">
        <f t="shared" si="23"/>
        <v>2</v>
      </c>
      <c r="AJ99" s="14">
        <v>0</v>
      </c>
      <c r="AK99" s="67">
        <f t="shared" si="18"/>
        <v>10</v>
      </c>
      <c r="AL99" s="91">
        <f t="shared" si="26"/>
        <v>45.454545454545453</v>
      </c>
    </row>
    <row r="100" spans="28:38">
      <c r="AB100" s="92">
        <f t="shared" si="19"/>
        <v>798000000</v>
      </c>
      <c r="AC100" s="15">
        <v>38</v>
      </c>
      <c r="AD100" s="15">
        <v>38</v>
      </c>
      <c r="AE100" s="15" t="s">
        <v>314</v>
      </c>
      <c r="AF100" s="15">
        <v>1</v>
      </c>
      <c r="AG100" s="15">
        <f t="shared" si="25"/>
        <v>1</v>
      </c>
      <c r="AH100" s="69">
        <v>0.2</v>
      </c>
      <c r="AI100" s="14">
        <f t="shared" si="23"/>
        <v>2</v>
      </c>
      <c r="AJ100" s="14">
        <v>0</v>
      </c>
      <c r="AK100" s="67">
        <f t="shared" si="18"/>
        <v>10</v>
      </c>
      <c r="AL100" s="91">
        <f t="shared" si="26"/>
        <v>45.454545454545453</v>
      </c>
    </row>
    <row r="101" spans="28:38">
      <c r="AB101" s="92">
        <f t="shared" si="19"/>
        <v>819000000</v>
      </c>
      <c r="AC101" s="15">
        <v>39</v>
      </c>
      <c r="AD101" s="15">
        <v>39</v>
      </c>
      <c r="AE101" s="15" t="s">
        <v>314</v>
      </c>
      <c r="AF101" s="15">
        <v>1</v>
      </c>
      <c r="AG101" s="15">
        <f t="shared" si="25"/>
        <v>1</v>
      </c>
      <c r="AH101" s="69">
        <v>0.2</v>
      </c>
      <c r="AI101" s="14">
        <f t="shared" si="23"/>
        <v>2</v>
      </c>
      <c r="AJ101" s="14">
        <v>0</v>
      </c>
      <c r="AK101" s="67">
        <f t="shared" si="18"/>
        <v>10</v>
      </c>
      <c r="AL101" s="91">
        <f t="shared" si="26"/>
        <v>45.454545454545453</v>
      </c>
    </row>
    <row r="102" spans="28:38">
      <c r="AB102" s="92">
        <f t="shared" si="19"/>
        <v>840000000</v>
      </c>
      <c r="AC102" s="15">
        <v>40</v>
      </c>
      <c r="AD102" s="15">
        <v>40</v>
      </c>
      <c r="AE102" s="15" t="s">
        <v>314</v>
      </c>
      <c r="AF102" s="15">
        <v>1</v>
      </c>
      <c r="AG102" s="15">
        <f t="shared" si="25"/>
        <v>1</v>
      </c>
      <c r="AH102" s="69">
        <v>0.2</v>
      </c>
      <c r="AI102" s="14">
        <f t="shared" si="23"/>
        <v>2</v>
      </c>
      <c r="AJ102" s="14">
        <v>0</v>
      </c>
      <c r="AK102" s="67">
        <f t="shared" si="18"/>
        <v>10</v>
      </c>
      <c r="AL102" s="91">
        <f t="shared" si="26"/>
        <v>45.454545454545453</v>
      </c>
    </row>
    <row r="103" spans="28:38">
      <c r="AB103" s="92">
        <f t="shared" si="19"/>
        <v>861000000</v>
      </c>
      <c r="AC103" s="15">
        <v>41</v>
      </c>
      <c r="AD103" s="15">
        <v>41</v>
      </c>
      <c r="AE103" s="15" t="s">
        <v>314</v>
      </c>
      <c r="AF103" s="15">
        <v>1</v>
      </c>
      <c r="AG103" s="15">
        <f t="shared" si="25"/>
        <v>1</v>
      </c>
      <c r="AH103" s="69">
        <v>0.2</v>
      </c>
      <c r="AI103" s="14">
        <f t="shared" si="23"/>
        <v>2</v>
      </c>
      <c r="AJ103" s="14">
        <v>0</v>
      </c>
      <c r="AK103" s="67">
        <f t="shared" si="18"/>
        <v>10</v>
      </c>
      <c r="AL103" s="91">
        <f t="shared" si="26"/>
        <v>45.454545454545453</v>
      </c>
    </row>
    <row r="104" spans="28:38">
      <c r="AB104" s="92">
        <f t="shared" si="19"/>
        <v>882000000</v>
      </c>
      <c r="AC104" s="15">
        <v>42</v>
      </c>
      <c r="AD104" s="15">
        <v>42</v>
      </c>
      <c r="AE104" s="15" t="s">
        <v>314</v>
      </c>
      <c r="AF104" s="15">
        <v>1</v>
      </c>
      <c r="AG104" s="15">
        <f t="shared" si="25"/>
        <v>1</v>
      </c>
      <c r="AH104" s="69">
        <v>0.2</v>
      </c>
      <c r="AI104" s="14">
        <f t="shared" si="23"/>
        <v>2</v>
      </c>
      <c r="AJ104" s="14">
        <v>0</v>
      </c>
      <c r="AK104" s="67">
        <f t="shared" si="18"/>
        <v>10</v>
      </c>
      <c r="AL104" s="91">
        <f t="shared" si="26"/>
        <v>45.454545454545453</v>
      </c>
    </row>
    <row r="105" spans="28:38">
      <c r="AB105" s="92">
        <f t="shared" si="19"/>
        <v>903000000</v>
      </c>
      <c r="AC105" s="15">
        <v>43</v>
      </c>
      <c r="AD105" s="15">
        <v>43</v>
      </c>
      <c r="AE105" s="15" t="s">
        <v>314</v>
      </c>
      <c r="AF105" s="15">
        <v>1</v>
      </c>
      <c r="AG105" s="15">
        <f t="shared" si="25"/>
        <v>1</v>
      </c>
      <c r="AH105" s="69">
        <v>0.2</v>
      </c>
      <c r="AI105" s="14">
        <f t="shared" si="23"/>
        <v>2</v>
      </c>
      <c r="AJ105" s="14">
        <v>0</v>
      </c>
      <c r="AK105" s="67">
        <f t="shared" si="18"/>
        <v>10</v>
      </c>
      <c r="AL105" s="91">
        <f t="shared" si="26"/>
        <v>45.454545454545453</v>
      </c>
    </row>
    <row r="106" spans="28:38">
      <c r="AB106" s="92">
        <f t="shared" si="19"/>
        <v>924000000</v>
      </c>
      <c r="AC106" s="15">
        <v>44</v>
      </c>
      <c r="AD106" s="15">
        <v>44</v>
      </c>
      <c r="AE106" s="15" t="s">
        <v>314</v>
      </c>
      <c r="AF106" s="15">
        <v>1</v>
      </c>
      <c r="AG106" s="15">
        <f t="shared" si="25"/>
        <v>1</v>
      </c>
      <c r="AH106" s="69">
        <v>0.2</v>
      </c>
      <c r="AI106" s="14">
        <f t="shared" si="23"/>
        <v>2</v>
      </c>
      <c r="AJ106" s="14">
        <v>0</v>
      </c>
      <c r="AK106" s="67">
        <f t="shared" si="18"/>
        <v>10</v>
      </c>
      <c r="AL106" s="91">
        <f t="shared" si="26"/>
        <v>45.454545454545453</v>
      </c>
    </row>
    <row r="107" spans="28:38">
      <c r="AB107" s="92">
        <f t="shared" si="19"/>
        <v>945000000</v>
      </c>
      <c r="AC107" s="15">
        <v>45</v>
      </c>
      <c r="AD107" s="15">
        <v>45</v>
      </c>
      <c r="AE107" s="15" t="s">
        <v>314</v>
      </c>
      <c r="AF107" s="15">
        <v>1</v>
      </c>
      <c r="AG107" s="15">
        <f t="shared" si="25"/>
        <v>1</v>
      </c>
      <c r="AH107" s="69">
        <v>0.2</v>
      </c>
      <c r="AI107" s="14">
        <f t="shared" si="23"/>
        <v>2</v>
      </c>
      <c r="AJ107" s="14">
        <v>0</v>
      </c>
      <c r="AK107" s="67">
        <f t="shared" si="18"/>
        <v>10</v>
      </c>
      <c r="AL107" s="91">
        <f t="shared" si="26"/>
        <v>45.454545454545453</v>
      </c>
    </row>
    <row r="108" spans="28:38">
      <c r="AB108" s="92">
        <f t="shared" si="19"/>
        <v>966000000</v>
      </c>
      <c r="AC108" s="15">
        <v>46</v>
      </c>
      <c r="AD108" s="15">
        <v>46</v>
      </c>
      <c r="AE108" s="15" t="s">
        <v>314</v>
      </c>
      <c r="AF108" s="15">
        <v>1</v>
      </c>
      <c r="AG108" s="15">
        <f t="shared" si="25"/>
        <v>1</v>
      </c>
      <c r="AH108" s="69">
        <v>0.2</v>
      </c>
      <c r="AI108" s="14">
        <f t="shared" si="23"/>
        <v>2</v>
      </c>
      <c r="AJ108" s="14">
        <v>0</v>
      </c>
      <c r="AK108" s="67">
        <f t="shared" si="18"/>
        <v>10</v>
      </c>
      <c r="AL108" s="91">
        <f t="shared" si="26"/>
        <v>45.454545454545453</v>
      </c>
    </row>
    <row r="109" spans="28:38">
      <c r="AB109" s="92">
        <f t="shared" si="19"/>
        <v>987000000</v>
      </c>
      <c r="AC109" s="15">
        <v>47</v>
      </c>
      <c r="AD109" s="15">
        <v>47</v>
      </c>
      <c r="AE109" s="15" t="s">
        <v>314</v>
      </c>
      <c r="AF109" s="15">
        <v>1</v>
      </c>
      <c r="AG109" s="15">
        <f t="shared" si="25"/>
        <v>1</v>
      </c>
      <c r="AH109" s="69">
        <v>0.2</v>
      </c>
      <c r="AI109" s="14">
        <f t="shared" si="23"/>
        <v>2</v>
      </c>
      <c r="AJ109" s="14">
        <v>0</v>
      </c>
      <c r="AK109" s="67">
        <f t="shared" si="18"/>
        <v>10</v>
      </c>
      <c r="AL109" s="91">
        <f t="shared" si="26"/>
        <v>45.454545454545453</v>
      </c>
    </row>
    <row r="110" spans="28:38">
      <c r="AB110" s="92">
        <f t="shared" si="19"/>
        <v>1008000000</v>
      </c>
      <c r="AC110" s="15">
        <v>48</v>
      </c>
      <c r="AD110" s="15">
        <v>48</v>
      </c>
      <c r="AE110" s="15" t="s">
        <v>314</v>
      </c>
      <c r="AF110" s="15">
        <v>1</v>
      </c>
      <c r="AG110" s="15">
        <f t="shared" si="25"/>
        <v>1</v>
      </c>
      <c r="AH110" s="69">
        <v>0.2</v>
      </c>
      <c r="AI110" s="14">
        <f t="shared" si="23"/>
        <v>2</v>
      </c>
      <c r="AJ110" s="14">
        <v>0</v>
      </c>
      <c r="AK110" s="67">
        <f t="shared" si="18"/>
        <v>10</v>
      </c>
      <c r="AL110" s="91">
        <f t="shared" si="26"/>
        <v>45.454545454545453</v>
      </c>
    </row>
    <row r="111" spans="28:38">
      <c r="AB111" s="92">
        <f t="shared" si="19"/>
        <v>1029000000</v>
      </c>
      <c r="AC111" s="15">
        <v>49</v>
      </c>
      <c r="AD111" s="15">
        <v>49</v>
      </c>
      <c r="AE111" s="15" t="s">
        <v>314</v>
      </c>
      <c r="AF111" s="15">
        <v>1</v>
      </c>
      <c r="AG111" s="15">
        <f t="shared" si="25"/>
        <v>1</v>
      </c>
      <c r="AH111" s="69">
        <v>0.2</v>
      </c>
      <c r="AI111" s="14">
        <f t="shared" si="23"/>
        <v>2</v>
      </c>
      <c r="AJ111" s="14">
        <v>0</v>
      </c>
      <c r="AK111" s="67">
        <f t="shared" si="18"/>
        <v>10</v>
      </c>
      <c r="AL111" s="91">
        <f t="shared" si="26"/>
        <v>45.454545454545453</v>
      </c>
    </row>
    <row r="112" spans="28:38">
      <c r="AB112" s="92">
        <f t="shared" si="19"/>
        <v>1050000000</v>
      </c>
      <c r="AC112" s="15">
        <v>50</v>
      </c>
      <c r="AD112" s="15">
        <v>50</v>
      </c>
      <c r="AE112" s="15" t="s">
        <v>314</v>
      </c>
      <c r="AF112" s="15">
        <v>1</v>
      </c>
      <c r="AG112" s="15">
        <f t="shared" si="25"/>
        <v>1</v>
      </c>
      <c r="AH112" s="69">
        <v>0.2</v>
      </c>
      <c r="AI112" s="14">
        <f t="shared" si="23"/>
        <v>2</v>
      </c>
      <c r="AJ112" s="14">
        <v>0</v>
      </c>
      <c r="AK112" s="67">
        <f t="shared" si="18"/>
        <v>10</v>
      </c>
      <c r="AL112" s="91">
        <f t="shared" si="26"/>
        <v>45.454545454545453</v>
      </c>
    </row>
    <row r="113" spans="28:60">
      <c r="AB113" s="92">
        <f t="shared" si="19"/>
        <v>1071000000</v>
      </c>
      <c r="AC113" s="15">
        <v>51</v>
      </c>
      <c r="AD113" s="15">
        <v>51</v>
      </c>
      <c r="AE113" s="15" t="s">
        <v>314</v>
      </c>
      <c r="AF113" s="15">
        <v>1</v>
      </c>
      <c r="AG113" s="15">
        <f t="shared" si="25"/>
        <v>1</v>
      </c>
      <c r="AH113" s="69">
        <v>0.2</v>
      </c>
      <c r="AI113" s="14">
        <f t="shared" si="23"/>
        <v>2</v>
      </c>
      <c r="AJ113" s="14">
        <v>0</v>
      </c>
      <c r="AK113" s="67">
        <f t="shared" si="18"/>
        <v>10</v>
      </c>
      <c r="AL113" s="91">
        <f t="shared" si="26"/>
        <v>45.454545454545453</v>
      </c>
    </row>
    <row r="114" spans="28:60" ht="14.4" thickBot="1">
      <c r="AB114" s="102">
        <f t="shared" si="19"/>
        <v>1092000000</v>
      </c>
      <c r="AC114" s="95">
        <v>52</v>
      </c>
      <c r="AD114" s="95">
        <v>52</v>
      </c>
      <c r="AE114" s="95" t="s">
        <v>314</v>
      </c>
      <c r="AF114" s="95">
        <v>1</v>
      </c>
      <c r="AG114" s="95">
        <f t="shared" si="25"/>
        <v>1</v>
      </c>
      <c r="AH114" s="122">
        <v>0.2</v>
      </c>
      <c r="AI114" s="123">
        <f t="shared" si="23"/>
        <v>2</v>
      </c>
      <c r="AJ114" s="123">
        <v>0</v>
      </c>
      <c r="AK114" s="94">
        <f t="shared" si="18"/>
        <v>10</v>
      </c>
      <c r="AL114" s="98">
        <f t="shared" si="26"/>
        <v>45.454545454545453</v>
      </c>
    </row>
    <row r="115" spans="28:60">
      <c r="AB115" s="99"/>
      <c r="AC115" s="22"/>
      <c r="AD115" s="22"/>
      <c r="AE115" s="22"/>
      <c r="AF115" s="22"/>
      <c r="AG115" s="22"/>
      <c r="AH115" s="241"/>
      <c r="AI115" s="101"/>
      <c r="AJ115" s="101"/>
      <c r="AK115" s="99"/>
      <c r="AL115" s="101"/>
    </row>
    <row r="116" spans="28:60" ht="15" thickBot="1">
      <c r="AB116" s="483" t="s">
        <v>400</v>
      </c>
      <c r="AC116" s="483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192"/>
      <c r="AN116" s="483" t="s">
        <v>401</v>
      </c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  <c r="BE116" s="483"/>
      <c r="BF116" s="483"/>
      <c r="BG116" s="483"/>
      <c r="BH116" s="37"/>
    </row>
    <row r="117" spans="28:60">
      <c r="AB117" s="242" t="s">
        <v>261</v>
      </c>
      <c r="AC117" s="88" t="s">
        <v>390</v>
      </c>
      <c r="AD117" s="88" t="s">
        <v>274</v>
      </c>
      <c r="AE117" s="88" t="s">
        <v>242</v>
      </c>
      <c r="AF117" s="88" t="s">
        <v>305</v>
      </c>
      <c r="AG117" s="88" t="s">
        <v>306</v>
      </c>
      <c r="AH117" s="88" t="s">
        <v>307</v>
      </c>
      <c r="AI117" s="212" t="s">
        <v>308</v>
      </c>
      <c r="AJ117" s="88" t="s">
        <v>309</v>
      </c>
      <c r="AK117" s="117" t="s">
        <v>310</v>
      </c>
      <c r="AL117" s="89" t="s">
        <v>311</v>
      </c>
      <c r="AN117" s="87">
        <v>2024</v>
      </c>
      <c r="AO117" s="88">
        <v>2025</v>
      </c>
      <c r="AP117" s="88">
        <v>2026</v>
      </c>
      <c r="AQ117" s="88">
        <v>2027</v>
      </c>
      <c r="AR117" s="88">
        <v>2028</v>
      </c>
      <c r="AS117" s="88">
        <v>2029</v>
      </c>
      <c r="AT117" s="88">
        <v>2030</v>
      </c>
      <c r="AU117" s="88">
        <v>2031</v>
      </c>
      <c r="AV117" s="88">
        <v>2032</v>
      </c>
      <c r="AW117" s="88">
        <v>2033</v>
      </c>
      <c r="AX117" s="88">
        <v>2034</v>
      </c>
      <c r="AY117" s="88">
        <v>2035</v>
      </c>
      <c r="AZ117" s="88">
        <v>2036</v>
      </c>
      <c r="BA117" s="88">
        <v>2037</v>
      </c>
      <c r="BB117" s="88">
        <v>2038</v>
      </c>
      <c r="BC117" s="88">
        <v>2039</v>
      </c>
      <c r="BD117" s="88">
        <v>2040</v>
      </c>
      <c r="BE117" s="88">
        <v>2041</v>
      </c>
      <c r="BF117" s="88">
        <v>2042</v>
      </c>
      <c r="BG117" s="88">
        <v>2043</v>
      </c>
      <c r="BH117" s="89" t="s">
        <v>312</v>
      </c>
    </row>
    <row r="118" spans="28:60">
      <c r="AB118" s="92">
        <f>AB62</f>
        <v>0</v>
      </c>
      <c r="AC118" s="15">
        <f>AC62</f>
        <v>0</v>
      </c>
      <c r="AD118" s="15">
        <v>0</v>
      </c>
      <c r="AE118" s="15" t="s">
        <v>314</v>
      </c>
      <c r="AF118" s="15">
        <f t="shared" ref="AF118:AF138" si="27">AF62*$B$3</f>
        <v>0</v>
      </c>
      <c r="AG118" s="15">
        <f t="shared" ref="AG118:AG138" si="28">AG62*$B$4</f>
        <v>0</v>
      </c>
      <c r="AH118" s="15">
        <v>0</v>
      </c>
      <c r="AI118" s="15">
        <v>0</v>
      </c>
      <c r="AJ118" s="15">
        <v>0</v>
      </c>
      <c r="AK118" s="15">
        <v>0</v>
      </c>
      <c r="AL118" s="119">
        <v>0</v>
      </c>
      <c r="AN118" s="118">
        <f t="shared" ref="AN118:AN170" si="29">(AJ118+AK118+AL118)</f>
        <v>0</v>
      </c>
      <c r="AO118" s="68">
        <f t="shared" ref="AO118:BG118" si="30">$AN$118/POWER(1+($B$10/100),AO117-2024)</f>
        <v>0</v>
      </c>
      <c r="AP118" s="68">
        <f t="shared" si="30"/>
        <v>0</v>
      </c>
      <c r="AQ118" s="68">
        <f t="shared" si="30"/>
        <v>0</v>
      </c>
      <c r="AR118" s="68">
        <f t="shared" si="30"/>
        <v>0</v>
      </c>
      <c r="AS118" s="68">
        <f t="shared" si="30"/>
        <v>0</v>
      </c>
      <c r="AT118" s="68">
        <f t="shared" si="30"/>
        <v>0</v>
      </c>
      <c r="AU118" s="68">
        <f t="shared" si="30"/>
        <v>0</v>
      </c>
      <c r="AV118" s="68">
        <f t="shared" si="30"/>
        <v>0</v>
      </c>
      <c r="AW118" s="68">
        <f t="shared" si="30"/>
        <v>0</v>
      </c>
      <c r="AX118" s="68">
        <f t="shared" si="30"/>
        <v>0</v>
      </c>
      <c r="AY118" s="68">
        <f t="shared" si="30"/>
        <v>0</v>
      </c>
      <c r="AZ118" s="68">
        <f t="shared" si="30"/>
        <v>0</v>
      </c>
      <c r="BA118" s="68">
        <f t="shared" si="30"/>
        <v>0</v>
      </c>
      <c r="BB118" s="68">
        <f t="shared" si="30"/>
        <v>0</v>
      </c>
      <c r="BC118" s="68">
        <f t="shared" si="30"/>
        <v>0</v>
      </c>
      <c r="BD118" s="68">
        <f t="shared" si="30"/>
        <v>0</v>
      </c>
      <c r="BE118" s="68">
        <f t="shared" si="30"/>
        <v>0</v>
      </c>
      <c r="BF118" s="68">
        <f t="shared" si="30"/>
        <v>0</v>
      </c>
      <c r="BG118" s="68">
        <f t="shared" si="30"/>
        <v>0</v>
      </c>
      <c r="BH118" s="190">
        <f>SUM(AN118:BG118)</f>
        <v>0</v>
      </c>
    </row>
    <row r="119" spans="28:60">
      <c r="AB119" s="92">
        <f t="shared" ref="AB119:AB138" si="31">AB4</f>
        <v>21000000</v>
      </c>
      <c r="AC119" s="15">
        <f t="shared" ref="AC119:AC138" si="32">AC63</f>
        <v>1</v>
      </c>
      <c r="AD119" s="15">
        <v>1</v>
      </c>
      <c r="AE119" s="15" t="s">
        <v>314</v>
      </c>
      <c r="AF119" s="15">
        <f t="shared" si="27"/>
        <v>200</v>
      </c>
      <c r="AG119" s="15">
        <f t="shared" si="28"/>
        <v>100</v>
      </c>
      <c r="AH119" s="69">
        <f t="shared" ref="AH119:AH138" si="33">AH63*$B$5</f>
        <v>3</v>
      </c>
      <c r="AI119" s="14">
        <f t="shared" ref="AI119:AI138" si="34">AI63*$B$6</f>
        <v>1.2</v>
      </c>
      <c r="AJ119" s="78">
        <f t="shared" ref="AJ119:AJ131" si="35">AJ63*$B$7</f>
        <v>0.11799999999999999</v>
      </c>
      <c r="AK119" s="67">
        <f t="shared" ref="AK119:AK138" si="36">(AH63*$B$5)+(AI63*$B$6)*(AK63/100)</f>
        <v>3.12</v>
      </c>
      <c r="AL119" s="91">
        <f t="shared" ref="AL119:AL138" si="37">AL63*$B$9</f>
        <v>76</v>
      </c>
      <c r="AN119" s="120">
        <f t="shared" si="29"/>
        <v>79.238</v>
      </c>
      <c r="AO119" s="68">
        <f t="shared" ref="AO119:BG119" si="38">$AN$119/POWER(1+($B$10/100),AO117-2024)</f>
        <v>76.930097087378641</v>
      </c>
      <c r="AP119" s="68">
        <f t="shared" si="38"/>
        <v>74.689414647940424</v>
      </c>
      <c r="AQ119" s="68">
        <f t="shared" si="38"/>
        <v>72.513994803825653</v>
      </c>
      <c r="AR119" s="68">
        <f t="shared" si="38"/>
        <v>70.401936702743356</v>
      </c>
      <c r="AS119" s="68">
        <f t="shared" si="38"/>
        <v>68.351394857032389</v>
      </c>
      <c r="AT119" s="68">
        <f t="shared" si="38"/>
        <v>66.360577531099409</v>
      </c>
      <c r="AU119" s="68">
        <f t="shared" si="38"/>
        <v>64.427745175824668</v>
      </c>
      <c r="AV119" s="68">
        <f t="shared" si="38"/>
        <v>62.551208908567645</v>
      </c>
      <c r="AW119" s="68">
        <f t="shared" si="38"/>
        <v>60.729329037444309</v>
      </c>
      <c r="AX119" s="68">
        <f t="shared" si="38"/>
        <v>58.96051362858671</v>
      </c>
      <c r="AY119" s="68">
        <f t="shared" si="38"/>
        <v>57.24321711513273</v>
      </c>
      <c r="AZ119" s="68">
        <f t="shared" si="38"/>
        <v>55.575938946730808</v>
      </c>
      <c r="BA119" s="68">
        <f t="shared" si="38"/>
        <v>53.957222278379433</v>
      </c>
      <c r="BB119" s="68">
        <f t="shared" si="38"/>
        <v>52.385652697455754</v>
      </c>
      <c r="BC119" s="68">
        <f t="shared" si="38"/>
        <v>50.859856987821118</v>
      </c>
      <c r="BD119" s="68">
        <f t="shared" si="38"/>
        <v>49.378501929923424</v>
      </c>
      <c r="BE119" s="68">
        <f t="shared" si="38"/>
        <v>47.94029313584798</v>
      </c>
      <c r="BF119" s="68">
        <f t="shared" si="38"/>
        <v>46.54397391829901</v>
      </c>
      <c r="BG119" s="68">
        <f t="shared" si="38"/>
        <v>45.188324192523311</v>
      </c>
      <c r="BH119" s="190">
        <f>SUM(AN119:BG119)</f>
        <v>1214.227193582557</v>
      </c>
    </row>
    <row r="120" spans="28:60">
      <c r="AB120" s="92">
        <f t="shared" si="31"/>
        <v>42000000</v>
      </c>
      <c r="AC120" s="15">
        <f t="shared" si="32"/>
        <v>2</v>
      </c>
      <c r="AD120" s="15">
        <v>2</v>
      </c>
      <c r="AE120" s="15" t="s">
        <v>314</v>
      </c>
      <c r="AF120" s="15">
        <f t="shared" si="27"/>
        <v>200</v>
      </c>
      <c r="AG120" s="15">
        <f t="shared" si="28"/>
        <v>100</v>
      </c>
      <c r="AH120" s="69">
        <f t="shared" si="33"/>
        <v>0.1</v>
      </c>
      <c r="AI120" s="14">
        <f t="shared" si="34"/>
        <v>0.04</v>
      </c>
      <c r="AJ120" s="78">
        <f t="shared" si="35"/>
        <v>0</v>
      </c>
      <c r="AK120" s="67">
        <f t="shared" si="36"/>
        <v>0.10400000000000001</v>
      </c>
      <c r="AL120" s="91">
        <f t="shared" si="37"/>
        <v>8.6363636363636367</v>
      </c>
      <c r="AN120" s="120">
        <f t="shared" si="29"/>
        <v>8.7403636363636359</v>
      </c>
      <c r="AO120" s="68">
        <f t="shared" ref="AO120:BG120" si="39">$AN$120/POWER(1+($B$10/100),AO117-2024)</f>
        <v>8.4857899382171222</v>
      </c>
      <c r="AP120" s="68">
        <f t="shared" si="39"/>
        <v>8.2386310079777889</v>
      </c>
      <c r="AQ120" s="68">
        <f t="shared" si="39"/>
        <v>7.9986708815318339</v>
      </c>
      <c r="AR120" s="68">
        <f t="shared" si="39"/>
        <v>7.7656998849823635</v>
      </c>
      <c r="AS120" s="68">
        <f t="shared" si="39"/>
        <v>7.5395144514391879</v>
      </c>
      <c r="AT120" s="68">
        <f t="shared" si="39"/>
        <v>7.3199169431448423</v>
      </c>
      <c r="AU120" s="68">
        <f t="shared" si="39"/>
        <v>7.1067154787813998</v>
      </c>
      <c r="AV120" s="68">
        <f t="shared" si="39"/>
        <v>6.8997237658071855</v>
      </c>
      <c r="AW120" s="68">
        <f t="shared" si="39"/>
        <v>6.6987609376768784</v>
      </c>
      <c r="AX120" s="68">
        <f t="shared" si="39"/>
        <v>6.5036513958027946</v>
      </c>
      <c r="AY120" s="68">
        <f t="shared" si="39"/>
        <v>6.3142246561192179</v>
      </c>
      <c r="AZ120" s="68">
        <f t="shared" si="39"/>
        <v>6.1303152001157466</v>
      </c>
      <c r="BA120" s="68">
        <f t="shared" si="39"/>
        <v>5.9517623302094629</v>
      </c>
      <c r="BB120" s="68">
        <f t="shared" si="39"/>
        <v>5.7784100293295753</v>
      </c>
      <c r="BC120" s="68">
        <f t="shared" si="39"/>
        <v>5.6101068245918198</v>
      </c>
      <c r="BD120" s="68">
        <f t="shared" si="39"/>
        <v>5.446705654943516</v>
      </c>
      <c r="BE120" s="68">
        <f t="shared" si="39"/>
        <v>5.2880637426636072</v>
      </c>
      <c r="BF120" s="68">
        <f t="shared" si="39"/>
        <v>5.1340424686054442</v>
      </c>
      <c r="BG120" s="68">
        <f t="shared" si="39"/>
        <v>4.9845072510732464</v>
      </c>
      <c r="BH120" s="125">
        <f t="shared" ref="BH120:BH126" si="40">SUM(AN120:BG120)</f>
        <v>133.93557647937666</v>
      </c>
    </row>
    <row r="121" spans="28:60">
      <c r="AB121" s="92">
        <f t="shared" si="31"/>
        <v>63000000</v>
      </c>
      <c r="AC121" s="15">
        <f t="shared" si="32"/>
        <v>3</v>
      </c>
      <c r="AD121" s="15">
        <v>3</v>
      </c>
      <c r="AE121" s="15" t="s">
        <v>314</v>
      </c>
      <c r="AF121" s="15">
        <f t="shared" si="27"/>
        <v>200</v>
      </c>
      <c r="AG121" s="15">
        <f t="shared" si="28"/>
        <v>100</v>
      </c>
      <c r="AH121" s="69">
        <f t="shared" si="33"/>
        <v>0.1</v>
      </c>
      <c r="AI121" s="14">
        <f t="shared" si="34"/>
        <v>0.04</v>
      </c>
      <c r="AJ121" s="78">
        <f t="shared" si="35"/>
        <v>0</v>
      </c>
      <c r="AK121" s="67">
        <f t="shared" si="36"/>
        <v>0.10400000000000001</v>
      </c>
      <c r="AL121" s="91">
        <f t="shared" si="37"/>
        <v>8.6363636363636367</v>
      </c>
      <c r="AN121" s="120">
        <f t="shared" si="29"/>
        <v>8.7403636363636359</v>
      </c>
      <c r="AO121" s="68">
        <f t="shared" ref="AO121:BG121" si="41">$AN$121/POWER(1+($B$10/100),AO117-2024)</f>
        <v>8.4857899382171222</v>
      </c>
      <c r="AP121" s="68">
        <f t="shared" si="41"/>
        <v>8.2386310079777889</v>
      </c>
      <c r="AQ121" s="68">
        <f t="shared" si="41"/>
        <v>7.9986708815318339</v>
      </c>
      <c r="AR121" s="68">
        <f t="shared" si="41"/>
        <v>7.7656998849823635</v>
      </c>
      <c r="AS121" s="68">
        <f t="shared" si="41"/>
        <v>7.5395144514391879</v>
      </c>
      <c r="AT121" s="68">
        <f t="shared" si="41"/>
        <v>7.3199169431448423</v>
      </c>
      <c r="AU121" s="68">
        <f t="shared" si="41"/>
        <v>7.1067154787813998</v>
      </c>
      <c r="AV121" s="68">
        <f t="shared" si="41"/>
        <v>6.8997237658071855</v>
      </c>
      <c r="AW121" s="68">
        <f t="shared" si="41"/>
        <v>6.6987609376768784</v>
      </c>
      <c r="AX121" s="68">
        <f t="shared" si="41"/>
        <v>6.5036513958027946</v>
      </c>
      <c r="AY121" s="68">
        <f t="shared" si="41"/>
        <v>6.3142246561192179</v>
      </c>
      <c r="AZ121" s="68">
        <f t="shared" si="41"/>
        <v>6.1303152001157466</v>
      </c>
      <c r="BA121" s="68">
        <f t="shared" si="41"/>
        <v>5.9517623302094629</v>
      </c>
      <c r="BB121" s="68">
        <f t="shared" si="41"/>
        <v>5.7784100293295753</v>
      </c>
      <c r="BC121" s="68">
        <f t="shared" si="41"/>
        <v>5.6101068245918198</v>
      </c>
      <c r="BD121" s="68">
        <f t="shared" si="41"/>
        <v>5.446705654943516</v>
      </c>
      <c r="BE121" s="68">
        <f t="shared" si="41"/>
        <v>5.2880637426636072</v>
      </c>
      <c r="BF121" s="68">
        <f t="shared" si="41"/>
        <v>5.1340424686054442</v>
      </c>
      <c r="BG121" s="68">
        <f t="shared" si="41"/>
        <v>4.9845072510732464</v>
      </c>
      <c r="BH121" s="125">
        <f t="shared" si="40"/>
        <v>133.93557647937666</v>
      </c>
    </row>
    <row r="122" spans="28:60">
      <c r="AB122" s="92">
        <f t="shared" si="31"/>
        <v>84000000</v>
      </c>
      <c r="AC122" s="15">
        <f t="shared" si="32"/>
        <v>4</v>
      </c>
      <c r="AD122" s="15">
        <v>4</v>
      </c>
      <c r="AE122" s="15" t="s">
        <v>314</v>
      </c>
      <c r="AF122" s="15">
        <f t="shared" si="27"/>
        <v>200</v>
      </c>
      <c r="AG122" s="15">
        <f t="shared" si="28"/>
        <v>100</v>
      </c>
      <c r="AH122" s="69">
        <f t="shared" si="33"/>
        <v>0.1</v>
      </c>
      <c r="AI122" s="14">
        <f t="shared" si="34"/>
        <v>0.04</v>
      </c>
      <c r="AJ122" s="78">
        <f t="shared" si="35"/>
        <v>0</v>
      </c>
      <c r="AK122" s="67">
        <f t="shared" si="36"/>
        <v>0.10400000000000001</v>
      </c>
      <c r="AL122" s="91">
        <f t="shared" si="37"/>
        <v>8.6363636363636367</v>
      </c>
      <c r="AN122" s="120">
        <f t="shared" si="29"/>
        <v>8.7403636363636359</v>
      </c>
      <c r="AO122" s="68">
        <f t="shared" ref="AO122:BG122" si="42">$AN$122/POWER(1+($B$10/100),AO117-2024)</f>
        <v>8.4857899382171222</v>
      </c>
      <c r="AP122" s="68">
        <f t="shared" si="42"/>
        <v>8.2386310079777889</v>
      </c>
      <c r="AQ122" s="68">
        <f t="shared" si="42"/>
        <v>7.9986708815318339</v>
      </c>
      <c r="AR122" s="68">
        <f t="shared" si="42"/>
        <v>7.7656998849823635</v>
      </c>
      <c r="AS122" s="68">
        <f t="shared" si="42"/>
        <v>7.5395144514391879</v>
      </c>
      <c r="AT122" s="68">
        <f t="shared" si="42"/>
        <v>7.3199169431448423</v>
      </c>
      <c r="AU122" s="68">
        <f t="shared" si="42"/>
        <v>7.1067154787813998</v>
      </c>
      <c r="AV122" s="68">
        <f t="shared" si="42"/>
        <v>6.8997237658071855</v>
      </c>
      <c r="AW122" s="68">
        <f t="shared" si="42"/>
        <v>6.6987609376768784</v>
      </c>
      <c r="AX122" s="68">
        <f t="shared" si="42"/>
        <v>6.5036513958027946</v>
      </c>
      <c r="AY122" s="68">
        <f t="shared" si="42"/>
        <v>6.3142246561192179</v>
      </c>
      <c r="AZ122" s="68">
        <f t="shared" si="42"/>
        <v>6.1303152001157466</v>
      </c>
      <c r="BA122" s="68">
        <f t="shared" si="42"/>
        <v>5.9517623302094629</v>
      </c>
      <c r="BB122" s="68">
        <f t="shared" si="42"/>
        <v>5.7784100293295753</v>
      </c>
      <c r="BC122" s="68">
        <f t="shared" si="42"/>
        <v>5.6101068245918198</v>
      </c>
      <c r="BD122" s="68">
        <f t="shared" si="42"/>
        <v>5.446705654943516</v>
      </c>
      <c r="BE122" s="68">
        <f t="shared" si="42"/>
        <v>5.2880637426636072</v>
      </c>
      <c r="BF122" s="68">
        <f t="shared" si="42"/>
        <v>5.1340424686054442</v>
      </c>
      <c r="BG122" s="68">
        <f t="shared" si="42"/>
        <v>4.9845072510732464</v>
      </c>
      <c r="BH122" s="125">
        <f t="shared" si="40"/>
        <v>133.93557647937666</v>
      </c>
    </row>
    <row r="123" spans="28:60">
      <c r="AB123" s="92">
        <f t="shared" si="31"/>
        <v>105000000</v>
      </c>
      <c r="AC123" s="15">
        <f t="shared" si="32"/>
        <v>5</v>
      </c>
      <c r="AD123" s="15">
        <v>5</v>
      </c>
      <c r="AE123" s="15" t="s">
        <v>314</v>
      </c>
      <c r="AF123" s="15">
        <f t="shared" si="27"/>
        <v>200</v>
      </c>
      <c r="AG123" s="15">
        <f t="shared" si="28"/>
        <v>100</v>
      </c>
      <c r="AH123" s="69">
        <f t="shared" si="33"/>
        <v>0.1</v>
      </c>
      <c r="AI123" s="14">
        <f t="shared" si="34"/>
        <v>0.04</v>
      </c>
      <c r="AJ123" s="78">
        <f t="shared" si="35"/>
        <v>0</v>
      </c>
      <c r="AK123" s="67">
        <f t="shared" si="36"/>
        <v>0.10400000000000001</v>
      </c>
      <c r="AL123" s="91">
        <f t="shared" si="37"/>
        <v>8.6363636363636367</v>
      </c>
      <c r="AN123" s="120">
        <f t="shared" si="29"/>
        <v>8.7403636363636359</v>
      </c>
      <c r="AO123" s="68">
        <f t="shared" ref="AO123:BG123" si="43">$AN$123/POWER(1+($B$10/100),AO117-2024)</f>
        <v>8.4857899382171222</v>
      </c>
      <c r="AP123" s="68">
        <f t="shared" si="43"/>
        <v>8.2386310079777889</v>
      </c>
      <c r="AQ123" s="68">
        <f t="shared" si="43"/>
        <v>7.9986708815318339</v>
      </c>
      <c r="AR123" s="68">
        <f t="shared" si="43"/>
        <v>7.7656998849823635</v>
      </c>
      <c r="AS123" s="68">
        <f t="shared" si="43"/>
        <v>7.5395144514391879</v>
      </c>
      <c r="AT123" s="68">
        <f t="shared" si="43"/>
        <v>7.3199169431448423</v>
      </c>
      <c r="AU123" s="68">
        <f t="shared" si="43"/>
        <v>7.1067154787813998</v>
      </c>
      <c r="AV123" s="68">
        <f t="shared" si="43"/>
        <v>6.8997237658071855</v>
      </c>
      <c r="AW123" s="68">
        <f t="shared" si="43"/>
        <v>6.6987609376768784</v>
      </c>
      <c r="AX123" s="68">
        <f t="shared" si="43"/>
        <v>6.5036513958027946</v>
      </c>
      <c r="AY123" s="68">
        <f t="shared" si="43"/>
        <v>6.3142246561192179</v>
      </c>
      <c r="AZ123" s="68">
        <f t="shared" si="43"/>
        <v>6.1303152001157466</v>
      </c>
      <c r="BA123" s="68">
        <f t="shared" si="43"/>
        <v>5.9517623302094629</v>
      </c>
      <c r="BB123" s="68">
        <f t="shared" si="43"/>
        <v>5.7784100293295753</v>
      </c>
      <c r="BC123" s="68">
        <f t="shared" si="43"/>
        <v>5.6101068245918198</v>
      </c>
      <c r="BD123" s="68">
        <f t="shared" si="43"/>
        <v>5.446705654943516</v>
      </c>
      <c r="BE123" s="68">
        <f t="shared" si="43"/>
        <v>5.2880637426636072</v>
      </c>
      <c r="BF123" s="68">
        <f t="shared" si="43"/>
        <v>5.1340424686054442</v>
      </c>
      <c r="BG123" s="68">
        <f t="shared" si="43"/>
        <v>4.9845072510732464</v>
      </c>
      <c r="BH123" s="125">
        <f t="shared" si="40"/>
        <v>133.93557647937666</v>
      </c>
    </row>
    <row r="124" spans="28:60">
      <c r="AB124" s="92">
        <f t="shared" si="31"/>
        <v>126000000</v>
      </c>
      <c r="AC124" s="15">
        <f t="shared" si="32"/>
        <v>6</v>
      </c>
      <c r="AD124" s="15">
        <v>6</v>
      </c>
      <c r="AE124" s="15" t="s">
        <v>314</v>
      </c>
      <c r="AF124" s="15">
        <f t="shared" si="27"/>
        <v>200</v>
      </c>
      <c r="AG124" s="15">
        <f t="shared" si="28"/>
        <v>100</v>
      </c>
      <c r="AH124" s="69">
        <f t="shared" si="33"/>
        <v>0.1</v>
      </c>
      <c r="AI124" s="14">
        <f t="shared" si="34"/>
        <v>0.04</v>
      </c>
      <c r="AJ124" s="78">
        <f t="shared" si="35"/>
        <v>0</v>
      </c>
      <c r="AK124" s="67">
        <f t="shared" si="36"/>
        <v>0.10400000000000001</v>
      </c>
      <c r="AL124" s="91">
        <f t="shared" si="37"/>
        <v>8.6363636363636367</v>
      </c>
      <c r="AN124" s="120">
        <f t="shared" si="29"/>
        <v>8.7403636363636359</v>
      </c>
      <c r="AO124" s="68">
        <f t="shared" ref="AO124:BG124" si="44">$AN$124/POWER(1+($B$10/100),AO117-2024)</f>
        <v>8.4857899382171222</v>
      </c>
      <c r="AP124" s="68">
        <f t="shared" si="44"/>
        <v>8.2386310079777889</v>
      </c>
      <c r="AQ124" s="68">
        <f t="shared" si="44"/>
        <v>7.9986708815318339</v>
      </c>
      <c r="AR124" s="68">
        <f t="shared" si="44"/>
        <v>7.7656998849823635</v>
      </c>
      <c r="AS124" s="68">
        <f t="shared" si="44"/>
        <v>7.5395144514391879</v>
      </c>
      <c r="AT124" s="68">
        <f t="shared" si="44"/>
        <v>7.3199169431448423</v>
      </c>
      <c r="AU124" s="68">
        <f t="shared" si="44"/>
        <v>7.1067154787813998</v>
      </c>
      <c r="AV124" s="68">
        <f t="shared" si="44"/>
        <v>6.8997237658071855</v>
      </c>
      <c r="AW124" s="68">
        <f t="shared" si="44"/>
        <v>6.6987609376768784</v>
      </c>
      <c r="AX124" s="68">
        <f t="shared" si="44"/>
        <v>6.5036513958027946</v>
      </c>
      <c r="AY124" s="68">
        <f t="shared" si="44"/>
        <v>6.3142246561192179</v>
      </c>
      <c r="AZ124" s="68">
        <f t="shared" si="44"/>
        <v>6.1303152001157466</v>
      </c>
      <c r="BA124" s="68">
        <f t="shared" si="44"/>
        <v>5.9517623302094629</v>
      </c>
      <c r="BB124" s="68">
        <f t="shared" si="44"/>
        <v>5.7784100293295753</v>
      </c>
      <c r="BC124" s="68">
        <f t="shared" si="44"/>
        <v>5.6101068245918198</v>
      </c>
      <c r="BD124" s="68">
        <f t="shared" si="44"/>
        <v>5.446705654943516</v>
      </c>
      <c r="BE124" s="68">
        <f t="shared" si="44"/>
        <v>5.2880637426636072</v>
      </c>
      <c r="BF124" s="68">
        <f t="shared" si="44"/>
        <v>5.1340424686054442</v>
      </c>
      <c r="BG124" s="68">
        <f t="shared" si="44"/>
        <v>4.9845072510732464</v>
      </c>
      <c r="BH124" s="125">
        <f t="shared" si="40"/>
        <v>133.93557647937666</v>
      </c>
    </row>
    <row r="125" spans="28:60">
      <c r="AB125" s="92">
        <f t="shared" si="31"/>
        <v>147000000</v>
      </c>
      <c r="AC125" s="15">
        <f t="shared" si="32"/>
        <v>7</v>
      </c>
      <c r="AD125" s="15">
        <v>7</v>
      </c>
      <c r="AE125" s="15" t="s">
        <v>314</v>
      </c>
      <c r="AF125" s="15">
        <f t="shared" si="27"/>
        <v>200</v>
      </c>
      <c r="AG125" s="15">
        <f t="shared" si="28"/>
        <v>100</v>
      </c>
      <c r="AH125" s="69">
        <f t="shared" si="33"/>
        <v>0.1</v>
      </c>
      <c r="AI125" s="14">
        <f t="shared" si="34"/>
        <v>0.04</v>
      </c>
      <c r="AJ125" s="78">
        <f t="shared" si="35"/>
        <v>0</v>
      </c>
      <c r="AK125" s="67">
        <f t="shared" si="36"/>
        <v>0.10400000000000001</v>
      </c>
      <c r="AL125" s="91">
        <f t="shared" si="37"/>
        <v>8.6363636363636367</v>
      </c>
      <c r="AN125" s="120">
        <f t="shared" si="29"/>
        <v>8.7403636363636359</v>
      </c>
      <c r="AO125" s="68">
        <f t="shared" ref="AO125:BG125" si="45">$AN$125/POWER(1+($B$10/100),AO117-2024)</f>
        <v>8.4857899382171222</v>
      </c>
      <c r="AP125" s="68">
        <f t="shared" si="45"/>
        <v>8.2386310079777889</v>
      </c>
      <c r="AQ125" s="68">
        <f t="shared" si="45"/>
        <v>7.9986708815318339</v>
      </c>
      <c r="AR125" s="68">
        <f t="shared" si="45"/>
        <v>7.7656998849823635</v>
      </c>
      <c r="AS125" s="68">
        <f t="shared" si="45"/>
        <v>7.5395144514391879</v>
      </c>
      <c r="AT125" s="68">
        <f t="shared" si="45"/>
        <v>7.3199169431448423</v>
      </c>
      <c r="AU125" s="68">
        <f t="shared" si="45"/>
        <v>7.1067154787813998</v>
      </c>
      <c r="AV125" s="68">
        <f t="shared" si="45"/>
        <v>6.8997237658071855</v>
      </c>
      <c r="AW125" s="68">
        <f t="shared" si="45"/>
        <v>6.6987609376768784</v>
      </c>
      <c r="AX125" s="68">
        <f t="shared" si="45"/>
        <v>6.5036513958027946</v>
      </c>
      <c r="AY125" s="68">
        <f t="shared" si="45"/>
        <v>6.3142246561192179</v>
      </c>
      <c r="AZ125" s="68">
        <f t="shared" si="45"/>
        <v>6.1303152001157466</v>
      </c>
      <c r="BA125" s="68">
        <f t="shared" si="45"/>
        <v>5.9517623302094629</v>
      </c>
      <c r="BB125" s="68">
        <f t="shared" si="45"/>
        <v>5.7784100293295753</v>
      </c>
      <c r="BC125" s="68">
        <f t="shared" si="45"/>
        <v>5.6101068245918198</v>
      </c>
      <c r="BD125" s="68">
        <f t="shared" si="45"/>
        <v>5.446705654943516</v>
      </c>
      <c r="BE125" s="68">
        <f t="shared" si="45"/>
        <v>5.2880637426636072</v>
      </c>
      <c r="BF125" s="68">
        <f t="shared" si="45"/>
        <v>5.1340424686054442</v>
      </c>
      <c r="BG125" s="68">
        <f t="shared" si="45"/>
        <v>4.9845072510732464</v>
      </c>
      <c r="BH125" s="125">
        <f t="shared" si="40"/>
        <v>133.93557647937666</v>
      </c>
    </row>
    <row r="126" spans="28:60">
      <c r="AB126" s="92">
        <f t="shared" si="31"/>
        <v>168000000</v>
      </c>
      <c r="AC126" s="15">
        <f t="shared" si="32"/>
        <v>8</v>
      </c>
      <c r="AD126" s="15">
        <v>8</v>
      </c>
      <c r="AE126" s="15" t="s">
        <v>314</v>
      </c>
      <c r="AF126" s="15">
        <f t="shared" si="27"/>
        <v>200</v>
      </c>
      <c r="AG126" s="15">
        <f t="shared" si="28"/>
        <v>100</v>
      </c>
      <c r="AH126" s="69">
        <f t="shared" si="33"/>
        <v>0.1</v>
      </c>
      <c r="AI126" s="14">
        <f t="shared" si="34"/>
        <v>0.04</v>
      </c>
      <c r="AJ126" s="78">
        <f t="shared" si="35"/>
        <v>0</v>
      </c>
      <c r="AK126" s="67">
        <f t="shared" si="36"/>
        <v>0.10400000000000001</v>
      </c>
      <c r="AL126" s="91">
        <f t="shared" si="37"/>
        <v>8.6363636363636367</v>
      </c>
      <c r="AN126" s="120">
        <f t="shared" si="29"/>
        <v>8.7403636363636359</v>
      </c>
      <c r="AO126" s="68">
        <f t="shared" ref="AO126:BG126" si="46">$AN$126/POWER(1+($B$10/100),AO117-2024)</f>
        <v>8.4857899382171222</v>
      </c>
      <c r="AP126" s="68">
        <f t="shared" si="46"/>
        <v>8.2386310079777889</v>
      </c>
      <c r="AQ126" s="68">
        <f t="shared" si="46"/>
        <v>7.9986708815318339</v>
      </c>
      <c r="AR126" s="68">
        <f t="shared" si="46"/>
        <v>7.7656998849823635</v>
      </c>
      <c r="AS126" s="68">
        <f t="shared" si="46"/>
        <v>7.5395144514391879</v>
      </c>
      <c r="AT126" s="68">
        <f t="shared" si="46"/>
        <v>7.3199169431448423</v>
      </c>
      <c r="AU126" s="68">
        <f t="shared" si="46"/>
        <v>7.1067154787813998</v>
      </c>
      <c r="AV126" s="68">
        <f t="shared" si="46"/>
        <v>6.8997237658071855</v>
      </c>
      <c r="AW126" s="68">
        <f t="shared" si="46"/>
        <v>6.6987609376768784</v>
      </c>
      <c r="AX126" s="68">
        <f t="shared" si="46"/>
        <v>6.5036513958027946</v>
      </c>
      <c r="AY126" s="68">
        <f t="shared" si="46"/>
        <v>6.3142246561192179</v>
      </c>
      <c r="AZ126" s="68">
        <f t="shared" si="46"/>
        <v>6.1303152001157466</v>
      </c>
      <c r="BA126" s="68">
        <f t="shared" si="46"/>
        <v>5.9517623302094629</v>
      </c>
      <c r="BB126" s="68">
        <f t="shared" si="46"/>
        <v>5.7784100293295753</v>
      </c>
      <c r="BC126" s="68">
        <f t="shared" si="46"/>
        <v>5.6101068245918198</v>
      </c>
      <c r="BD126" s="68">
        <f t="shared" si="46"/>
        <v>5.446705654943516</v>
      </c>
      <c r="BE126" s="68">
        <f t="shared" si="46"/>
        <v>5.2880637426636072</v>
      </c>
      <c r="BF126" s="68">
        <f t="shared" si="46"/>
        <v>5.1340424686054442</v>
      </c>
      <c r="BG126" s="68">
        <f t="shared" si="46"/>
        <v>4.9845072510732464</v>
      </c>
      <c r="BH126" s="125">
        <f t="shared" si="40"/>
        <v>133.93557647937666</v>
      </c>
    </row>
    <row r="127" spans="28:60">
      <c r="AB127" s="92">
        <f t="shared" si="31"/>
        <v>189000000</v>
      </c>
      <c r="AC127" s="15">
        <f t="shared" si="32"/>
        <v>9</v>
      </c>
      <c r="AD127" s="15">
        <v>9</v>
      </c>
      <c r="AE127" s="15" t="s">
        <v>314</v>
      </c>
      <c r="AF127" s="15">
        <f t="shared" si="27"/>
        <v>200</v>
      </c>
      <c r="AG127" s="15">
        <f t="shared" si="28"/>
        <v>100</v>
      </c>
      <c r="AH127" s="69">
        <f t="shared" si="33"/>
        <v>0.1</v>
      </c>
      <c r="AI127" s="14">
        <f t="shared" si="34"/>
        <v>0.04</v>
      </c>
      <c r="AJ127" s="78">
        <f t="shared" si="35"/>
        <v>0</v>
      </c>
      <c r="AK127" s="67">
        <f t="shared" si="36"/>
        <v>0.10400000000000001</v>
      </c>
      <c r="AL127" s="91">
        <f t="shared" si="37"/>
        <v>8.6363636363636367</v>
      </c>
      <c r="AM127" s="27"/>
      <c r="AN127" s="120">
        <f t="shared" si="29"/>
        <v>8.7403636363636359</v>
      </c>
      <c r="AO127" s="68">
        <f t="shared" ref="AO127:BG127" si="47">$AN$127/POWER(1+($B$10/100),AO117-2024)</f>
        <v>8.4857899382171222</v>
      </c>
      <c r="AP127" s="68">
        <f t="shared" si="47"/>
        <v>8.2386310079777889</v>
      </c>
      <c r="AQ127" s="68">
        <f t="shared" si="47"/>
        <v>7.9986708815318339</v>
      </c>
      <c r="AR127" s="68">
        <f t="shared" si="47"/>
        <v>7.7656998849823635</v>
      </c>
      <c r="AS127" s="68">
        <f t="shared" si="47"/>
        <v>7.5395144514391879</v>
      </c>
      <c r="AT127" s="68">
        <f t="shared" si="47"/>
        <v>7.3199169431448423</v>
      </c>
      <c r="AU127" s="68">
        <f t="shared" si="47"/>
        <v>7.1067154787813998</v>
      </c>
      <c r="AV127" s="68">
        <f t="shared" si="47"/>
        <v>6.8997237658071855</v>
      </c>
      <c r="AW127" s="68">
        <f t="shared" si="47"/>
        <v>6.6987609376768784</v>
      </c>
      <c r="AX127" s="68">
        <f t="shared" si="47"/>
        <v>6.5036513958027946</v>
      </c>
      <c r="AY127" s="68">
        <f t="shared" si="47"/>
        <v>6.3142246561192179</v>
      </c>
      <c r="AZ127" s="68">
        <f t="shared" si="47"/>
        <v>6.1303152001157466</v>
      </c>
      <c r="BA127" s="68">
        <f t="shared" si="47"/>
        <v>5.9517623302094629</v>
      </c>
      <c r="BB127" s="68">
        <f t="shared" si="47"/>
        <v>5.7784100293295753</v>
      </c>
      <c r="BC127" s="68">
        <f t="shared" si="47"/>
        <v>5.6101068245918198</v>
      </c>
      <c r="BD127" s="68">
        <f t="shared" si="47"/>
        <v>5.446705654943516</v>
      </c>
      <c r="BE127" s="68">
        <f t="shared" si="47"/>
        <v>5.2880637426636072</v>
      </c>
      <c r="BF127" s="68">
        <f t="shared" si="47"/>
        <v>5.1340424686054442</v>
      </c>
      <c r="BG127" s="68">
        <f t="shared" si="47"/>
        <v>4.9845072510732464</v>
      </c>
      <c r="BH127" s="125">
        <f t="shared" ref="BH127:BH170" si="48">SUM(AN127:BG127)</f>
        <v>133.93557647937666</v>
      </c>
    </row>
    <row r="128" spans="28:60">
      <c r="AB128" s="92">
        <f t="shared" si="31"/>
        <v>210000000</v>
      </c>
      <c r="AC128" s="15">
        <f t="shared" si="32"/>
        <v>10</v>
      </c>
      <c r="AD128" s="15">
        <v>10</v>
      </c>
      <c r="AE128" s="15" t="s">
        <v>314</v>
      </c>
      <c r="AF128" s="15">
        <f t="shared" si="27"/>
        <v>200</v>
      </c>
      <c r="AG128" s="15">
        <f t="shared" si="28"/>
        <v>100</v>
      </c>
      <c r="AH128" s="69">
        <f t="shared" si="33"/>
        <v>0.1</v>
      </c>
      <c r="AI128" s="14">
        <f t="shared" si="34"/>
        <v>0.04</v>
      </c>
      <c r="AJ128" s="78">
        <f t="shared" si="35"/>
        <v>0</v>
      </c>
      <c r="AK128" s="67">
        <f t="shared" si="36"/>
        <v>0.10400000000000001</v>
      </c>
      <c r="AL128" s="91">
        <f t="shared" si="37"/>
        <v>8.6363636363636367</v>
      </c>
      <c r="AM128" s="27"/>
      <c r="AN128" s="120">
        <f t="shared" si="29"/>
        <v>8.7403636363636359</v>
      </c>
      <c r="AO128" s="68">
        <f t="shared" ref="AO128:BG128" si="49">$AN$128/POWER(1+($B$10/100),AO117-2024)</f>
        <v>8.4857899382171222</v>
      </c>
      <c r="AP128" s="68">
        <f t="shared" si="49"/>
        <v>8.2386310079777889</v>
      </c>
      <c r="AQ128" s="68">
        <f t="shared" si="49"/>
        <v>7.9986708815318339</v>
      </c>
      <c r="AR128" s="68">
        <f t="shared" si="49"/>
        <v>7.7656998849823635</v>
      </c>
      <c r="AS128" s="68">
        <f t="shared" si="49"/>
        <v>7.5395144514391879</v>
      </c>
      <c r="AT128" s="68">
        <f t="shared" si="49"/>
        <v>7.3199169431448423</v>
      </c>
      <c r="AU128" s="68">
        <f t="shared" si="49"/>
        <v>7.1067154787813998</v>
      </c>
      <c r="AV128" s="68">
        <f t="shared" si="49"/>
        <v>6.8997237658071855</v>
      </c>
      <c r="AW128" s="68">
        <f t="shared" si="49"/>
        <v>6.6987609376768784</v>
      </c>
      <c r="AX128" s="68">
        <f t="shared" si="49"/>
        <v>6.5036513958027946</v>
      </c>
      <c r="AY128" s="68">
        <f t="shared" si="49"/>
        <v>6.3142246561192179</v>
      </c>
      <c r="AZ128" s="68">
        <f t="shared" si="49"/>
        <v>6.1303152001157466</v>
      </c>
      <c r="BA128" s="68">
        <f t="shared" si="49"/>
        <v>5.9517623302094629</v>
      </c>
      <c r="BB128" s="68">
        <f t="shared" si="49"/>
        <v>5.7784100293295753</v>
      </c>
      <c r="BC128" s="68">
        <f t="shared" si="49"/>
        <v>5.6101068245918198</v>
      </c>
      <c r="BD128" s="68">
        <f t="shared" si="49"/>
        <v>5.446705654943516</v>
      </c>
      <c r="BE128" s="68">
        <f t="shared" si="49"/>
        <v>5.2880637426636072</v>
      </c>
      <c r="BF128" s="68">
        <f t="shared" si="49"/>
        <v>5.1340424686054442</v>
      </c>
      <c r="BG128" s="68">
        <f t="shared" si="49"/>
        <v>4.9845072510732464</v>
      </c>
      <c r="BH128" s="125">
        <f t="shared" si="48"/>
        <v>133.93557647937666</v>
      </c>
    </row>
    <row r="129" spans="28:62">
      <c r="AB129" s="92">
        <f t="shared" si="31"/>
        <v>231000000</v>
      </c>
      <c r="AC129" s="15">
        <f t="shared" si="32"/>
        <v>11</v>
      </c>
      <c r="AD129" s="15">
        <v>11</v>
      </c>
      <c r="AE129" s="15" t="s">
        <v>314</v>
      </c>
      <c r="AF129" s="15">
        <f t="shared" si="27"/>
        <v>200</v>
      </c>
      <c r="AG129" s="15">
        <f t="shared" si="28"/>
        <v>100</v>
      </c>
      <c r="AH129" s="69">
        <f t="shared" si="33"/>
        <v>0.1</v>
      </c>
      <c r="AI129" s="14">
        <f t="shared" si="34"/>
        <v>0.04</v>
      </c>
      <c r="AJ129" s="78">
        <f t="shared" si="35"/>
        <v>0</v>
      </c>
      <c r="AK129" s="67">
        <f t="shared" si="36"/>
        <v>0.10400000000000001</v>
      </c>
      <c r="AL129" s="91">
        <f t="shared" si="37"/>
        <v>8.6363636363636367</v>
      </c>
      <c r="AM129" s="27"/>
      <c r="AN129" s="120">
        <f t="shared" si="29"/>
        <v>8.7403636363636359</v>
      </c>
      <c r="AO129" s="68">
        <f t="shared" ref="AO129:BG129" si="50">$AN$129/POWER(1+($B$10/100),AO117-2024)</f>
        <v>8.4857899382171222</v>
      </c>
      <c r="AP129" s="68">
        <f t="shared" si="50"/>
        <v>8.2386310079777889</v>
      </c>
      <c r="AQ129" s="68">
        <f t="shared" si="50"/>
        <v>7.9986708815318339</v>
      </c>
      <c r="AR129" s="68">
        <f t="shared" si="50"/>
        <v>7.7656998849823635</v>
      </c>
      <c r="AS129" s="68">
        <f t="shared" si="50"/>
        <v>7.5395144514391879</v>
      </c>
      <c r="AT129" s="68">
        <f t="shared" si="50"/>
        <v>7.3199169431448423</v>
      </c>
      <c r="AU129" s="68">
        <f t="shared" si="50"/>
        <v>7.1067154787813998</v>
      </c>
      <c r="AV129" s="68">
        <f t="shared" si="50"/>
        <v>6.8997237658071855</v>
      </c>
      <c r="AW129" s="68">
        <f t="shared" si="50"/>
        <v>6.6987609376768784</v>
      </c>
      <c r="AX129" s="68">
        <f t="shared" si="50"/>
        <v>6.5036513958027946</v>
      </c>
      <c r="AY129" s="68">
        <f t="shared" si="50"/>
        <v>6.3142246561192179</v>
      </c>
      <c r="AZ129" s="68">
        <f t="shared" si="50"/>
        <v>6.1303152001157466</v>
      </c>
      <c r="BA129" s="68">
        <f t="shared" si="50"/>
        <v>5.9517623302094629</v>
      </c>
      <c r="BB129" s="68">
        <f t="shared" si="50"/>
        <v>5.7784100293295753</v>
      </c>
      <c r="BC129" s="68">
        <f t="shared" si="50"/>
        <v>5.6101068245918198</v>
      </c>
      <c r="BD129" s="68">
        <f t="shared" si="50"/>
        <v>5.446705654943516</v>
      </c>
      <c r="BE129" s="68">
        <f t="shared" si="50"/>
        <v>5.2880637426636072</v>
      </c>
      <c r="BF129" s="68">
        <f t="shared" si="50"/>
        <v>5.1340424686054442</v>
      </c>
      <c r="BG129" s="68">
        <f t="shared" si="50"/>
        <v>4.9845072510732464</v>
      </c>
      <c r="BH129" s="125">
        <f t="shared" si="48"/>
        <v>133.93557647937666</v>
      </c>
    </row>
    <row r="130" spans="28:62">
      <c r="AB130" s="92">
        <f t="shared" si="31"/>
        <v>252000000</v>
      </c>
      <c r="AC130" s="15">
        <f t="shared" si="32"/>
        <v>12</v>
      </c>
      <c r="AD130" s="15">
        <v>12</v>
      </c>
      <c r="AE130" s="15" t="s">
        <v>314</v>
      </c>
      <c r="AF130" s="15">
        <f t="shared" si="27"/>
        <v>200</v>
      </c>
      <c r="AG130" s="15">
        <f t="shared" si="28"/>
        <v>100</v>
      </c>
      <c r="AH130" s="69">
        <f t="shared" si="33"/>
        <v>0.1</v>
      </c>
      <c r="AI130" s="14">
        <f t="shared" si="34"/>
        <v>0.04</v>
      </c>
      <c r="AJ130" s="78">
        <f t="shared" si="35"/>
        <v>0</v>
      </c>
      <c r="AK130" s="67">
        <f t="shared" si="36"/>
        <v>0.10400000000000001</v>
      </c>
      <c r="AL130" s="91">
        <f t="shared" si="37"/>
        <v>8.6363636363636367</v>
      </c>
      <c r="AM130" s="27"/>
      <c r="AN130" s="120">
        <f t="shared" si="29"/>
        <v>8.7403636363636359</v>
      </c>
      <c r="AO130" s="68">
        <f t="shared" ref="AO130:BG130" si="51">$AN$130/POWER(1+($B$10/100),AO117-2024)</f>
        <v>8.4857899382171222</v>
      </c>
      <c r="AP130" s="68">
        <f t="shared" si="51"/>
        <v>8.2386310079777889</v>
      </c>
      <c r="AQ130" s="68">
        <f t="shared" si="51"/>
        <v>7.9986708815318339</v>
      </c>
      <c r="AR130" s="68">
        <f t="shared" si="51"/>
        <v>7.7656998849823635</v>
      </c>
      <c r="AS130" s="68">
        <f t="shared" si="51"/>
        <v>7.5395144514391879</v>
      </c>
      <c r="AT130" s="68">
        <f t="shared" si="51"/>
        <v>7.3199169431448423</v>
      </c>
      <c r="AU130" s="68">
        <f t="shared" si="51"/>
        <v>7.1067154787813998</v>
      </c>
      <c r="AV130" s="68">
        <f t="shared" si="51"/>
        <v>6.8997237658071855</v>
      </c>
      <c r="AW130" s="68">
        <f t="shared" si="51"/>
        <v>6.6987609376768784</v>
      </c>
      <c r="AX130" s="68">
        <f t="shared" si="51"/>
        <v>6.5036513958027946</v>
      </c>
      <c r="AY130" s="68">
        <f t="shared" si="51"/>
        <v>6.3142246561192179</v>
      </c>
      <c r="AZ130" s="68">
        <f t="shared" si="51"/>
        <v>6.1303152001157466</v>
      </c>
      <c r="BA130" s="68">
        <f t="shared" si="51"/>
        <v>5.9517623302094629</v>
      </c>
      <c r="BB130" s="68">
        <f t="shared" si="51"/>
        <v>5.7784100293295753</v>
      </c>
      <c r="BC130" s="68">
        <f t="shared" si="51"/>
        <v>5.6101068245918198</v>
      </c>
      <c r="BD130" s="68">
        <f t="shared" si="51"/>
        <v>5.446705654943516</v>
      </c>
      <c r="BE130" s="68">
        <f t="shared" si="51"/>
        <v>5.2880637426636072</v>
      </c>
      <c r="BF130" s="68">
        <f t="shared" si="51"/>
        <v>5.1340424686054442</v>
      </c>
      <c r="BG130" s="68">
        <f t="shared" si="51"/>
        <v>4.9845072510732464</v>
      </c>
      <c r="BH130" s="125">
        <f t="shared" si="48"/>
        <v>133.93557647937666</v>
      </c>
    </row>
    <row r="131" spans="28:62">
      <c r="AB131" s="92">
        <f t="shared" si="31"/>
        <v>273000000</v>
      </c>
      <c r="AC131" s="15">
        <f t="shared" si="32"/>
        <v>13</v>
      </c>
      <c r="AD131" s="15">
        <v>13</v>
      </c>
      <c r="AE131" s="15" t="s">
        <v>314</v>
      </c>
      <c r="AF131" s="15">
        <f t="shared" si="27"/>
        <v>200</v>
      </c>
      <c r="AG131" s="15">
        <f t="shared" si="28"/>
        <v>100</v>
      </c>
      <c r="AH131" s="69">
        <f t="shared" si="33"/>
        <v>0.1</v>
      </c>
      <c r="AI131" s="14">
        <f t="shared" si="34"/>
        <v>0.04</v>
      </c>
      <c r="AJ131" s="78">
        <f t="shared" si="35"/>
        <v>0</v>
      </c>
      <c r="AK131" s="67">
        <f t="shared" si="36"/>
        <v>0.10400000000000001</v>
      </c>
      <c r="AL131" s="91">
        <f t="shared" si="37"/>
        <v>8.6363636363636367</v>
      </c>
      <c r="AM131" s="27"/>
      <c r="AN131" s="120">
        <f t="shared" si="29"/>
        <v>8.7403636363636359</v>
      </c>
      <c r="AO131" s="68">
        <f t="shared" ref="AO131:BG131" si="52">$AN$131/POWER(1+($B$10/100),AO117-2024)</f>
        <v>8.4857899382171222</v>
      </c>
      <c r="AP131" s="68">
        <f t="shared" si="52"/>
        <v>8.2386310079777889</v>
      </c>
      <c r="AQ131" s="68">
        <f t="shared" si="52"/>
        <v>7.9986708815318339</v>
      </c>
      <c r="AR131" s="68">
        <f t="shared" si="52"/>
        <v>7.7656998849823635</v>
      </c>
      <c r="AS131" s="68">
        <f t="shared" si="52"/>
        <v>7.5395144514391879</v>
      </c>
      <c r="AT131" s="68">
        <f t="shared" si="52"/>
        <v>7.3199169431448423</v>
      </c>
      <c r="AU131" s="68">
        <f t="shared" si="52"/>
        <v>7.1067154787813998</v>
      </c>
      <c r="AV131" s="68">
        <f t="shared" si="52"/>
        <v>6.8997237658071855</v>
      </c>
      <c r="AW131" s="68">
        <f t="shared" si="52"/>
        <v>6.6987609376768784</v>
      </c>
      <c r="AX131" s="68">
        <f t="shared" si="52"/>
        <v>6.5036513958027946</v>
      </c>
      <c r="AY131" s="68">
        <f t="shared" si="52"/>
        <v>6.3142246561192179</v>
      </c>
      <c r="AZ131" s="68">
        <f t="shared" si="52"/>
        <v>6.1303152001157466</v>
      </c>
      <c r="BA131" s="68">
        <f t="shared" si="52"/>
        <v>5.9517623302094629</v>
      </c>
      <c r="BB131" s="68">
        <f t="shared" si="52"/>
        <v>5.7784100293295753</v>
      </c>
      <c r="BC131" s="68">
        <f t="shared" si="52"/>
        <v>5.6101068245918198</v>
      </c>
      <c r="BD131" s="68">
        <f t="shared" si="52"/>
        <v>5.446705654943516</v>
      </c>
      <c r="BE131" s="68">
        <f t="shared" si="52"/>
        <v>5.2880637426636072</v>
      </c>
      <c r="BF131" s="68">
        <f t="shared" si="52"/>
        <v>5.1340424686054442</v>
      </c>
      <c r="BG131" s="68">
        <f t="shared" si="52"/>
        <v>4.9845072510732464</v>
      </c>
      <c r="BH131" s="125">
        <f t="shared" si="48"/>
        <v>133.93557647937666</v>
      </c>
    </row>
    <row r="132" spans="28:62">
      <c r="AB132" s="92">
        <f t="shared" si="31"/>
        <v>294000000</v>
      </c>
      <c r="AC132" s="15">
        <f t="shared" si="32"/>
        <v>14</v>
      </c>
      <c r="AD132" s="15">
        <v>14</v>
      </c>
      <c r="AE132" s="15" t="s">
        <v>314</v>
      </c>
      <c r="AF132" s="15">
        <f t="shared" si="27"/>
        <v>200</v>
      </c>
      <c r="AG132" s="15">
        <f t="shared" si="28"/>
        <v>100</v>
      </c>
      <c r="AH132" s="69">
        <f t="shared" si="33"/>
        <v>0.1</v>
      </c>
      <c r="AI132" s="14">
        <f t="shared" si="34"/>
        <v>0.04</v>
      </c>
      <c r="AJ132" s="78">
        <f t="shared" ref="AJ132:AJ170" si="53">AJ76*$B$7</f>
        <v>0</v>
      </c>
      <c r="AK132" s="67">
        <f t="shared" si="36"/>
        <v>0.10400000000000001</v>
      </c>
      <c r="AL132" s="91">
        <f t="shared" si="37"/>
        <v>8.6363636363636367</v>
      </c>
      <c r="AM132" s="27"/>
      <c r="AN132" s="120">
        <f t="shared" si="29"/>
        <v>8.7403636363636359</v>
      </c>
      <c r="AO132" s="68">
        <f t="shared" ref="AO132:BG132" si="54">$AN$132/POWER(1+($B$10/100),AO117-2024)</f>
        <v>8.4857899382171222</v>
      </c>
      <c r="AP132" s="68">
        <f t="shared" si="54"/>
        <v>8.2386310079777889</v>
      </c>
      <c r="AQ132" s="68">
        <f t="shared" si="54"/>
        <v>7.9986708815318339</v>
      </c>
      <c r="AR132" s="68">
        <f t="shared" si="54"/>
        <v>7.7656998849823635</v>
      </c>
      <c r="AS132" s="68">
        <f t="shared" si="54"/>
        <v>7.5395144514391879</v>
      </c>
      <c r="AT132" s="68">
        <f t="shared" si="54"/>
        <v>7.3199169431448423</v>
      </c>
      <c r="AU132" s="68">
        <f t="shared" si="54"/>
        <v>7.1067154787813998</v>
      </c>
      <c r="AV132" s="68">
        <f t="shared" si="54"/>
        <v>6.8997237658071855</v>
      </c>
      <c r="AW132" s="68">
        <f t="shared" si="54"/>
        <v>6.6987609376768784</v>
      </c>
      <c r="AX132" s="68">
        <f t="shared" si="54"/>
        <v>6.5036513958027946</v>
      </c>
      <c r="AY132" s="68">
        <f t="shared" si="54"/>
        <v>6.3142246561192179</v>
      </c>
      <c r="AZ132" s="68">
        <f t="shared" si="54"/>
        <v>6.1303152001157466</v>
      </c>
      <c r="BA132" s="68">
        <f t="shared" si="54"/>
        <v>5.9517623302094629</v>
      </c>
      <c r="BB132" s="68">
        <f t="shared" si="54"/>
        <v>5.7784100293295753</v>
      </c>
      <c r="BC132" s="68">
        <f t="shared" si="54"/>
        <v>5.6101068245918198</v>
      </c>
      <c r="BD132" s="68">
        <f t="shared" si="54"/>
        <v>5.446705654943516</v>
      </c>
      <c r="BE132" s="68">
        <f t="shared" si="54"/>
        <v>5.2880637426636072</v>
      </c>
      <c r="BF132" s="68">
        <f t="shared" si="54"/>
        <v>5.1340424686054442</v>
      </c>
      <c r="BG132" s="68">
        <f t="shared" si="54"/>
        <v>4.9845072510732464</v>
      </c>
      <c r="BH132" s="125">
        <f t="shared" si="48"/>
        <v>133.93557647937666</v>
      </c>
    </row>
    <row r="133" spans="28:62">
      <c r="AB133" s="92">
        <f t="shared" si="31"/>
        <v>315000000</v>
      </c>
      <c r="AC133" s="15">
        <f t="shared" si="32"/>
        <v>15</v>
      </c>
      <c r="AD133" s="15">
        <v>15</v>
      </c>
      <c r="AE133" s="15" t="s">
        <v>314</v>
      </c>
      <c r="AF133" s="15">
        <f t="shared" si="27"/>
        <v>200</v>
      </c>
      <c r="AG133" s="15">
        <f t="shared" si="28"/>
        <v>100</v>
      </c>
      <c r="AH133" s="69">
        <f t="shared" si="33"/>
        <v>0.1</v>
      </c>
      <c r="AI133" s="14">
        <f t="shared" si="34"/>
        <v>0.04</v>
      </c>
      <c r="AJ133" s="78">
        <f t="shared" si="53"/>
        <v>0</v>
      </c>
      <c r="AK133" s="67">
        <f t="shared" si="36"/>
        <v>0.10400000000000001</v>
      </c>
      <c r="AL133" s="91">
        <f t="shared" si="37"/>
        <v>8.6363636363636367</v>
      </c>
      <c r="AM133" s="27"/>
      <c r="AN133" s="120">
        <f t="shared" si="29"/>
        <v>8.7403636363636359</v>
      </c>
      <c r="AO133" s="68">
        <f t="shared" ref="AO133:BG133" si="55">$AN$133/POWER(1+($B$10/100),AO117-2024)</f>
        <v>8.4857899382171222</v>
      </c>
      <c r="AP133" s="68">
        <f t="shared" si="55"/>
        <v>8.2386310079777889</v>
      </c>
      <c r="AQ133" s="68">
        <f t="shared" si="55"/>
        <v>7.9986708815318339</v>
      </c>
      <c r="AR133" s="68">
        <f t="shared" si="55"/>
        <v>7.7656998849823635</v>
      </c>
      <c r="AS133" s="68">
        <f t="shared" si="55"/>
        <v>7.5395144514391879</v>
      </c>
      <c r="AT133" s="68">
        <f t="shared" si="55"/>
        <v>7.3199169431448423</v>
      </c>
      <c r="AU133" s="68">
        <f t="shared" si="55"/>
        <v>7.1067154787813998</v>
      </c>
      <c r="AV133" s="68">
        <f t="shared" si="55"/>
        <v>6.8997237658071855</v>
      </c>
      <c r="AW133" s="68">
        <f t="shared" si="55"/>
        <v>6.6987609376768784</v>
      </c>
      <c r="AX133" s="68">
        <f t="shared" si="55"/>
        <v>6.5036513958027946</v>
      </c>
      <c r="AY133" s="68">
        <f t="shared" si="55"/>
        <v>6.3142246561192179</v>
      </c>
      <c r="AZ133" s="68">
        <f t="shared" si="55"/>
        <v>6.1303152001157466</v>
      </c>
      <c r="BA133" s="68">
        <f t="shared" si="55"/>
        <v>5.9517623302094629</v>
      </c>
      <c r="BB133" s="68">
        <f t="shared" si="55"/>
        <v>5.7784100293295753</v>
      </c>
      <c r="BC133" s="68">
        <f t="shared" si="55"/>
        <v>5.6101068245918198</v>
      </c>
      <c r="BD133" s="68">
        <f t="shared" si="55"/>
        <v>5.446705654943516</v>
      </c>
      <c r="BE133" s="68">
        <f t="shared" si="55"/>
        <v>5.2880637426636072</v>
      </c>
      <c r="BF133" s="68">
        <f t="shared" si="55"/>
        <v>5.1340424686054442</v>
      </c>
      <c r="BG133" s="68">
        <f t="shared" si="55"/>
        <v>4.9845072510732464</v>
      </c>
      <c r="BH133" s="125">
        <f t="shared" si="48"/>
        <v>133.93557647937666</v>
      </c>
    </row>
    <row r="134" spans="28:62">
      <c r="AB134" s="92">
        <f t="shared" si="31"/>
        <v>336000000</v>
      </c>
      <c r="AC134" s="15">
        <f t="shared" si="32"/>
        <v>16</v>
      </c>
      <c r="AD134" s="15">
        <v>16</v>
      </c>
      <c r="AE134" s="15" t="s">
        <v>314</v>
      </c>
      <c r="AF134" s="15">
        <f t="shared" si="27"/>
        <v>200</v>
      </c>
      <c r="AG134" s="15">
        <f t="shared" si="28"/>
        <v>100</v>
      </c>
      <c r="AH134" s="69">
        <f t="shared" si="33"/>
        <v>0.1</v>
      </c>
      <c r="AI134" s="14">
        <f t="shared" si="34"/>
        <v>0.04</v>
      </c>
      <c r="AJ134" s="78">
        <f t="shared" si="53"/>
        <v>0</v>
      </c>
      <c r="AK134" s="67">
        <f t="shared" si="36"/>
        <v>0.10400000000000001</v>
      </c>
      <c r="AL134" s="91">
        <f t="shared" si="37"/>
        <v>8.6363636363636367</v>
      </c>
      <c r="AM134" s="27"/>
      <c r="AN134" s="120">
        <f t="shared" si="29"/>
        <v>8.7403636363636359</v>
      </c>
      <c r="AO134" s="68">
        <f t="shared" ref="AO134:BG134" si="56">$AN$134/POWER(1+($B$10/100),AO117-2024)</f>
        <v>8.4857899382171222</v>
      </c>
      <c r="AP134" s="68">
        <f t="shared" si="56"/>
        <v>8.2386310079777889</v>
      </c>
      <c r="AQ134" s="68">
        <f t="shared" si="56"/>
        <v>7.9986708815318339</v>
      </c>
      <c r="AR134" s="68">
        <f t="shared" si="56"/>
        <v>7.7656998849823635</v>
      </c>
      <c r="AS134" s="68">
        <f t="shared" si="56"/>
        <v>7.5395144514391879</v>
      </c>
      <c r="AT134" s="68">
        <f t="shared" si="56"/>
        <v>7.3199169431448423</v>
      </c>
      <c r="AU134" s="68">
        <f t="shared" si="56"/>
        <v>7.1067154787813998</v>
      </c>
      <c r="AV134" s="68">
        <f t="shared" si="56"/>
        <v>6.8997237658071855</v>
      </c>
      <c r="AW134" s="68">
        <f t="shared" si="56"/>
        <v>6.6987609376768784</v>
      </c>
      <c r="AX134" s="68">
        <f t="shared" si="56"/>
        <v>6.5036513958027946</v>
      </c>
      <c r="AY134" s="68">
        <f t="shared" si="56"/>
        <v>6.3142246561192179</v>
      </c>
      <c r="AZ134" s="68">
        <f t="shared" si="56"/>
        <v>6.1303152001157466</v>
      </c>
      <c r="BA134" s="68">
        <f t="shared" si="56"/>
        <v>5.9517623302094629</v>
      </c>
      <c r="BB134" s="68">
        <f t="shared" si="56"/>
        <v>5.7784100293295753</v>
      </c>
      <c r="BC134" s="68">
        <f t="shared" si="56"/>
        <v>5.6101068245918198</v>
      </c>
      <c r="BD134" s="68">
        <f t="shared" si="56"/>
        <v>5.446705654943516</v>
      </c>
      <c r="BE134" s="68">
        <f t="shared" si="56"/>
        <v>5.2880637426636072</v>
      </c>
      <c r="BF134" s="68">
        <f t="shared" si="56"/>
        <v>5.1340424686054442</v>
      </c>
      <c r="BG134" s="68">
        <f t="shared" si="56"/>
        <v>4.9845072510732464</v>
      </c>
      <c r="BH134" s="125">
        <f t="shared" si="48"/>
        <v>133.93557647937666</v>
      </c>
    </row>
    <row r="135" spans="28:62">
      <c r="AB135" s="92">
        <f t="shared" si="31"/>
        <v>357000000</v>
      </c>
      <c r="AC135" s="15">
        <f t="shared" si="32"/>
        <v>17</v>
      </c>
      <c r="AD135" s="15">
        <v>17</v>
      </c>
      <c r="AE135" s="15" t="s">
        <v>314</v>
      </c>
      <c r="AF135" s="15">
        <f t="shared" si="27"/>
        <v>200</v>
      </c>
      <c r="AG135" s="15">
        <f t="shared" si="28"/>
        <v>100</v>
      </c>
      <c r="AH135" s="69">
        <f t="shared" si="33"/>
        <v>0.1</v>
      </c>
      <c r="AI135" s="14">
        <f t="shared" si="34"/>
        <v>0.04</v>
      </c>
      <c r="AJ135" s="78">
        <f t="shared" si="53"/>
        <v>0</v>
      </c>
      <c r="AK135" s="67">
        <f t="shared" si="36"/>
        <v>0.10400000000000001</v>
      </c>
      <c r="AL135" s="91">
        <f t="shared" si="37"/>
        <v>8.6363636363636367</v>
      </c>
      <c r="AM135" s="27"/>
      <c r="AN135" s="120">
        <f t="shared" si="29"/>
        <v>8.7403636363636359</v>
      </c>
      <c r="AO135" s="68">
        <f t="shared" ref="AO135:BG135" si="57">$AN$135/POWER(1+($B$10/100),AO117-2024)</f>
        <v>8.4857899382171222</v>
      </c>
      <c r="AP135" s="68">
        <f t="shared" si="57"/>
        <v>8.2386310079777889</v>
      </c>
      <c r="AQ135" s="68">
        <f t="shared" si="57"/>
        <v>7.9986708815318339</v>
      </c>
      <c r="AR135" s="68">
        <f t="shared" si="57"/>
        <v>7.7656998849823635</v>
      </c>
      <c r="AS135" s="68">
        <f t="shared" si="57"/>
        <v>7.5395144514391879</v>
      </c>
      <c r="AT135" s="68">
        <f t="shared" si="57"/>
        <v>7.3199169431448423</v>
      </c>
      <c r="AU135" s="68">
        <f t="shared" si="57"/>
        <v>7.1067154787813998</v>
      </c>
      <c r="AV135" s="68">
        <f t="shared" si="57"/>
        <v>6.8997237658071855</v>
      </c>
      <c r="AW135" s="68">
        <f t="shared" si="57"/>
        <v>6.6987609376768784</v>
      </c>
      <c r="AX135" s="68">
        <f t="shared" si="57"/>
        <v>6.5036513958027946</v>
      </c>
      <c r="AY135" s="68">
        <f t="shared" si="57"/>
        <v>6.3142246561192179</v>
      </c>
      <c r="AZ135" s="68">
        <f t="shared" si="57"/>
        <v>6.1303152001157466</v>
      </c>
      <c r="BA135" s="68">
        <f t="shared" si="57"/>
        <v>5.9517623302094629</v>
      </c>
      <c r="BB135" s="68">
        <f t="shared" si="57"/>
        <v>5.7784100293295753</v>
      </c>
      <c r="BC135" s="68">
        <f t="shared" si="57"/>
        <v>5.6101068245918198</v>
      </c>
      <c r="BD135" s="68">
        <f t="shared" si="57"/>
        <v>5.446705654943516</v>
      </c>
      <c r="BE135" s="68">
        <f t="shared" si="57"/>
        <v>5.2880637426636072</v>
      </c>
      <c r="BF135" s="68">
        <f t="shared" si="57"/>
        <v>5.1340424686054442</v>
      </c>
      <c r="BG135" s="68">
        <f t="shared" si="57"/>
        <v>4.9845072510732464</v>
      </c>
      <c r="BH135" s="125">
        <f t="shared" si="48"/>
        <v>133.93557647937666</v>
      </c>
    </row>
    <row r="136" spans="28:62">
      <c r="AB136" s="92">
        <f t="shared" si="31"/>
        <v>378000000</v>
      </c>
      <c r="AC136" s="15">
        <f t="shared" si="32"/>
        <v>18</v>
      </c>
      <c r="AD136" s="15">
        <v>18</v>
      </c>
      <c r="AE136" s="15" t="s">
        <v>314</v>
      </c>
      <c r="AF136" s="15">
        <f t="shared" si="27"/>
        <v>200</v>
      </c>
      <c r="AG136" s="15">
        <f t="shared" si="28"/>
        <v>100</v>
      </c>
      <c r="AH136" s="69">
        <f t="shared" si="33"/>
        <v>0.1</v>
      </c>
      <c r="AI136" s="14">
        <f t="shared" si="34"/>
        <v>0.04</v>
      </c>
      <c r="AJ136" s="78">
        <f t="shared" si="53"/>
        <v>0</v>
      </c>
      <c r="AK136" s="67">
        <f t="shared" si="36"/>
        <v>0.10400000000000001</v>
      </c>
      <c r="AL136" s="91">
        <f t="shared" si="37"/>
        <v>8.6363636363636367</v>
      </c>
      <c r="AM136" s="27"/>
      <c r="AN136" s="120">
        <f t="shared" si="29"/>
        <v>8.7403636363636359</v>
      </c>
      <c r="AO136" s="68">
        <f t="shared" ref="AO136:BG136" si="58">$AN$136/POWER(1+($B$10/100),AO117-2024)</f>
        <v>8.4857899382171222</v>
      </c>
      <c r="AP136" s="68">
        <f t="shared" si="58"/>
        <v>8.2386310079777889</v>
      </c>
      <c r="AQ136" s="68">
        <f t="shared" si="58"/>
        <v>7.9986708815318339</v>
      </c>
      <c r="AR136" s="68">
        <f t="shared" si="58"/>
        <v>7.7656998849823635</v>
      </c>
      <c r="AS136" s="68">
        <f t="shared" si="58"/>
        <v>7.5395144514391879</v>
      </c>
      <c r="AT136" s="68">
        <f t="shared" si="58"/>
        <v>7.3199169431448423</v>
      </c>
      <c r="AU136" s="68">
        <f t="shared" si="58"/>
        <v>7.1067154787813998</v>
      </c>
      <c r="AV136" s="68">
        <f t="shared" si="58"/>
        <v>6.8997237658071855</v>
      </c>
      <c r="AW136" s="68">
        <f t="shared" si="58"/>
        <v>6.6987609376768784</v>
      </c>
      <c r="AX136" s="68">
        <f t="shared" si="58"/>
        <v>6.5036513958027946</v>
      </c>
      <c r="AY136" s="68">
        <f t="shared" si="58"/>
        <v>6.3142246561192179</v>
      </c>
      <c r="AZ136" s="68">
        <f t="shared" si="58"/>
        <v>6.1303152001157466</v>
      </c>
      <c r="BA136" s="68">
        <f t="shared" si="58"/>
        <v>5.9517623302094629</v>
      </c>
      <c r="BB136" s="68">
        <f t="shared" si="58"/>
        <v>5.7784100293295753</v>
      </c>
      <c r="BC136" s="68">
        <f t="shared" si="58"/>
        <v>5.6101068245918198</v>
      </c>
      <c r="BD136" s="68">
        <f t="shared" si="58"/>
        <v>5.446705654943516</v>
      </c>
      <c r="BE136" s="68">
        <f t="shared" si="58"/>
        <v>5.2880637426636072</v>
      </c>
      <c r="BF136" s="68">
        <f t="shared" si="58"/>
        <v>5.1340424686054442</v>
      </c>
      <c r="BG136" s="68">
        <f t="shared" si="58"/>
        <v>4.9845072510732464</v>
      </c>
      <c r="BH136" s="125">
        <f t="shared" si="48"/>
        <v>133.93557647937666</v>
      </c>
    </row>
    <row r="137" spans="28:62" ht="14.4">
      <c r="AB137" s="92">
        <f t="shared" si="31"/>
        <v>399000000</v>
      </c>
      <c r="AC137" s="15">
        <f t="shared" si="32"/>
        <v>19</v>
      </c>
      <c r="AD137" s="15">
        <v>19</v>
      </c>
      <c r="AE137" s="15" t="s">
        <v>314</v>
      </c>
      <c r="AF137" s="15">
        <f t="shared" si="27"/>
        <v>200</v>
      </c>
      <c r="AG137" s="15">
        <f t="shared" si="28"/>
        <v>100</v>
      </c>
      <c r="AH137" s="69">
        <f t="shared" si="33"/>
        <v>0.1</v>
      </c>
      <c r="AI137" s="14">
        <f t="shared" si="34"/>
        <v>0.04</v>
      </c>
      <c r="AJ137" s="78">
        <f t="shared" si="53"/>
        <v>0</v>
      </c>
      <c r="AK137" s="67">
        <f t="shared" si="36"/>
        <v>0.10400000000000001</v>
      </c>
      <c r="AL137" s="91">
        <f t="shared" si="37"/>
        <v>8.6363636363636367</v>
      </c>
      <c r="AM137" s="27"/>
      <c r="AN137" s="120">
        <f t="shared" si="29"/>
        <v>8.7403636363636359</v>
      </c>
      <c r="AO137" s="68">
        <f t="shared" ref="AO137:BG137" si="59">$AN$137/POWER(1+($B$10/100),AO117-2024)</f>
        <v>8.4857899382171222</v>
      </c>
      <c r="AP137" s="68">
        <f t="shared" si="59"/>
        <v>8.2386310079777889</v>
      </c>
      <c r="AQ137" s="68">
        <f t="shared" si="59"/>
        <v>7.9986708815318339</v>
      </c>
      <c r="AR137" s="68">
        <f t="shared" si="59"/>
        <v>7.7656998849823635</v>
      </c>
      <c r="AS137" s="68">
        <f t="shared" si="59"/>
        <v>7.5395144514391879</v>
      </c>
      <c r="AT137" s="68">
        <f t="shared" si="59"/>
        <v>7.3199169431448423</v>
      </c>
      <c r="AU137" s="68">
        <f t="shared" si="59"/>
        <v>7.1067154787813998</v>
      </c>
      <c r="AV137" s="68">
        <f t="shared" si="59"/>
        <v>6.8997237658071855</v>
      </c>
      <c r="AW137" s="68">
        <f t="shared" si="59"/>
        <v>6.6987609376768784</v>
      </c>
      <c r="AX137" s="68">
        <f t="shared" si="59"/>
        <v>6.5036513958027946</v>
      </c>
      <c r="AY137" s="68">
        <f t="shared" si="59"/>
        <v>6.3142246561192179</v>
      </c>
      <c r="AZ137" s="68">
        <f t="shared" si="59"/>
        <v>6.1303152001157466</v>
      </c>
      <c r="BA137" s="68">
        <f t="shared" si="59"/>
        <v>5.9517623302094629</v>
      </c>
      <c r="BB137" s="68">
        <f t="shared" si="59"/>
        <v>5.7784100293295753</v>
      </c>
      <c r="BC137" s="68">
        <f t="shared" si="59"/>
        <v>5.6101068245918198</v>
      </c>
      <c r="BD137" s="68">
        <f t="shared" si="59"/>
        <v>5.446705654943516</v>
      </c>
      <c r="BE137" s="68">
        <f t="shared" si="59"/>
        <v>5.2880637426636072</v>
      </c>
      <c r="BF137" s="68">
        <f t="shared" si="59"/>
        <v>5.1340424686054442</v>
      </c>
      <c r="BG137" s="68">
        <f t="shared" si="59"/>
        <v>4.9845072510732464</v>
      </c>
      <c r="BH137" s="125">
        <f t="shared" si="48"/>
        <v>133.93557647937666</v>
      </c>
      <c r="BJ137"/>
    </row>
    <row r="138" spans="28:62" ht="14.4">
      <c r="AB138" s="92">
        <f t="shared" si="31"/>
        <v>420000000</v>
      </c>
      <c r="AC138" s="15">
        <f t="shared" si="32"/>
        <v>20</v>
      </c>
      <c r="AD138" s="15">
        <v>20</v>
      </c>
      <c r="AE138" s="15" t="s">
        <v>314</v>
      </c>
      <c r="AF138" s="15">
        <f t="shared" si="27"/>
        <v>200</v>
      </c>
      <c r="AG138" s="15">
        <f t="shared" si="28"/>
        <v>100</v>
      </c>
      <c r="AH138" s="69">
        <f t="shared" si="33"/>
        <v>0.1</v>
      </c>
      <c r="AI138" s="14">
        <f t="shared" si="34"/>
        <v>0.04</v>
      </c>
      <c r="AJ138" s="78">
        <f t="shared" si="53"/>
        <v>0</v>
      </c>
      <c r="AK138" s="67">
        <f t="shared" si="36"/>
        <v>0.10400000000000001</v>
      </c>
      <c r="AL138" s="91">
        <f t="shared" si="37"/>
        <v>8.6363636363636367</v>
      </c>
      <c r="AM138"/>
      <c r="AN138" s="120">
        <f t="shared" si="29"/>
        <v>8.7403636363636359</v>
      </c>
      <c r="AO138" s="68">
        <f t="shared" ref="AO138:AT147" si="60">$AN138/POWER(1+($B$10/100),AO$117-2024)</f>
        <v>8.4857899382171222</v>
      </c>
      <c r="AP138" s="68">
        <f t="shared" si="60"/>
        <v>8.2386310079777889</v>
      </c>
      <c r="AQ138" s="68">
        <f t="shared" si="60"/>
        <v>7.9986708815318339</v>
      </c>
      <c r="AR138" s="68">
        <f t="shared" si="60"/>
        <v>7.7656998849823635</v>
      </c>
      <c r="AS138" s="68">
        <f t="shared" si="60"/>
        <v>7.5395144514391879</v>
      </c>
      <c r="AT138" s="68">
        <f t="shared" si="60"/>
        <v>7.3199169431448423</v>
      </c>
      <c r="AU138" s="68">
        <f t="shared" ref="AU138:BG138" si="61">$AN$138/POWER(1+($B$10/100),AU117-2024)</f>
        <v>7.1067154787813998</v>
      </c>
      <c r="AV138" s="68">
        <f t="shared" si="61"/>
        <v>6.8997237658071855</v>
      </c>
      <c r="AW138" s="68">
        <f t="shared" si="61"/>
        <v>6.6987609376768784</v>
      </c>
      <c r="AX138" s="68">
        <f t="shared" si="61"/>
        <v>6.5036513958027946</v>
      </c>
      <c r="AY138" s="68">
        <f t="shared" si="61"/>
        <v>6.3142246561192179</v>
      </c>
      <c r="AZ138" s="68">
        <f t="shared" si="61"/>
        <v>6.1303152001157466</v>
      </c>
      <c r="BA138" s="68">
        <f t="shared" si="61"/>
        <v>5.9517623302094629</v>
      </c>
      <c r="BB138" s="68">
        <f t="shared" si="61"/>
        <v>5.7784100293295753</v>
      </c>
      <c r="BC138" s="68">
        <f t="shared" si="61"/>
        <v>5.6101068245918198</v>
      </c>
      <c r="BD138" s="68">
        <f t="shared" si="61"/>
        <v>5.446705654943516</v>
      </c>
      <c r="BE138" s="68">
        <f t="shared" si="61"/>
        <v>5.2880637426636072</v>
      </c>
      <c r="BF138" s="68">
        <f t="shared" si="61"/>
        <v>5.1340424686054442</v>
      </c>
      <c r="BG138" s="68">
        <f t="shared" si="61"/>
        <v>4.9845072510732464</v>
      </c>
      <c r="BH138" s="125">
        <f t="shared" si="48"/>
        <v>133.93557647937666</v>
      </c>
      <c r="BJ138"/>
    </row>
    <row r="139" spans="28:62" ht="14.4">
      <c r="AB139" s="92">
        <f t="shared" ref="AB139:AC139" si="62">AB83</f>
        <v>441000000</v>
      </c>
      <c r="AC139" s="15">
        <f t="shared" si="62"/>
        <v>21</v>
      </c>
      <c r="AD139" s="15">
        <v>21</v>
      </c>
      <c r="AE139" s="15" t="s">
        <v>314</v>
      </c>
      <c r="AF139" s="15">
        <f t="shared" ref="AF139:AF170" si="63">AF83*$B$3</f>
        <v>200</v>
      </c>
      <c r="AG139" s="15">
        <f t="shared" ref="AG139:AG170" si="64">AG83*$B$4</f>
        <v>100</v>
      </c>
      <c r="AH139" s="69">
        <f t="shared" ref="AH139:AH170" si="65">AH83*$B$5</f>
        <v>0.1</v>
      </c>
      <c r="AI139" s="14">
        <f t="shared" ref="AI139:AI170" si="66">AI83*$B$6</f>
        <v>0.04</v>
      </c>
      <c r="AJ139" s="78">
        <f t="shared" si="53"/>
        <v>0</v>
      </c>
      <c r="AK139" s="67">
        <f t="shared" ref="AK139:AK170" si="67">(AH83*$B$5)+(AI83*$B$6)*(AK83/100)</f>
        <v>0.10400000000000001</v>
      </c>
      <c r="AL139" s="91">
        <f t="shared" ref="AL139:AL170" si="68">AL83*$B$9</f>
        <v>8.6363636363636367</v>
      </c>
      <c r="AN139" s="120">
        <f t="shared" si="29"/>
        <v>8.7403636363636359</v>
      </c>
      <c r="AO139" s="68">
        <f t="shared" si="60"/>
        <v>8.4857899382171222</v>
      </c>
      <c r="AP139" s="68">
        <f t="shared" si="60"/>
        <v>8.2386310079777889</v>
      </c>
      <c r="AQ139" s="68">
        <f t="shared" si="60"/>
        <v>7.9986708815318339</v>
      </c>
      <c r="AR139" s="68">
        <f t="shared" si="60"/>
        <v>7.7656998849823635</v>
      </c>
      <c r="AS139" s="68">
        <f t="shared" si="60"/>
        <v>7.5395144514391879</v>
      </c>
      <c r="AT139" s="68">
        <f t="shared" si="60"/>
        <v>7.3199169431448423</v>
      </c>
      <c r="AU139" s="68">
        <f t="shared" ref="AU139:BG148" si="69">$AN139/POWER(1+($B$10/100),AU$117-2024)</f>
        <v>7.1067154787813998</v>
      </c>
      <c r="AV139" s="68">
        <f t="shared" si="69"/>
        <v>6.8997237658071855</v>
      </c>
      <c r="AW139" s="68">
        <f t="shared" si="69"/>
        <v>6.6987609376768784</v>
      </c>
      <c r="AX139" s="68">
        <f t="shared" si="69"/>
        <v>6.5036513958027946</v>
      </c>
      <c r="AY139" s="68">
        <f t="shared" si="69"/>
        <v>6.3142246561192179</v>
      </c>
      <c r="AZ139" s="68">
        <f t="shared" si="69"/>
        <v>6.1303152001157466</v>
      </c>
      <c r="BA139" s="68">
        <f t="shared" si="69"/>
        <v>5.9517623302094629</v>
      </c>
      <c r="BB139" s="68">
        <f t="shared" si="69"/>
        <v>5.7784100293295753</v>
      </c>
      <c r="BC139" s="68">
        <f t="shared" si="69"/>
        <v>5.6101068245918198</v>
      </c>
      <c r="BD139" s="68">
        <f t="shared" si="69"/>
        <v>5.446705654943516</v>
      </c>
      <c r="BE139" s="68">
        <f t="shared" si="69"/>
        <v>5.2880637426636072</v>
      </c>
      <c r="BF139" s="68">
        <f t="shared" si="69"/>
        <v>5.1340424686054442</v>
      </c>
      <c r="BG139" s="68">
        <f t="shared" si="69"/>
        <v>4.9845072510732464</v>
      </c>
      <c r="BH139" s="125">
        <f t="shared" si="48"/>
        <v>133.93557647937666</v>
      </c>
      <c r="BI139" s="37"/>
      <c r="BJ139"/>
    </row>
    <row r="140" spans="28:62" ht="14.4">
      <c r="AB140" s="92">
        <f t="shared" ref="AB140:AB159" si="70">AB25</f>
        <v>462000000</v>
      </c>
      <c r="AC140" s="15">
        <f t="shared" ref="AC140:AC170" si="71">AC84</f>
        <v>22</v>
      </c>
      <c r="AD140" s="15">
        <v>22</v>
      </c>
      <c r="AE140" s="15" t="s">
        <v>314</v>
      </c>
      <c r="AF140" s="15">
        <f t="shared" si="63"/>
        <v>200</v>
      </c>
      <c r="AG140" s="15">
        <f t="shared" si="64"/>
        <v>100</v>
      </c>
      <c r="AH140" s="69">
        <f t="shared" si="65"/>
        <v>0.1</v>
      </c>
      <c r="AI140" s="14">
        <f t="shared" si="66"/>
        <v>0.04</v>
      </c>
      <c r="AJ140" s="78">
        <f t="shared" si="53"/>
        <v>0</v>
      </c>
      <c r="AK140" s="67">
        <f t="shared" si="67"/>
        <v>0.10400000000000001</v>
      </c>
      <c r="AL140" s="91">
        <f t="shared" si="68"/>
        <v>8.6363636363636367</v>
      </c>
      <c r="AN140" s="120">
        <f>(AJ140+AK140+AL140)</f>
        <v>8.7403636363636359</v>
      </c>
      <c r="AO140" s="68">
        <f t="shared" si="60"/>
        <v>8.4857899382171222</v>
      </c>
      <c r="AP140" s="68">
        <f t="shared" si="60"/>
        <v>8.2386310079777889</v>
      </c>
      <c r="AQ140" s="68">
        <f t="shared" si="60"/>
        <v>7.9986708815318339</v>
      </c>
      <c r="AR140" s="68">
        <f t="shared" si="60"/>
        <v>7.7656998849823635</v>
      </c>
      <c r="AS140" s="68">
        <f t="shared" si="60"/>
        <v>7.5395144514391879</v>
      </c>
      <c r="AT140" s="68">
        <f t="shared" si="60"/>
        <v>7.3199169431448423</v>
      </c>
      <c r="AU140" s="68">
        <f t="shared" si="69"/>
        <v>7.1067154787813998</v>
      </c>
      <c r="AV140" s="68">
        <f t="shared" si="69"/>
        <v>6.8997237658071855</v>
      </c>
      <c r="AW140" s="68">
        <f t="shared" si="69"/>
        <v>6.6987609376768784</v>
      </c>
      <c r="AX140" s="68">
        <f t="shared" si="69"/>
        <v>6.5036513958027946</v>
      </c>
      <c r="AY140" s="68">
        <f t="shared" si="69"/>
        <v>6.3142246561192179</v>
      </c>
      <c r="AZ140" s="68">
        <f t="shared" si="69"/>
        <v>6.1303152001157466</v>
      </c>
      <c r="BA140" s="68">
        <f t="shared" si="69"/>
        <v>5.9517623302094629</v>
      </c>
      <c r="BB140" s="68">
        <f t="shared" si="69"/>
        <v>5.7784100293295753</v>
      </c>
      <c r="BC140" s="68">
        <f t="shared" si="69"/>
        <v>5.6101068245918198</v>
      </c>
      <c r="BD140" s="68">
        <f t="shared" si="69"/>
        <v>5.446705654943516</v>
      </c>
      <c r="BE140" s="68">
        <f t="shared" si="69"/>
        <v>5.2880637426636072</v>
      </c>
      <c r="BF140" s="68">
        <f t="shared" si="69"/>
        <v>5.1340424686054442</v>
      </c>
      <c r="BG140" s="68">
        <f t="shared" si="69"/>
        <v>4.9845072510732464</v>
      </c>
      <c r="BH140" s="125">
        <f t="shared" si="48"/>
        <v>133.93557647937666</v>
      </c>
      <c r="BI140" s="37"/>
      <c r="BJ140"/>
    </row>
    <row r="141" spans="28:62" ht="14.4">
      <c r="AB141" s="92">
        <f t="shared" si="70"/>
        <v>483000000</v>
      </c>
      <c r="AC141" s="15">
        <f t="shared" si="71"/>
        <v>23</v>
      </c>
      <c r="AD141" s="15">
        <v>23</v>
      </c>
      <c r="AE141" s="15" t="s">
        <v>314</v>
      </c>
      <c r="AF141" s="15">
        <f t="shared" si="63"/>
        <v>200</v>
      </c>
      <c r="AG141" s="15">
        <f t="shared" si="64"/>
        <v>100</v>
      </c>
      <c r="AH141" s="69">
        <f t="shared" si="65"/>
        <v>0.1</v>
      </c>
      <c r="AI141" s="14">
        <f t="shared" si="66"/>
        <v>0.04</v>
      </c>
      <c r="AJ141" s="78">
        <f t="shared" si="53"/>
        <v>0</v>
      </c>
      <c r="AK141" s="67">
        <f t="shared" si="67"/>
        <v>0.10400000000000001</v>
      </c>
      <c r="AL141" s="91">
        <f t="shared" si="68"/>
        <v>8.6363636363636367</v>
      </c>
      <c r="AN141" s="120">
        <f>(AJ141+AK141+AL141)</f>
        <v>8.7403636363636359</v>
      </c>
      <c r="AO141" s="68">
        <f t="shared" si="60"/>
        <v>8.4857899382171222</v>
      </c>
      <c r="AP141" s="68">
        <f t="shared" si="60"/>
        <v>8.2386310079777889</v>
      </c>
      <c r="AQ141" s="68">
        <f t="shared" si="60"/>
        <v>7.9986708815318339</v>
      </c>
      <c r="AR141" s="68">
        <f t="shared" si="60"/>
        <v>7.7656998849823635</v>
      </c>
      <c r="AS141" s="68">
        <f t="shared" si="60"/>
        <v>7.5395144514391879</v>
      </c>
      <c r="AT141" s="68">
        <f t="shared" si="60"/>
        <v>7.3199169431448423</v>
      </c>
      <c r="AU141" s="68">
        <f t="shared" si="69"/>
        <v>7.1067154787813998</v>
      </c>
      <c r="AV141" s="68">
        <f t="shared" si="69"/>
        <v>6.8997237658071855</v>
      </c>
      <c r="AW141" s="68">
        <f t="shared" si="69"/>
        <v>6.6987609376768784</v>
      </c>
      <c r="AX141" s="68">
        <f t="shared" si="69"/>
        <v>6.5036513958027946</v>
      </c>
      <c r="AY141" s="68">
        <f t="shared" si="69"/>
        <v>6.3142246561192179</v>
      </c>
      <c r="AZ141" s="68">
        <f t="shared" si="69"/>
        <v>6.1303152001157466</v>
      </c>
      <c r="BA141" s="68">
        <f t="shared" si="69"/>
        <v>5.9517623302094629</v>
      </c>
      <c r="BB141" s="68">
        <f t="shared" si="69"/>
        <v>5.7784100293295753</v>
      </c>
      <c r="BC141" s="68">
        <f t="shared" si="69"/>
        <v>5.6101068245918198</v>
      </c>
      <c r="BD141" s="68">
        <f t="shared" si="69"/>
        <v>5.446705654943516</v>
      </c>
      <c r="BE141" s="68">
        <f t="shared" si="69"/>
        <v>5.2880637426636072</v>
      </c>
      <c r="BF141" s="68">
        <f t="shared" si="69"/>
        <v>5.1340424686054442</v>
      </c>
      <c r="BG141" s="68">
        <f t="shared" si="69"/>
        <v>4.9845072510732464</v>
      </c>
      <c r="BH141" s="125">
        <f t="shared" si="48"/>
        <v>133.93557647937666</v>
      </c>
      <c r="BI141" s="37"/>
      <c r="BJ141"/>
    </row>
    <row r="142" spans="28:62" ht="14.4">
      <c r="AB142" s="92">
        <f t="shared" si="70"/>
        <v>504000000</v>
      </c>
      <c r="AC142" s="15">
        <f t="shared" si="71"/>
        <v>24</v>
      </c>
      <c r="AD142" s="15">
        <v>24</v>
      </c>
      <c r="AE142" s="15" t="s">
        <v>314</v>
      </c>
      <c r="AF142" s="15">
        <f t="shared" si="63"/>
        <v>200</v>
      </c>
      <c r="AG142" s="15">
        <f t="shared" si="64"/>
        <v>100</v>
      </c>
      <c r="AH142" s="69">
        <f t="shared" si="65"/>
        <v>0.1</v>
      </c>
      <c r="AI142" s="14">
        <f t="shared" si="66"/>
        <v>0.04</v>
      </c>
      <c r="AJ142" s="78">
        <f t="shared" si="53"/>
        <v>0</v>
      </c>
      <c r="AK142" s="67">
        <f t="shared" si="67"/>
        <v>0.10400000000000001</v>
      </c>
      <c r="AL142" s="91">
        <f t="shared" si="68"/>
        <v>8.6363636363636367</v>
      </c>
      <c r="AN142" s="120">
        <f>(AJ142+AK142+AL142)</f>
        <v>8.7403636363636359</v>
      </c>
      <c r="AO142" s="68">
        <f t="shared" si="60"/>
        <v>8.4857899382171222</v>
      </c>
      <c r="AP142" s="68">
        <f t="shared" si="60"/>
        <v>8.2386310079777889</v>
      </c>
      <c r="AQ142" s="68">
        <f t="shared" si="60"/>
        <v>7.9986708815318339</v>
      </c>
      <c r="AR142" s="68">
        <f t="shared" si="60"/>
        <v>7.7656998849823635</v>
      </c>
      <c r="AS142" s="68">
        <f t="shared" si="60"/>
        <v>7.5395144514391879</v>
      </c>
      <c r="AT142" s="68">
        <f t="shared" si="60"/>
        <v>7.3199169431448423</v>
      </c>
      <c r="AU142" s="68">
        <f t="shared" si="69"/>
        <v>7.1067154787813998</v>
      </c>
      <c r="AV142" s="68">
        <f t="shared" si="69"/>
        <v>6.8997237658071855</v>
      </c>
      <c r="AW142" s="68">
        <f t="shared" si="69"/>
        <v>6.6987609376768784</v>
      </c>
      <c r="AX142" s="68">
        <f t="shared" si="69"/>
        <v>6.5036513958027946</v>
      </c>
      <c r="AY142" s="68">
        <f t="shared" si="69"/>
        <v>6.3142246561192179</v>
      </c>
      <c r="AZ142" s="68">
        <f t="shared" si="69"/>
        <v>6.1303152001157466</v>
      </c>
      <c r="BA142" s="68">
        <f t="shared" si="69"/>
        <v>5.9517623302094629</v>
      </c>
      <c r="BB142" s="68">
        <f t="shared" si="69"/>
        <v>5.7784100293295753</v>
      </c>
      <c r="BC142" s="68">
        <f t="shared" si="69"/>
        <v>5.6101068245918198</v>
      </c>
      <c r="BD142" s="68">
        <f t="shared" si="69"/>
        <v>5.446705654943516</v>
      </c>
      <c r="BE142" s="68">
        <f t="shared" si="69"/>
        <v>5.2880637426636072</v>
      </c>
      <c r="BF142" s="68">
        <f t="shared" si="69"/>
        <v>5.1340424686054442</v>
      </c>
      <c r="BG142" s="68">
        <f t="shared" si="69"/>
        <v>4.9845072510732464</v>
      </c>
      <c r="BH142" s="125">
        <f t="shared" si="48"/>
        <v>133.93557647937666</v>
      </c>
      <c r="BI142" s="37"/>
      <c r="BJ142"/>
    </row>
    <row r="143" spans="28:62" ht="14.4">
      <c r="AB143" s="92">
        <f t="shared" si="70"/>
        <v>525000000</v>
      </c>
      <c r="AC143" s="15">
        <f t="shared" si="71"/>
        <v>25</v>
      </c>
      <c r="AD143" s="15">
        <v>25</v>
      </c>
      <c r="AE143" s="15" t="s">
        <v>314</v>
      </c>
      <c r="AF143" s="15">
        <f t="shared" si="63"/>
        <v>200</v>
      </c>
      <c r="AG143" s="15">
        <f t="shared" si="64"/>
        <v>100</v>
      </c>
      <c r="AH143" s="69">
        <f t="shared" si="65"/>
        <v>0.1</v>
      </c>
      <c r="AI143" s="14">
        <f t="shared" si="66"/>
        <v>0.04</v>
      </c>
      <c r="AJ143" s="78">
        <f t="shared" si="53"/>
        <v>0</v>
      </c>
      <c r="AK143" s="67">
        <f t="shared" si="67"/>
        <v>0.10400000000000001</v>
      </c>
      <c r="AL143" s="91">
        <f t="shared" si="68"/>
        <v>8.6363636363636367</v>
      </c>
      <c r="AN143" s="120">
        <f t="shared" si="29"/>
        <v>8.7403636363636359</v>
      </c>
      <c r="AO143" s="68">
        <f t="shared" si="60"/>
        <v>8.4857899382171222</v>
      </c>
      <c r="AP143" s="68">
        <f t="shared" si="60"/>
        <v>8.2386310079777889</v>
      </c>
      <c r="AQ143" s="68">
        <f t="shared" si="60"/>
        <v>7.9986708815318339</v>
      </c>
      <c r="AR143" s="68">
        <f t="shared" si="60"/>
        <v>7.7656998849823635</v>
      </c>
      <c r="AS143" s="68">
        <f t="shared" si="60"/>
        <v>7.5395144514391879</v>
      </c>
      <c r="AT143" s="68">
        <f t="shared" si="60"/>
        <v>7.3199169431448423</v>
      </c>
      <c r="AU143" s="68">
        <f t="shared" si="69"/>
        <v>7.1067154787813998</v>
      </c>
      <c r="AV143" s="68">
        <f t="shared" si="69"/>
        <v>6.8997237658071855</v>
      </c>
      <c r="AW143" s="68">
        <f t="shared" si="69"/>
        <v>6.6987609376768784</v>
      </c>
      <c r="AX143" s="68">
        <f t="shared" si="69"/>
        <v>6.5036513958027946</v>
      </c>
      <c r="AY143" s="68">
        <f t="shared" si="69"/>
        <v>6.3142246561192179</v>
      </c>
      <c r="AZ143" s="68">
        <f t="shared" si="69"/>
        <v>6.1303152001157466</v>
      </c>
      <c r="BA143" s="68">
        <f t="shared" si="69"/>
        <v>5.9517623302094629</v>
      </c>
      <c r="BB143" s="68">
        <f t="shared" si="69"/>
        <v>5.7784100293295753</v>
      </c>
      <c r="BC143" s="68">
        <f t="shared" si="69"/>
        <v>5.6101068245918198</v>
      </c>
      <c r="BD143" s="68">
        <f t="shared" si="69"/>
        <v>5.446705654943516</v>
      </c>
      <c r="BE143" s="68">
        <f t="shared" si="69"/>
        <v>5.2880637426636072</v>
      </c>
      <c r="BF143" s="68">
        <f t="shared" si="69"/>
        <v>5.1340424686054442</v>
      </c>
      <c r="BG143" s="68">
        <f t="shared" si="69"/>
        <v>4.9845072510732464</v>
      </c>
      <c r="BH143" s="125">
        <f t="shared" si="48"/>
        <v>133.93557647937666</v>
      </c>
      <c r="BI143" s="37"/>
      <c r="BJ143" s="37"/>
    </row>
    <row r="144" spans="28:62" ht="14.4">
      <c r="AB144" s="92">
        <f t="shared" si="70"/>
        <v>546000000</v>
      </c>
      <c r="AC144" s="15">
        <f t="shared" si="71"/>
        <v>26</v>
      </c>
      <c r="AD144" s="15">
        <v>26</v>
      </c>
      <c r="AE144" s="15" t="s">
        <v>314</v>
      </c>
      <c r="AF144" s="15">
        <f t="shared" si="63"/>
        <v>200</v>
      </c>
      <c r="AG144" s="15">
        <f t="shared" si="64"/>
        <v>100</v>
      </c>
      <c r="AH144" s="69">
        <f t="shared" si="65"/>
        <v>0.1</v>
      </c>
      <c r="AI144" s="14">
        <f t="shared" si="66"/>
        <v>0.04</v>
      </c>
      <c r="AJ144" s="78">
        <f t="shared" si="53"/>
        <v>0</v>
      </c>
      <c r="AK144" s="67">
        <f t="shared" si="67"/>
        <v>0.10400000000000001</v>
      </c>
      <c r="AL144" s="91">
        <f t="shared" si="68"/>
        <v>8.6363636363636367</v>
      </c>
      <c r="AN144" s="120">
        <f t="shared" si="29"/>
        <v>8.7403636363636359</v>
      </c>
      <c r="AO144" s="68">
        <f t="shared" si="60"/>
        <v>8.4857899382171222</v>
      </c>
      <c r="AP144" s="68">
        <f t="shared" si="60"/>
        <v>8.2386310079777889</v>
      </c>
      <c r="AQ144" s="68">
        <f t="shared" si="60"/>
        <v>7.9986708815318339</v>
      </c>
      <c r="AR144" s="68">
        <f t="shared" si="60"/>
        <v>7.7656998849823635</v>
      </c>
      <c r="AS144" s="68">
        <f t="shared" si="60"/>
        <v>7.5395144514391879</v>
      </c>
      <c r="AT144" s="68">
        <f t="shared" si="60"/>
        <v>7.3199169431448423</v>
      </c>
      <c r="AU144" s="68">
        <f t="shared" si="69"/>
        <v>7.1067154787813998</v>
      </c>
      <c r="AV144" s="68">
        <f t="shared" si="69"/>
        <v>6.8997237658071855</v>
      </c>
      <c r="AW144" s="68">
        <f t="shared" si="69"/>
        <v>6.6987609376768784</v>
      </c>
      <c r="AX144" s="68">
        <f t="shared" si="69"/>
        <v>6.5036513958027946</v>
      </c>
      <c r="AY144" s="68">
        <f t="shared" si="69"/>
        <v>6.3142246561192179</v>
      </c>
      <c r="AZ144" s="68">
        <f t="shared" si="69"/>
        <v>6.1303152001157466</v>
      </c>
      <c r="BA144" s="68">
        <f t="shared" si="69"/>
        <v>5.9517623302094629</v>
      </c>
      <c r="BB144" s="68">
        <f t="shared" si="69"/>
        <v>5.7784100293295753</v>
      </c>
      <c r="BC144" s="68">
        <f t="shared" si="69"/>
        <v>5.6101068245918198</v>
      </c>
      <c r="BD144" s="68">
        <f t="shared" si="69"/>
        <v>5.446705654943516</v>
      </c>
      <c r="BE144" s="68">
        <f t="shared" si="69"/>
        <v>5.2880637426636072</v>
      </c>
      <c r="BF144" s="68">
        <f t="shared" si="69"/>
        <v>5.1340424686054442</v>
      </c>
      <c r="BG144" s="68">
        <f t="shared" si="69"/>
        <v>4.9845072510732464</v>
      </c>
      <c r="BH144" s="125">
        <f t="shared" si="48"/>
        <v>133.93557647937666</v>
      </c>
      <c r="BI144" s="37"/>
      <c r="BJ144" s="37"/>
    </row>
    <row r="145" spans="28:62" ht="14.4">
      <c r="AB145" s="92">
        <f t="shared" si="70"/>
        <v>567000000</v>
      </c>
      <c r="AC145" s="15">
        <f t="shared" si="71"/>
        <v>27</v>
      </c>
      <c r="AD145" s="15">
        <v>27</v>
      </c>
      <c r="AE145" s="15" t="s">
        <v>314</v>
      </c>
      <c r="AF145" s="15">
        <f t="shared" si="63"/>
        <v>200</v>
      </c>
      <c r="AG145" s="15">
        <f t="shared" si="64"/>
        <v>100</v>
      </c>
      <c r="AH145" s="69">
        <f t="shared" si="65"/>
        <v>0.1</v>
      </c>
      <c r="AI145" s="14">
        <f t="shared" si="66"/>
        <v>0.04</v>
      </c>
      <c r="AJ145" s="78">
        <f t="shared" si="53"/>
        <v>0</v>
      </c>
      <c r="AK145" s="67">
        <f t="shared" si="67"/>
        <v>0.10400000000000001</v>
      </c>
      <c r="AL145" s="91">
        <f t="shared" si="68"/>
        <v>8.6363636363636367</v>
      </c>
      <c r="AN145" s="120">
        <f t="shared" si="29"/>
        <v>8.7403636363636359</v>
      </c>
      <c r="AO145" s="68">
        <f t="shared" si="60"/>
        <v>8.4857899382171222</v>
      </c>
      <c r="AP145" s="68">
        <f t="shared" si="60"/>
        <v>8.2386310079777889</v>
      </c>
      <c r="AQ145" s="68">
        <f t="shared" si="60"/>
        <v>7.9986708815318339</v>
      </c>
      <c r="AR145" s="68">
        <f t="shared" si="60"/>
        <v>7.7656998849823635</v>
      </c>
      <c r="AS145" s="68">
        <f t="shared" si="60"/>
        <v>7.5395144514391879</v>
      </c>
      <c r="AT145" s="68">
        <f t="shared" si="60"/>
        <v>7.3199169431448423</v>
      </c>
      <c r="AU145" s="68">
        <f t="shared" si="69"/>
        <v>7.1067154787813998</v>
      </c>
      <c r="AV145" s="68">
        <f t="shared" si="69"/>
        <v>6.8997237658071855</v>
      </c>
      <c r="AW145" s="68">
        <f t="shared" si="69"/>
        <v>6.6987609376768784</v>
      </c>
      <c r="AX145" s="68">
        <f t="shared" si="69"/>
        <v>6.5036513958027946</v>
      </c>
      <c r="AY145" s="68">
        <f t="shared" si="69"/>
        <v>6.3142246561192179</v>
      </c>
      <c r="AZ145" s="68">
        <f t="shared" si="69"/>
        <v>6.1303152001157466</v>
      </c>
      <c r="BA145" s="68">
        <f t="shared" si="69"/>
        <v>5.9517623302094629</v>
      </c>
      <c r="BB145" s="68">
        <f t="shared" si="69"/>
        <v>5.7784100293295753</v>
      </c>
      <c r="BC145" s="68">
        <f t="shared" si="69"/>
        <v>5.6101068245918198</v>
      </c>
      <c r="BD145" s="68">
        <f t="shared" si="69"/>
        <v>5.446705654943516</v>
      </c>
      <c r="BE145" s="68">
        <f t="shared" si="69"/>
        <v>5.2880637426636072</v>
      </c>
      <c r="BF145" s="68">
        <f t="shared" si="69"/>
        <v>5.1340424686054442</v>
      </c>
      <c r="BG145" s="68">
        <f t="shared" si="69"/>
        <v>4.9845072510732464</v>
      </c>
      <c r="BH145" s="125">
        <f t="shared" si="48"/>
        <v>133.93557647937666</v>
      </c>
      <c r="BI145" s="37"/>
      <c r="BJ145" s="37"/>
    </row>
    <row r="146" spans="28:62" ht="14.4">
      <c r="AB146" s="92">
        <f t="shared" si="70"/>
        <v>588000000</v>
      </c>
      <c r="AC146" s="15">
        <f t="shared" si="71"/>
        <v>28</v>
      </c>
      <c r="AD146" s="15">
        <v>28</v>
      </c>
      <c r="AE146" s="15" t="s">
        <v>314</v>
      </c>
      <c r="AF146" s="15">
        <f t="shared" si="63"/>
        <v>200</v>
      </c>
      <c r="AG146" s="15">
        <f t="shared" si="64"/>
        <v>100</v>
      </c>
      <c r="AH146" s="69">
        <f t="shared" si="65"/>
        <v>0.1</v>
      </c>
      <c r="AI146" s="14">
        <f t="shared" si="66"/>
        <v>0.04</v>
      </c>
      <c r="AJ146" s="78">
        <f t="shared" si="53"/>
        <v>0</v>
      </c>
      <c r="AK146" s="67">
        <f t="shared" si="67"/>
        <v>0.10400000000000001</v>
      </c>
      <c r="AL146" s="91">
        <f t="shared" si="68"/>
        <v>8.6363636363636367</v>
      </c>
      <c r="AN146" s="120">
        <f t="shared" si="29"/>
        <v>8.7403636363636359</v>
      </c>
      <c r="AO146" s="68">
        <f t="shared" si="60"/>
        <v>8.4857899382171222</v>
      </c>
      <c r="AP146" s="68">
        <f t="shared" si="60"/>
        <v>8.2386310079777889</v>
      </c>
      <c r="AQ146" s="68">
        <f t="shared" si="60"/>
        <v>7.9986708815318339</v>
      </c>
      <c r="AR146" s="68">
        <f t="shared" si="60"/>
        <v>7.7656998849823635</v>
      </c>
      <c r="AS146" s="68">
        <f t="shared" si="60"/>
        <v>7.5395144514391879</v>
      </c>
      <c r="AT146" s="68">
        <f t="shared" si="60"/>
        <v>7.3199169431448423</v>
      </c>
      <c r="AU146" s="68">
        <f t="shared" si="69"/>
        <v>7.1067154787813998</v>
      </c>
      <c r="AV146" s="68">
        <f t="shared" si="69"/>
        <v>6.8997237658071855</v>
      </c>
      <c r="AW146" s="68">
        <f t="shared" si="69"/>
        <v>6.6987609376768784</v>
      </c>
      <c r="AX146" s="68">
        <f t="shared" si="69"/>
        <v>6.5036513958027946</v>
      </c>
      <c r="AY146" s="68">
        <f t="shared" si="69"/>
        <v>6.3142246561192179</v>
      </c>
      <c r="AZ146" s="68">
        <f t="shared" si="69"/>
        <v>6.1303152001157466</v>
      </c>
      <c r="BA146" s="68">
        <f t="shared" si="69"/>
        <v>5.9517623302094629</v>
      </c>
      <c r="BB146" s="68">
        <f t="shared" si="69"/>
        <v>5.7784100293295753</v>
      </c>
      <c r="BC146" s="68">
        <f t="shared" si="69"/>
        <v>5.6101068245918198</v>
      </c>
      <c r="BD146" s="68">
        <f t="shared" si="69"/>
        <v>5.446705654943516</v>
      </c>
      <c r="BE146" s="68">
        <f t="shared" si="69"/>
        <v>5.2880637426636072</v>
      </c>
      <c r="BF146" s="68">
        <f t="shared" si="69"/>
        <v>5.1340424686054442</v>
      </c>
      <c r="BG146" s="68">
        <f t="shared" si="69"/>
        <v>4.9845072510732464</v>
      </c>
      <c r="BH146" s="125">
        <f t="shared" si="48"/>
        <v>133.93557647937666</v>
      </c>
      <c r="BI146" s="37"/>
      <c r="BJ146" s="37"/>
    </row>
    <row r="147" spans="28:62" ht="14.4">
      <c r="AB147" s="92">
        <f t="shared" si="70"/>
        <v>609000000</v>
      </c>
      <c r="AC147" s="15">
        <f t="shared" si="71"/>
        <v>29</v>
      </c>
      <c r="AD147" s="15">
        <v>29</v>
      </c>
      <c r="AE147" s="15" t="s">
        <v>314</v>
      </c>
      <c r="AF147" s="15">
        <f t="shared" si="63"/>
        <v>200</v>
      </c>
      <c r="AG147" s="15">
        <f t="shared" si="64"/>
        <v>100</v>
      </c>
      <c r="AH147" s="69">
        <f t="shared" si="65"/>
        <v>0.1</v>
      </c>
      <c r="AI147" s="14">
        <f t="shared" si="66"/>
        <v>0.04</v>
      </c>
      <c r="AJ147" s="78">
        <f t="shared" si="53"/>
        <v>0</v>
      </c>
      <c r="AK147" s="67">
        <f t="shared" si="67"/>
        <v>0.10400000000000001</v>
      </c>
      <c r="AL147" s="91">
        <f t="shared" si="68"/>
        <v>8.6363636363636367</v>
      </c>
      <c r="AN147" s="120">
        <f t="shared" si="29"/>
        <v>8.7403636363636359</v>
      </c>
      <c r="AO147" s="68">
        <f t="shared" si="60"/>
        <v>8.4857899382171222</v>
      </c>
      <c r="AP147" s="68">
        <f t="shared" si="60"/>
        <v>8.2386310079777889</v>
      </c>
      <c r="AQ147" s="68">
        <f t="shared" si="60"/>
        <v>7.9986708815318339</v>
      </c>
      <c r="AR147" s="68">
        <f t="shared" si="60"/>
        <v>7.7656998849823635</v>
      </c>
      <c r="AS147" s="68">
        <f t="shared" si="60"/>
        <v>7.5395144514391879</v>
      </c>
      <c r="AT147" s="68">
        <f t="shared" si="60"/>
        <v>7.3199169431448423</v>
      </c>
      <c r="AU147" s="68">
        <f t="shared" si="69"/>
        <v>7.1067154787813998</v>
      </c>
      <c r="AV147" s="68">
        <f t="shared" si="69"/>
        <v>6.8997237658071855</v>
      </c>
      <c r="AW147" s="68">
        <f t="shared" si="69"/>
        <v>6.6987609376768784</v>
      </c>
      <c r="AX147" s="68">
        <f t="shared" si="69"/>
        <v>6.5036513958027946</v>
      </c>
      <c r="AY147" s="68">
        <f t="shared" si="69"/>
        <v>6.3142246561192179</v>
      </c>
      <c r="AZ147" s="68">
        <f t="shared" si="69"/>
        <v>6.1303152001157466</v>
      </c>
      <c r="BA147" s="68">
        <f t="shared" si="69"/>
        <v>5.9517623302094629</v>
      </c>
      <c r="BB147" s="68">
        <f t="shared" si="69"/>
        <v>5.7784100293295753</v>
      </c>
      <c r="BC147" s="68">
        <f t="shared" si="69"/>
        <v>5.6101068245918198</v>
      </c>
      <c r="BD147" s="68">
        <f t="shared" si="69"/>
        <v>5.446705654943516</v>
      </c>
      <c r="BE147" s="68">
        <f t="shared" si="69"/>
        <v>5.2880637426636072</v>
      </c>
      <c r="BF147" s="68">
        <f t="shared" si="69"/>
        <v>5.1340424686054442</v>
      </c>
      <c r="BG147" s="68">
        <f t="shared" si="69"/>
        <v>4.9845072510732464</v>
      </c>
      <c r="BH147" s="125">
        <f t="shared" si="48"/>
        <v>133.93557647937666</v>
      </c>
      <c r="BI147" s="37"/>
      <c r="BJ147" s="37"/>
    </row>
    <row r="148" spans="28:62" ht="14.4">
      <c r="AB148" s="92">
        <f t="shared" si="70"/>
        <v>630000000</v>
      </c>
      <c r="AC148" s="15">
        <f t="shared" si="71"/>
        <v>30</v>
      </c>
      <c r="AD148" s="15">
        <v>30</v>
      </c>
      <c r="AE148" s="15" t="s">
        <v>314</v>
      </c>
      <c r="AF148" s="15">
        <f t="shared" si="63"/>
        <v>200</v>
      </c>
      <c r="AG148" s="15">
        <f t="shared" si="64"/>
        <v>100</v>
      </c>
      <c r="AH148" s="69">
        <f t="shared" si="65"/>
        <v>0.1</v>
      </c>
      <c r="AI148" s="14">
        <f t="shared" si="66"/>
        <v>0.04</v>
      </c>
      <c r="AJ148" s="78">
        <f t="shared" si="53"/>
        <v>0</v>
      </c>
      <c r="AK148" s="67">
        <f t="shared" si="67"/>
        <v>0.10400000000000001</v>
      </c>
      <c r="AL148" s="91">
        <f t="shared" si="68"/>
        <v>8.6363636363636367</v>
      </c>
      <c r="AN148" s="120">
        <f t="shared" si="29"/>
        <v>8.7403636363636359</v>
      </c>
      <c r="AO148" s="68">
        <f t="shared" ref="AO148:AT157" si="72">$AN148/POWER(1+($B$10/100),AO$117-2024)</f>
        <v>8.4857899382171222</v>
      </c>
      <c r="AP148" s="68">
        <f t="shared" si="72"/>
        <v>8.2386310079777889</v>
      </c>
      <c r="AQ148" s="68">
        <f t="shared" si="72"/>
        <v>7.9986708815318339</v>
      </c>
      <c r="AR148" s="68">
        <f t="shared" si="72"/>
        <v>7.7656998849823635</v>
      </c>
      <c r="AS148" s="68">
        <f t="shared" si="72"/>
        <v>7.5395144514391879</v>
      </c>
      <c r="AT148" s="68">
        <f t="shared" si="72"/>
        <v>7.3199169431448423</v>
      </c>
      <c r="AU148" s="68">
        <f t="shared" si="69"/>
        <v>7.1067154787813998</v>
      </c>
      <c r="AV148" s="68">
        <f t="shared" si="69"/>
        <v>6.8997237658071855</v>
      </c>
      <c r="AW148" s="68">
        <f t="shared" si="69"/>
        <v>6.6987609376768784</v>
      </c>
      <c r="AX148" s="68">
        <f t="shared" si="69"/>
        <v>6.5036513958027946</v>
      </c>
      <c r="AY148" s="68">
        <f t="shared" si="69"/>
        <v>6.3142246561192179</v>
      </c>
      <c r="AZ148" s="68">
        <f t="shared" si="69"/>
        <v>6.1303152001157466</v>
      </c>
      <c r="BA148" s="68">
        <f t="shared" si="69"/>
        <v>5.9517623302094629</v>
      </c>
      <c r="BB148" s="68">
        <f t="shared" si="69"/>
        <v>5.7784100293295753</v>
      </c>
      <c r="BC148" s="68">
        <f t="shared" si="69"/>
        <v>5.6101068245918198</v>
      </c>
      <c r="BD148" s="68">
        <f t="shared" si="69"/>
        <v>5.446705654943516</v>
      </c>
      <c r="BE148" s="68">
        <f t="shared" si="69"/>
        <v>5.2880637426636072</v>
      </c>
      <c r="BF148" s="68">
        <f t="shared" si="69"/>
        <v>5.1340424686054442</v>
      </c>
      <c r="BG148" s="68">
        <f t="shared" si="69"/>
        <v>4.9845072510732464</v>
      </c>
      <c r="BH148" s="125">
        <f t="shared" si="48"/>
        <v>133.93557647937666</v>
      </c>
      <c r="BI148" s="37"/>
      <c r="BJ148" s="37"/>
    </row>
    <row r="149" spans="28:62" ht="14.4">
      <c r="AB149" s="92">
        <f t="shared" si="70"/>
        <v>651000000</v>
      </c>
      <c r="AC149" s="15">
        <f t="shared" si="71"/>
        <v>31</v>
      </c>
      <c r="AD149" s="15">
        <v>31</v>
      </c>
      <c r="AE149" s="15" t="s">
        <v>314</v>
      </c>
      <c r="AF149" s="15">
        <f t="shared" si="63"/>
        <v>200</v>
      </c>
      <c r="AG149" s="15">
        <f t="shared" si="64"/>
        <v>100</v>
      </c>
      <c r="AH149" s="69">
        <f t="shared" si="65"/>
        <v>0.1</v>
      </c>
      <c r="AI149" s="14">
        <f t="shared" si="66"/>
        <v>0.04</v>
      </c>
      <c r="AJ149" s="78">
        <f t="shared" si="53"/>
        <v>0</v>
      </c>
      <c r="AK149" s="67">
        <f t="shared" si="67"/>
        <v>0.10400000000000001</v>
      </c>
      <c r="AL149" s="91">
        <f t="shared" si="68"/>
        <v>8.6363636363636367</v>
      </c>
      <c r="AN149" s="120">
        <f t="shared" si="29"/>
        <v>8.7403636363636359</v>
      </c>
      <c r="AO149" s="68">
        <f t="shared" si="72"/>
        <v>8.4857899382171222</v>
      </c>
      <c r="AP149" s="68">
        <f t="shared" si="72"/>
        <v>8.2386310079777889</v>
      </c>
      <c r="AQ149" s="68">
        <f t="shared" si="72"/>
        <v>7.9986708815318339</v>
      </c>
      <c r="AR149" s="68">
        <f t="shared" si="72"/>
        <v>7.7656998849823635</v>
      </c>
      <c r="AS149" s="68">
        <f t="shared" si="72"/>
        <v>7.5395144514391879</v>
      </c>
      <c r="AT149" s="68">
        <f t="shared" si="72"/>
        <v>7.3199169431448423</v>
      </c>
      <c r="AU149" s="68">
        <f t="shared" ref="AU149:BG158" si="73">$AN149/POWER(1+($B$10/100),AU$117-2024)</f>
        <v>7.1067154787813998</v>
      </c>
      <c r="AV149" s="68">
        <f t="shared" si="73"/>
        <v>6.8997237658071855</v>
      </c>
      <c r="AW149" s="68">
        <f t="shared" si="73"/>
        <v>6.6987609376768784</v>
      </c>
      <c r="AX149" s="68">
        <f t="shared" si="73"/>
        <v>6.5036513958027946</v>
      </c>
      <c r="AY149" s="68">
        <f t="shared" si="73"/>
        <v>6.3142246561192179</v>
      </c>
      <c r="AZ149" s="68">
        <f t="shared" si="73"/>
        <v>6.1303152001157466</v>
      </c>
      <c r="BA149" s="68">
        <f t="shared" si="73"/>
        <v>5.9517623302094629</v>
      </c>
      <c r="BB149" s="68">
        <f t="shared" si="73"/>
        <v>5.7784100293295753</v>
      </c>
      <c r="BC149" s="68">
        <f t="shared" si="73"/>
        <v>5.6101068245918198</v>
      </c>
      <c r="BD149" s="68">
        <f t="shared" si="73"/>
        <v>5.446705654943516</v>
      </c>
      <c r="BE149" s="68">
        <f t="shared" si="73"/>
        <v>5.2880637426636072</v>
      </c>
      <c r="BF149" s="68">
        <f t="shared" si="73"/>
        <v>5.1340424686054442</v>
      </c>
      <c r="BG149" s="68">
        <f t="shared" si="73"/>
        <v>4.9845072510732464</v>
      </c>
      <c r="BH149" s="125">
        <f t="shared" si="48"/>
        <v>133.93557647937666</v>
      </c>
      <c r="BI149" s="37"/>
      <c r="BJ149" s="37"/>
    </row>
    <row r="150" spans="28:62">
      <c r="AB150" s="92">
        <f t="shared" si="70"/>
        <v>672000000</v>
      </c>
      <c r="AC150" s="15">
        <f t="shared" si="71"/>
        <v>32</v>
      </c>
      <c r="AD150" s="15">
        <v>32</v>
      </c>
      <c r="AE150" s="15" t="s">
        <v>314</v>
      </c>
      <c r="AF150" s="15">
        <f t="shared" si="63"/>
        <v>200</v>
      </c>
      <c r="AG150" s="15">
        <f t="shared" si="64"/>
        <v>100</v>
      </c>
      <c r="AH150" s="69">
        <f t="shared" si="65"/>
        <v>0.1</v>
      </c>
      <c r="AI150" s="14">
        <f t="shared" si="66"/>
        <v>0.04</v>
      </c>
      <c r="AJ150" s="78">
        <f t="shared" si="53"/>
        <v>0</v>
      </c>
      <c r="AK150" s="67">
        <f t="shared" si="67"/>
        <v>0.10400000000000001</v>
      </c>
      <c r="AL150" s="91">
        <f t="shared" si="68"/>
        <v>8.6363636363636367</v>
      </c>
      <c r="AN150" s="120">
        <f t="shared" si="29"/>
        <v>8.7403636363636359</v>
      </c>
      <c r="AO150" s="68">
        <f t="shared" si="72"/>
        <v>8.4857899382171222</v>
      </c>
      <c r="AP150" s="68">
        <f t="shared" si="72"/>
        <v>8.2386310079777889</v>
      </c>
      <c r="AQ150" s="68">
        <f t="shared" si="72"/>
        <v>7.9986708815318339</v>
      </c>
      <c r="AR150" s="68">
        <f t="shared" si="72"/>
        <v>7.7656998849823635</v>
      </c>
      <c r="AS150" s="68">
        <f t="shared" si="72"/>
        <v>7.5395144514391879</v>
      </c>
      <c r="AT150" s="68">
        <f t="shared" si="72"/>
        <v>7.3199169431448423</v>
      </c>
      <c r="AU150" s="68">
        <f t="shared" si="73"/>
        <v>7.1067154787813998</v>
      </c>
      <c r="AV150" s="68">
        <f t="shared" si="73"/>
        <v>6.8997237658071855</v>
      </c>
      <c r="AW150" s="68">
        <f t="shared" si="73"/>
        <v>6.6987609376768784</v>
      </c>
      <c r="AX150" s="68">
        <f t="shared" si="73"/>
        <v>6.5036513958027946</v>
      </c>
      <c r="AY150" s="68">
        <f t="shared" si="73"/>
        <v>6.3142246561192179</v>
      </c>
      <c r="AZ150" s="68">
        <f t="shared" si="73"/>
        <v>6.1303152001157466</v>
      </c>
      <c r="BA150" s="68">
        <f t="shared" si="73"/>
        <v>5.9517623302094629</v>
      </c>
      <c r="BB150" s="68">
        <f t="shared" si="73"/>
        <v>5.7784100293295753</v>
      </c>
      <c r="BC150" s="68">
        <f t="shared" si="73"/>
        <v>5.6101068245918198</v>
      </c>
      <c r="BD150" s="68">
        <f t="shared" si="73"/>
        <v>5.446705654943516</v>
      </c>
      <c r="BE150" s="68">
        <f t="shared" si="73"/>
        <v>5.2880637426636072</v>
      </c>
      <c r="BF150" s="68">
        <f t="shared" si="73"/>
        <v>5.1340424686054442</v>
      </c>
      <c r="BG150" s="68">
        <f t="shared" si="73"/>
        <v>4.9845072510732464</v>
      </c>
      <c r="BH150" s="125">
        <f t="shared" si="48"/>
        <v>133.93557647937666</v>
      </c>
    </row>
    <row r="151" spans="28:62">
      <c r="AB151" s="92">
        <f t="shared" si="70"/>
        <v>693000000</v>
      </c>
      <c r="AC151" s="15">
        <f t="shared" si="71"/>
        <v>33</v>
      </c>
      <c r="AD151" s="15">
        <v>33</v>
      </c>
      <c r="AE151" s="15" t="s">
        <v>314</v>
      </c>
      <c r="AF151" s="15">
        <f t="shared" si="63"/>
        <v>200</v>
      </c>
      <c r="AG151" s="15">
        <f t="shared" si="64"/>
        <v>100</v>
      </c>
      <c r="AH151" s="69">
        <f t="shared" si="65"/>
        <v>0.1</v>
      </c>
      <c r="AI151" s="14">
        <f t="shared" si="66"/>
        <v>0.04</v>
      </c>
      <c r="AJ151" s="78">
        <f t="shared" si="53"/>
        <v>0</v>
      </c>
      <c r="AK151" s="67">
        <f t="shared" si="67"/>
        <v>0.10400000000000001</v>
      </c>
      <c r="AL151" s="91">
        <f t="shared" si="68"/>
        <v>8.6363636363636367</v>
      </c>
      <c r="AN151" s="120">
        <f t="shared" si="29"/>
        <v>8.7403636363636359</v>
      </c>
      <c r="AO151" s="68">
        <f t="shared" si="72"/>
        <v>8.4857899382171222</v>
      </c>
      <c r="AP151" s="68">
        <f t="shared" si="72"/>
        <v>8.2386310079777889</v>
      </c>
      <c r="AQ151" s="68">
        <f t="shared" si="72"/>
        <v>7.9986708815318339</v>
      </c>
      <c r="AR151" s="68">
        <f t="shared" si="72"/>
        <v>7.7656998849823635</v>
      </c>
      <c r="AS151" s="68">
        <f t="shared" si="72"/>
        <v>7.5395144514391879</v>
      </c>
      <c r="AT151" s="68">
        <f t="shared" si="72"/>
        <v>7.3199169431448423</v>
      </c>
      <c r="AU151" s="68">
        <f t="shared" si="73"/>
        <v>7.1067154787813998</v>
      </c>
      <c r="AV151" s="68">
        <f t="shared" si="73"/>
        <v>6.8997237658071855</v>
      </c>
      <c r="AW151" s="68">
        <f t="shared" si="73"/>
        <v>6.6987609376768784</v>
      </c>
      <c r="AX151" s="68">
        <f t="shared" si="73"/>
        <v>6.5036513958027946</v>
      </c>
      <c r="AY151" s="68">
        <f t="shared" si="73"/>
        <v>6.3142246561192179</v>
      </c>
      <c r="AZ151" s="68">
        <f t="shared" si="73"/>
        <v>6.1303152001157466</v>
      </c>
      <c r="BA151" s="68">
        <f t="shared" si="73"/>
        <v>5.9517623302094629</v>
      </c>
      <c r="BB151" s="68">
        <f t="shared" si="73"/>
        <v>5.7784100293295753</v>
      </c>
      <c r="BC151" s="68">
        <f t="shared" si="73"/>
        <v>5.6101068245918198</v>
      </c>
      <c r="BD151" s="68">
        <f t="shared" si="73"/>
        <v>5.446705654943516</v>
      </c>
      <c r="BE151" s="68">
        <f t="shared" si="73"/>
        <v>5.2880637426636072</v>
      </c>
      <c r="BF151" s="68">
        <f t="shared" si="73"/>
        <v>5.1340424686054442</v>
      </c>
      <c r="BG151" s="68">
        <f t="shared" si="73"/>
        <v>4.9845072510732464</v>
      </c>
      <c r="BH151" s="125">
        <f t="shared" si="48"/>
        <v>133.93557647937666</v>
      </c>
    </row>
    <row r="152" spans="28:62">
      <c r="AB152" s="92">
        <f t="shared" si="70"/>
        <v>714000000</v>
      </c>
      <c r="AC152" s="15">
        <f t="shared" si="71"/>
        <v>34</v>
      </c>
      <c r="AD152" s="15">
        <v>34</v>
      </c>
      <c r="AE152" s="15" t="s">
        <v>314</v>
      </c>
      <c r="AF152" s="15">
        <f t="shared" si="63"/>
        <v>200</v>
      </c>
      <c r="AG152" s="15">
        <f t="shared" si="64"/>
        <v>100</v>
      </c>
      <c r="AH152" s="69">
        <f t="shared" si="65"/>
        <v>0.1</v>
      </c>
      <c r="AI152" s="14">
        <f t="shared" si="66"/>
        <v>0.04</v>
      </c>
      <c r="AJ152" s="78">
        <f t="shared" si="53"/>
        <v>0</v>
      </c>
      <c r="AK152" s="67">
        <f t="shared" si="67"/>
        <v>0.10400000000000001</v>
      </c>
      <c r="AL152" s="91">
        <f t="shared" si="68"/>
        <v>8.6363636363636367</v>
      </c>
      <c r="AN152" s="120">
        <f t="shared" si="29"/>
        <v>8.7403636363636359</v>
      </c>
      <c r="AO152" s="68">
        <f t="shared" si="72"/>
        <v>8.4857899382171222</v>
      </c>
      <c r="AP152" s="68">
        <f t="shared" si="72"/>
        <v>8.2386310079777889</v>
      </c>
      <c r="AQ152" s="68">
        <f t="shared" si="72"/>
        <v>7.9986708815318339</v>
      </c>
      <c r="AR152" s="68">
        <f t="shared" si="72"/>
        <v>7.7656998849823635</v>
      </c>
      <c r="AS152" s="68">
        <f t="shared" si="72"/>
        <v>7.5395144514391879</v>
      </c>
      <c r="AT152" s="68">
        <f t="shared" si="72"/>
        <v>7.3199169431448423</v>
      </c>
      <c r="AU152" s="68">
        <f t="shared" si="73"/>
        <v>7.1067154787813998</v>
      </c>
      <c r="AV152" s="68">
        <f t="shared" si="73"/>
        <v>6.8997237658071855</v>
      </c>
      <c r="AW152" s="68">
        <f t="shared" si="73"/>
        <v>6.6987609376768784</v>
      </c>
      <c r="AX152" s="68">
        <f t="shared" si="73"/>
        <v>6.5036513958027946</v>
      </c>
      <c r="AY152" s="68">
        <f t="shared" si="73"/>
        <v>6.3142246561192179</v>
      </c>
      <c r="AZ152" s="68">
        <f t="shared" si="73"/>
        <v>6.1303152001157466</v>
      </c>
      <c r="BA152" s="68">
        <f t="shared" si="73"/>
        <v>5.9517623302094629</v>
      </c>
      <c r="BB152" s="68">
        <f t="shared" si="73"/>
        <v>5.7784100293295753</v>
      </c>
      <c r="BC152" s="68">
        <f t="shared" si="73"/>
        <v>5.6101068245918198</v>
      </c>
      <c r="BD152" s="68">
        <f t="shared" si="73"/>
        <v>5.446705654943516</v>
      </c>
      <c r="BE152" s="68">
        <f t="shared" si="73"/>
        <v>5.2880637426636072</v>
      </c>
      <c r="BF152" s="68">
        <f t="shared" si="73"/>
        <v>5.1340424686054442</v>
      </c>
      <c r="BG152" s="68">
        <f t="shared" si="73"/>
        <v>4.9845072510732464</v>
      </c>
      <c r="BH152" s="125">
        <f t="shared" si="48"/>
        <v>133.93557647937666</v>
      </c>
    </row>
    <row r="153" spans="28:62">
      <c r="AB153" s="92">
        <f t="shared" si="70"/>
        <v>735000000</v>
      </c>
      <c r="AC153" s="15">
        <f t="shared" si="71"/>
        <v>35</v>
      </c>
      <c r="AD153" s="15">
        <v>35</v>
      </c>
      <c r="AE153" s="15" t="s">
        <v>314</v>
      </c>
      <c r="AF153" s="15">
        <f t="shared" si="63"/>
        <v>200</v>
      </c>
      <c r="AG153" s="15">
        <f t="shared" si="64"/>
        <v>100</v>
      </c>
      <c r="AH153" s="69">
        <f t="shared" si="65"/>
        <v>0.1</v>
      </c>
      <c r="AI153" s="14">
        <f t="shared" si="66"/>
        <v>0.04</v>
      </c>
      <c r="AJ153" s="78">
        <f t="shared" si="53"/>
        <v>0</v>
      </c>
      <c r="AK153" s="67">
        <f t="shared" si="67"/>
        <v>0.10400000000000001</v>
      </c>
      <c r="AL153" s="91">
        <f t="shared" si="68"/>
        <v>8.6363636363636367</v>
      </c>
      <c r="AN153" s="120">
        <f t="shared" si="29"/>
        <v>8.7403636363636359</v>
      </c>
      <c r="AO153" s="68">
        <f t="shared" si="72"/>
        <v>8.4857899382171222</v>
      </c>
      <c r="AP153" s="68">
        <f t="shared" si="72"/>
        <v>8.2386310079777889</v>
      </c>
      <c r="AQ153" s="68">
        <f t="shared" si="72"/>
        <v>7.9986708815318339</v>
      </c>
      <c r="AR153" s="68">
        <f t="shared" si="72"/>
        <v>7.7656998849823635</v>
      </c>
      <c r="AS153" s="68">
        <f t="shared" si="72"/>
        <v>7.5395144514391879</v>
      </c>
      <c r="AT153" s="68">
        <f t="shared" si="72"/>
        <v>7.3199169431448423</v>
      </c>
      <c r="AU153" s="68">
        <f t="shared" si="73"/>
        <v>7.1067154787813998</v>
      </c>
      <c r="AV153" s="68">
        <f t="shared" si="73"/>
        <v>6.8997237658071855</v>
      </c>
      <c r="AW153" s="68">
        <f t="shared" si="73"/>
        <v>6.6987609376768784</v>
      </c>
      <c r="AX153" s="68">
        <f t="shared" si="73"/>
        <v>6.5036513958027946</v>
      </c>
      <c r="AY153" s="68">
        <f t="shared" si="73"/>
        <v>6.3142246561192179</v>
      </c>
      <c r="AZ153" s="68">
        <f t="shared" si="73"/>
        <v>6.1303152001157466</v>
      </c>
      <c r="BA153" s="68">
        <f t="shared" si="73"/>
        <v>5.9517623302094629</v>
      </c>
      <c r="BB153" s="68">
        <f t="shared" si="73"/>
        <v>5.7784100293295753</v>
      </c>
      <c r="BC153" s="68">
        <f t="shared" si="73"/>
        <v>5.6101068245918198</v>
      </c>
      <c r="BD153" s="68">
        <f t="shared" si="73"/>
        <v>5.446705654943516</v>
      </c>
      <c r="BE153" s="68">
        <f t="shared" si="73"/>
        <v>5.2880637426636072</v>
      </c>
      <c r="BF153" s="68">
        <f t="shared" si="73"/>
        <v>5.1340424686054442</v>
      </c>
      <c r="BG153" s="68">
        <f t="shared" si="73"/>
        <v>4.9845072510732464</v>
      </c>
      <c r="BH153" s="125">
        <f t="shared" si="48"/>
        <v>133.93557647937666</v>
      </c>
    </row>
    <row r="154" spans="28:62">
      <c r="AB154" s="92">
        <f t="shared" si="70"/>
        <v>756000000</v>
      </c>
      <c r="AC154" s="15">
        <f t="shared" si="71"/>
        <v>36</v>
      </c>
      <c r="AD154" s="15">
        <v>36</v>
      </c>
      <c r="AE154" s="15" t="s">
        <v>314</v>
      </c>
      <c r="AF154" s="15">
        <f t="shared" si="63"/>
        <v>200</v>
      </c>
      <c r="AG154" s="15">
        <f t="shared" si="64"/>
        <v>100</v>
      </c>
      <c r="AH154" s="69">
        <f t="shared" si="65"/>
        <v>0.1</v>
      </c>
      <c r="AI154" s="14">
        <f t="shared" si="66"/>
        <v>0.04</v>
      </c>
      <c r="AJ154" s="78">
        <f t="shared" si="53"/>
        <v>0</v>
      </c>
      <c r="AK154" s="67">
        <f t="shared" si="67"/>
        <v>0.10400000000000001</v>
      </c>
      <c r="AL154" s="91">
        <f t="shared" si="68"/>
        <v>8.6363636363636367</v>
      </c>
      <c r="AN154" s="120">
        <f t="shared" si="29"/>
        <v>8.7403636363636359</v>
      </c>
      <c r="AO154" s="68">
        <f t="shared" si="72"/>
        <v>8.4857899382171222</v>
      </c>
      <c r="AP154" s="68">
        <f t="shared" si="72"/>
        <v>8.2386310079777889</v>
      </c>
      <c r="AQ154" s="68">
        <f t="shared" si="72"/>
        <v>7.9986708815318339</v>
      </c>
      <c r="AR154" s="68">
        <f t="shared" si="72"/>
        <v>7.7656998849823635</v>
      </c>
      <c r="AS154" s="68">
        <f t="shared" si="72"/>
        <v>7.5395144514391879</v>
      </c>
      <c r="AT154" s="68">
        <f t="shared" si="72"/>
        <v>7.3199169431448423</v>
      </c>
      <c r="AU154" s="68">
        <f t="shared" si="73"/>
        <v>7.1067154787813998</v>
      </c>
      <c r="AV154" s="68">
        <f t="shared" si="73"/>
        <v>6.8997237658071855</v>
      </c>
      <c r="AW154" s="68">
        <f t="shared" si="73"/>
        <v>6.6987609376768784</v>
      </c>
      <c r="AX154" s="68">
        <f t="shared" si="73"/>
        <v>6.5036513958027946</v>
      </c>
      <c r="AY154" s="68">
        <f t="shared" si="73"/>
        <v>6.3142246561192179</v>
      </c>
      <c r="AZ154" s="68">
        <f t="shared" si="73"/>
        <v>6.1303152001157466</v>
      </c>
      <c r="BA154" s="68">
        <f t="shared" si="73"/>
        <v>5.9517623302094629</v>
      </c>
      <c r="BB154" s="68">
        <f t="shared" si="73"/>
        <v>5.7784100293295753</v>
      </c>
      <c r="BC154" s="68">
        <f t="shared" si="73"/>
        <v>5.6101068245918198</v>
      </c>
      <c r="BD154" s="68">
        <f t="shared" si="73"/>
        <v>5.446705654943516</v>
      </c>
      <c r="BE154" s="68">
        <f t="shared" si="73"/>
        <v>5.2880637426636072</v>
      </c>
      <c r="BF154" s="68">
        <f t="shared" si="73"/>
        <v>5.1340424686054442</v>
      </c>
      <c r="BG154" s="68">
        <f t="shared" si="73"/>
        <v>4.9845072510732464</v>
      </c>
      <c r="BH154" s="125">
        <f t="shared" si="48"/>
        <v>133.93557647937666</v>
      </c>
    </row>
    <row r="155" spans="28:62">
      <c r="AB155" s="92">
        <f t="shared" si="70"/>
        <v>777000000</v>
      </c>
      <c r="AC155" s="15">
        <f t="shared" si="71"/>
        <v>37</v>
      </c>
      <c r="AD155" s="15">
        <v>37</v>
      </c>
      <c r="AE155" s="15" t="s">
        <v>314</v>
      </c>
      <c r="AF155" s="15">
        <f t="shared" si="63"/>
        <v>200</v>
      </c>
      <c r="AG155" s="15">
        <f t="shared" si="64"/>
        <v>100</v>
      </c>
      <c r="AH155" s="69">
        <f t="shared" si="65"/>
        <v>0.1</v>
      </c>
      <c r="AI155" s="14">
        <f t="shared" si="66"/>
        <v>0.04</v>
      </c>
      <c r="AJ155" s="78">
        <f t="shared" si="53"/>
        <v>0</v>
      </c>
      <c r="AK155" s="67">
        <f t="shared" si="67"/>
        <v>0.10400000000000001</v>
      </c>
      <c r="AL155" s="91">
        <f t="shared" si="68"/>
        <v>8.6363636363636367</v>
      </c>
      <c r="AN155" s="120">
        <f t="shared" si="29"/>
        <v>8.7403636363636359</v>
      </c>
      <c r="AO155" s="68">
        <f t="shared" si="72"/>
        <v>8.4857899382171222</v>
      </c>
      <c r="AP155" s="68">
        <f t="shared" si="72"/>
        <v>8.2386310079777889</v>
      </c>
      <c r="AQ155" s="68">
        <f t="shared" si="72"/>
        <v>7.9986708815318339</v>
      </c>
      <c r="AR155" s="68">
        <f t="shared" si="72"/>
        <v>7.7656998849823635</v>
      </c>
      <c r="AS155" s="68">
        <f t="shared" si="72"/>
        <v>7.5395144514391879</v>
      </c>
      <c r="AT155" s="68">
        <f t="shared" si="72"/>
        <v>7.3199169431448423</v>
      </c>
      <c r="AU155" s="68">
        <f t="shared" si="73"/>
        <v>7.1067154787813998</v>
      </c>
      <c r="AV155" s="68">
        <f t="shared" si="73"/>
        <v>6.8997237658071855</v>
      </c>
      <c r="AW155" s="68">
        <f t="shared" si="73"/>
        <v>6.6987609376768784</v>
      </c>
      <c r="AX155" s="68">
        <f t="shared" si="73"/>
        <v>6.5036513958027946</v>
      </c>
      <c r="AY155" s="68">
        <f t="shared" si="73"/>
        <v>6.3142246561192179</v>
      </c>
      <c r="AZ155" s="68">
        <f t="shared" si="73"/>
        <v>6.1303152001157466</v>
      </c>
      <c r="BA155" s="68">
        <f t="shared" si="73"/>
        <v>5.9517623302094629</v>
      </c>
      <c r="BB155" s="68">
        <f t="shared" si="73"/>
        <v>5.7784100293295753</v>
      </c>
      <c r="BC155" s="68">
        <f t="shared" si="73"/>
        <v>5.6101068245918198</v>
      </c>
      <c r="BD155" s="68">
        <f t="shared" si="73"/>
        <v>5.446705654943516</v>
      </c>
      <c r="BE155" s="68">
        <f t="shared" si="73"/>
        <v>5.2880637426636072</v>
      </c>
      <c r="BF155" s="68">
        <f t="shared" si="73"/>
        <v>5.1340424686054442</v>
      </c>
      <c r="BG155" s="68">
        <f t="shared" si="73"/>
        <v>4.9845072510732464</v>
      </c>
      <c r="BH155" s="125">
        <f t="shared" si="48"/>
        <v>133.93557647937666</v>
      </c>
    </row>
    <row r="156" spans="28:62">
      <c r="AB156" s="92">
        <f t="shared" si="70"/>
        <v>798000000</v>
      </c>
      <c r="AC156" s="15">
        <f t="shared" si="71"/>
        <v>38</v>
      </c>
      <c r="AD156" s="15">
        <v>38</v>
      </c>
      <c r="AE156" s="15" t="s">
        <v>314</v>
      </c>
      <c r="AF156" s="15">
        <f t="shared" si="63"/>
        <v>200</v>
      </c>
      <c r="AG156" s="15">
        <f t="shared" si="64"/>
        <v>100</v>
      </c>
      <c r="AH156" s="69">
        <f t="shared" si="65"/>
        <v>0.1</v>
      </c>
      <c r="AI156" s="14">
        <f t="shared" si="66"/>
        <v>0.04</v>
      </c>
      <c r="AJ156" s="78">
        <f t="shared" si="53"/>
        <v>0</v>
      </c>
      <c r="AK156" s="67">
        <f t="shared" si="67"/>
        <v>0.10400000000000001</v>
      </c>
      <c r="AL156" s="91">
        <f t="shared" si="68"/>
        <v>8.6363636363636367</v>
      </c>
      <c r="AN156" s="120">
        <f t="shared" si="29"/>
        <v>8.7403636363636359</v>
      </c>
      <c r="AO156" s="68">
        <f t="shared" si="72"/>
        <v>8.4857899382171222</v>
      </c>
      <c r="AP156" s="68">
        <f t="shared" si="72"/>
        <v>8.2386310079777889</v>
      </c>
      <c r="AQ156" s="68">
        <f t="shared" si="72"/>
        <v>7.9986708815318339</v>
      </c>
      <c r="AR156" s="68">
        <f t="shared" si="72"/>
        <v>7.7656998849823635</v>
      </c>
      <c r="AS156" s="68">
        <f t="shared" si="72"/>
        <v>7.5395144514391879</v>
      </c>
      <c r="AT156" s="68">
        <f t="shared" si="72"/>
        <v>7.3199169431448423</v>
      </c>
      <c r="AU156" s="68">
        <f t="shared" si="73"/>
        <v>7.1067154787813998</v>
      </c>
      <c r="AV156" s="68">
        <f t="shared" si="73"/>
        <v>6.8997237658071855</v>
      </c>
      <c r="AW156" s="68">
        <f t="shared" si="73"/>
        <v>6.6987609376768784</v>
      </c>
      <c r="AX156" s="68">
        <f t="shared" si="73"/>
        <v>6.5036513958027946</v>
      </c>
      <c r="AY156" s="68">
        <f t="shared" si="73"/>
        <v>6.3142246561192179</v>
      </c>
      <c r="AZ156" s="68">
        <f t="shared" si="73"/>
        <v>6.1303152001157466</v>
      </c>
      <c r="BA156" s="68">
        <f t="shared" si="73"/>
        <v>5.9517623302094629</v>
      </c>
      <c r="BB156" s="68">
        <f t="shared" si="73"/>
        <v>5.7784100293295753</v>
      </c>
      <c r="BC156" s="68">
        <f t="shared" si="73"/>
        <v>5.6101068245918198</v>
      </c>
      <c r="BD156" s="68">
        <f t="shared" si="73"/>
        <v>5.446705654943516</v>
      </c>
      <c r="BE156" s="68">
        <f t="shared" si="73"/>
        <v>5.2880637426636072</v>
      </c>
      <c r="BF156" s="68">
        <f t="shared" si="73"/>
        <v>5.1340424686054442</v>
      </c>
      <c r="BG156" s="68">
        <f t="shared" si="73"/>
        <v>4.9845072510732464</v>
      </c>
      <c r="BH156" s="125">
        <f t="shared" si="48"/>
        <v>133.93557647937666</v>
      </c>
    </row>
    <row r="157" spans="28:62">
      <c r="AB157" s="92">
        <f t="shared" si="70"/>
        <v>819000000</v>
      </c>
      <c r="AC157" s="15">
        <f t="shared" si="71"/>
        <v>39</v>
      </c>
      <c r="AD157" s="15">
        <v>39</v>
      </c>
      <c r="AE157" s="15" t="s">
        <v>314</v>
      </c>
      <c r="AF157" s="15">
        <f t="shared" si="63"/>
        <v>200</v>
      </c>
      <c r="AG157" s="15">
        <f t="shared" si="64"/>
        <v>100</v>
      </c>
      <c r="AH157" s="69">
        <f t="shared" si="65"/>
        <v>0.1</v>
      </c>
      <c r="AI157" s="14">
        <f t="shared" si="66"/>
        <v>0.04</v>
      </c>
      <c r="AJ157" s="78">
        <f t="shared" si="53"/>
        <v>0</v>
      </c>
      <c r="AK157" s="67">
        <f t="shared" si="67"/>
        <v>0.10400000000000001</v>
      </c>
      <c r="AL157" s="91">
        <f t="shared" si="68"/>
        <v>8.6363636363636367</v>
      </c>
      <c r="AN157" s="120">
        <f t="shared" si="29"/>
        <v>8.7403636363636359</v>
      </c>
      <c r="AO157" s="68">
        <f t="shared" si="72"/>
        <v>8.4857899382171222</v>
      </c>
      <c r="AP157" s="68">
        <f t="shared" si="72"/>
        <v>8.2386310079777889</v>
      </c>
      <c r="AQ157" s="68">
        <f t="shared" si="72"/>
        <v>7.9986708815318339</v>
      </c>
      <c r="AR157" s="68">
        <f t="shared" si="72"/>
        <v>7.7656998849823635</v>
      </c>
      <c r="AS157" s="68">
        <f t="shared" si="72"/>
        <v>7.5395144514391879</v>
      </c>
      <c r="AT157" s="68">
        <f t="shared" si="72"/>
        <v>7.3199169431448423</v>
      </c>
      <c r="AU157" s="68">
        <f t="shared" si="73"/>
        <v>7.1067154787813998</v>
      </c>
      <c r="AV157" s="68">
        <f t="shared" si="73"/>
        <v>6.8997237658071855</v>
      </c>
      <c r="AW157" s="68">
        <f t="shared" si="73"/>
        <v>6.6987609376768784</v>
      </c>
      <c r="AX157" s="68">
        <f t="shared" si="73"/>
        <v>6.5036513958027946</v>
      </c>
      <c r="AY157" s="68">
        <f t="shared" si="73"/>
        <v>6.3142246561192179</v>
      </c>
      <c r="AZ157" s="68">
        <f t="shared" si="73"/>
        <v>6.1303152001157466</v>
      </c>
      <c r="BA157" s="68">
        <f t="shared" si="73"/>
        <v>5.9517623302094629</v>
      </c>
      <c r="BB157" s="68">
        <f t="shared" si="73"/>
        <v>5.7784100293295753</v>
      </c>
      <c r="BC157" s="68">
        <f t="shared" si="73"/>
        <v>5.6101068245918198</v>
      </c>
      <c r="BD157" s="68">
        <f t="shared" si="73"/>
        <v>5.446705654943516</v>
      </c>
      <c r="BE157" s="68">
        <f t="shared" si="73"/>
        <v>5.2880637426636072</v>
      </c>
      <c r="BF157" s="68">
        <f t="shared" si="73"/>
        <v>5.1340424686054442</v>
      </c>
      <c r="BG157" s="68">
        <f t="shared" si="73"/>
        <v>4.9845072510732464</v>
      </c>
      <c r="BH157" s="125">
        <f t="shared" si="48"/>
        <v>133.93557647937666</v>
      </c>
    </row>
    <row r="158" spans="28:62">
      <c r="AB158" s="92">
        <f t="shared" si="70"/>
        <v>840000000</v>
      </c>
      <c r="AC158" s="15">
        <f t="shared" si="71"/>
        <v>40</v>
      </c>
      <c r="AD158" s="15">
        <v>40</v>
      </c>
      <c r="AE158" s="15" t="s">
        <v>314</v>
      </c>
      <c r="AF158" s="15">
        <f t="shared" si="63"/>
        <v>200</v>
      </c>
      <c r="AG158" s="15">
        <f t="shared" si="64"/>
        <v>100</v>
      </c>
      <c r="AH158" s="69">
        <f t="shared" si="65"/>
        <v>0.1</v>
      </c>
      <c r="AI158" s="14">
        <f t="shared" si="66"/>
        <v>0.04</v>
      </c>
      <c r="AJ158" s="78">
        <f t="shared" si="53"/>
        <v>0</v>
      </c>
      <c r="AK158" s="67">
        <f t="shared" si="67"/>
        <v>0.10400000000000001</v>
      </c>
      <c r="AL158" s="91">
        <f t="shared" si="68"/>
        <v>8.6363636363636367</v>
      </c>
      <c r="AN158" s="120">
        <f t="shared" si="29"/>
        <v>8.7403636363636359</v>
      </c>
      <c r="AO158" s="68">
        <f t="shared" ref="AO158:AT170" si="74">$AN158/POWER(1+($B$10/100),AO$117-2024)</f>
        <v>8.4857899382171222</v>
      </c>
      <c r="AP158" s="68">
        <f t="shared" si="74"/>
        <v>8.2386310079777889</v>
      </c>
      <c r="AQ158" s="68">
        <f t="shared" si="74"/>
        <v>7.9986708815318339</v>
      </c>
      <c r="AR158" s="68">
        <f t="shared" si="74"/>
        <v>7.7656998849823635</v>
      </c>
      <c r="AS158" s="68">
        <f t="shared" si="74"/>
        <v>7.5395144514391879</v>
      </c>
      <c r="AT158" s="68">
        <f t="shared" si="74"/>
        <v>7.3199169431448423</v>
      </c>
      <c r="AU158" s="68">
        <f t="shared" si="73"/>
        <v>7.1067154787813998</v>
      </c>
      <c r="AV158" s="68">
        <f t="shared" si="73"/>
        <v>6.8997237658071855</v>
      </c>
      <c r="AW158" s="68">
        <f t="shared" si="73"/>
        <v>6.6987609376768784</v>
      </c>
      <c r="AX158" s="68">
        <f t="shared" si="73"/>
        <v>6.5036513958027946</v>
      </c>
      <c r="AY158" s="68">
        <f t="shared" si="73"/>
        <v>6.3142246561192179</v>
      </c>
      <c r="AZ158" s="68">
        <f t="shared" si="73"/>
        <v>6.1303152001157466</v>
      </c>
      <c r="BA158" s="68">
        <f t="shared" si="73"/>
        <v>5.9517623302094629</v>
      </c>
      <c r="BB158" s="68">
        <f t="shared" si="73"/>
        <v>5.7784100293295753</v>
      </c>
      <c r="BC158" s="68">
        <f t="shared" si="73"/>
        <v>5.6101068245918198</v>
      </c>
      <c r="BD158" s="68">
        <f t="shared" si="73"/>
        <v>5.446705654943516</v>
      </c>
      <c r="BE158" s="68">
        <f t="shared" si="73"/>
        <v>5.2880637426636072</v>
      </c>
      <c r="BF158" s="68">
        <f t="shared" si="73"/>
        <v>5.1340424686054442</v>
      </c>
      <c r="BG158" s="68">
        <f t="shared" si="73"/>
        <v>4.9845072510732464</v>
      </c>
      <c r="BH158" s="125">
        <f t="shared" si="48"/>
        <v>133.93557647937666</v>
      </c>
    </row>
    <row r="159" spans="28:62">
      <c r="AB159" s="92">
        <f t="shared" si="70"/>
        <v>861000000</v>
      </c>
      <c r="AC159" s="15">
        <f t="shared" si="71"/>
        <v>41</v>
      </c>
      <c r="AD159" s="15">
        <v>41</v>
      </c>
      <c r="AE159" s="15" t="s">
        <v>314</v>
      </c>
      <c r="AF159" s="15">
        <f t="shared" si="63"/>
        <v>200</v>
      </c>
      <c r="AG159" s="15">
        <f t="shared" si="64"/>
        <v>100</v>
      </c>
      <c r="AH159" s="69">
        <f t="shared" si="65"/>
        <v>0.1</v>
      </c>
      <c r="AI159" s="14">
        <f t="shared" si="66"/>
        <v>0.04</v>
      </c>
      <c r="AJ159" s="78">
        <f t="shared" si="53"/>
        <v>0</v>
      </c>
      <c r="AK159" s="67">
        <f t="shared" si="67"/>
        <v>0.10400000000000001</v>
      </c>
      <c r="AL159" s="91">
        <f t="shared" si="68"/>
        <v>8.6363636363636367</v>
      </c>
      <c r="AN159" s="120">
        <f t="shared" si="29"/>
        <v>8.7403636363636359</v>
      </c>
      <c r="AO159" s="68">
        <f t="shared" si="74"/>
        <v>8.4857899382171222</v>
      </c>
      <c r="AP159" s="68">
        <f t="shared" si="74"/>
        <v>8.2386310079777889</v>
      </c>
      <c r="AQ159" s="68">
        <f t="shared" si="74"/>
        <v>7.9986708815318339</v>
      </c>
      <c r="AR159" s="68">
        <f t="shared" si="74"/>
        <v>7.7656998849823635</v>
      </c>
      <c r="AS159" s="68">
        <f t="shared" si="74"/>
        <v>7.5395144514391879</v>
      </c>
      <c r="AT159" s="68">
        <f t="shared" si="74"/>
        <v>7.3199169431448423</v>
      </c>
      <c r="AU159" s="68">
        <f t="shared" ref="AU159:BG170" si="75">$AN159/POWER(1+($B$10/100),AU$117-2024)</f>
        <v>7.1067154787813998</v>
      </c>
      <c r="AV159" s="68">
        <f t="shared" si="75"/>
        <v>6.8997237658071855</v>
      </c>
      <c r="AW159" s="68">
        <f t="shared" si="75"/>
        <v>6.6987609376768784</v>
      </c>
      <c r="AX159" s="68">
        <f t="shared" si="75"/>
        <v>6.5036513958027946</v>
      </c>
      <c r="AY159" s="68">
        <f t="shared" si="75"/>
        <v>6.3142246561192179</v>
      </c>
      <c r="AZ159" s="68">
        <f t="shared" si="75"/>
        <v>6.1303152001157466</v>
      </c>
      <c r="BA159" s="68">
        <f t="shared" si="75"/>
        <v>5.9517623302094629</v>
      </c>
      <c r="BB159" s="68">
        <f t="shared" si="75"/>
        <v>5.7784100293295753</v>
      </c>
      <c r="BC159" s="68">
        <f t="shared" si="75"/>
        <v>5.6101068245918198</v>
      </c>
      <c r="BD159" s="68">
        <f t="shared" si="75"/>
        <v>5.446705654943516</v>
      </c>
      <c r="BE159" s="68">
        <f t="shared" si="75"/>
        <v>5.2880637426636072</v>
      </c>
      <c r="BF159" s="68">
        <f t="shared" si="75"/>
        <v>5.1340424686054442</v>
      </c>
      <c r="BG159" s="68">
        <f t="shared" si="75"/>
        <v>4.9845072510732464</v>
      </c>
      <c r="BH159" s="125">
        <f t="shared" si="48"/>
        <v>133.93557647937666</v>
      </c>
    </row>
    <row r="160" spans="28:62">
      <c r="AB160" s="92">
        <f t="shared" ref="AB160" si="76">AB104</f>
        <v>882000000</v>
      </c>
      <c r="AC160" s="15">
        <f t="shared" si="71"/>
        <v>42</v>
      </c>
      <c r="AD160" s="15">
        <v>42</v>
      </c>
      <c r="AE160" s="15" t="s">
        <v>314</v>
      </c>
      <c r="AF160" s="15">
        <f t="shared" si="63"/>
        <v>200</v>
      </c>
      <c r="AG160" s="15">
        <f t="shared" si="64"/>
        <v>100</v>
      </c>
      <c r="AH160" s="69">
        <f t="shared" si="65"/>
        <v>0.1</v>
      </c>
      <c r="AI160" s="14">
        <f t="shared" si="66"/>
        <v>0.04</v>
      </c>
      <c r="AJ160" s="78">
        <f t="shared" si="53"/>
        <v>0</v>
      </c>
      <c r="AK160" s="67">
        <f t="shared" si="67"/>
        <v>0.10400000000000001</v>
      </c>
      <c r="AL160" s="91">
        <f t="shared" si="68"/>
        <v>8.6363636363636367</v>
      </c>
      <c r="AN160" s="120">
        <f t="shared" si="29"/>
        <v>8.7403636363636359</v>
      </c>
      <c r="AO160" s="68">
        <f t="shared" si="74"/>
        <v>8.4857899382171222</v>
      </c>
      <c r="AP160" s="68">
        <f t="shared" si="74"/>
        <v>8.2386310079777889</v>
      </c>
      <c r="AQ160" s="68">
        <f t="shared" si="74"/>
        <v>7.9986708815318339</v>
      </c>
      <c r="AR160" s="68">
        <f t="shared" si="74"/>
        <v>7.7656998849823635</v>
      </c>
      <c r="AS160" s="68">
        <f t="shared" si="74"/>
        <v>7.5395144514391879</v>
      </c>
      <c r="AT160" s="68">
        <f t="shared" si="74"/>
        <v>7.3199169431448423</v>
      </c>
      <c r="AU160" s="68">
        <f t="shared" si="75"/>
        <v>7.1067154787813998</v>
      </c>
      <c r="AV160" s="68">
        <f t="shared" si="75"/>
        <v>6.8997237658071855</v>
      </c>
      <c r="AW160" s="68">
        <f t="shared" si="75"/>
        <v>6.6987609376768784</v>
      </c>
      <c r="AX160" s="68">
        <f t="shared" si="75"/>
        <v>6.5036513958027946</v>
      </c>
      <c r="AY160" s="68">
        <f t="shared" si="75"/>
        <v>6.3142246561192179</v>
      </c>
      <c r="AZ160" s="68">
        <f t="shared" si="75"/>
        <v>6.1303152001157466</v>
      </c>
      <c r="BA160" s="68">
        <f t="shared" si="75"/>
        <v>5.9517623302094629</v>
      </c>
      <c r="BB160" s="68">
        <f t="shared" si="75"/>
        <v>5.7784100293295753</v>
      </c>
      <c r="BC160" s="68">
        <f t="shared" si="75"/>
        <v>5.6101068245918198</v>
      </c>
      <c r="BD160" s="68">
        <f t="shared" si="75"/>
        <v>5.446705654943516</v>
      </c>
      <c r="BE160" s="68">
        <f t="shared" si="75"/>
        <v>5.2880637426636072</v>
      </c>
      <c r="BF160" s="68">
        <f t="shared" si="75"/>
        <v>5.1340424686054442</v>
      </c>
      <c r="BG160" s="68">
        <f t="shared" si="75"/>
        <v>4.9845072510732464</v>
      </c>
      <c r="BH160" s="125">
        <f t="shared" si="48"/>
        <v>133.93557647937666</v>
      </c>
    </row>
    <row r="161" spans="28:60">
      <c r="AB161" s="92">
        <f t="shared" ref="AB161:AB170" si="77">AB46</f>
        <v>903000000</v>
      </c>
      <c r="AC161" s="15">
        <f t="shared" si="71"/>
        <v>43</v>
      </c>
      <c r="AD161" s="15">
        <v>43</v>
      </c>
      <c r="AE161" s="15" t="s">
        <v>314</v>
      </c>
      <c r="AF161" s="15">
        <f t="shared" si="63"/>
        <v>200</v>
      </c>
      <c r="AG161" s="15">
        <f t="shared" si="64"/>
        <v>100</v>
      </c>
      <c r="AH161" s="69">
        <f t="shared" si="65"/>
        <v>0.1</v>
      </c>
      <c r="AI161" s="14">
        <f t="shared" si="66"/>
        <v>0.04</v>
      </c>
      <c r="AJ161" s="78">
        <f t="shared" si="53"/>
        <v>0</v>
      </c>
      <c r="AK161" s="67">
        <f t="shared" si="67"/>
        <v>0.10400000000000001</v>
      </c>
      <c r="AL161" s="91">
        <f t="shared" si="68"/>
        <v>8.6363636363636367</v>
      </c>
      <c r="AN161" s="120">
        <f t="shared" si="29"/>
        <v>8.7403636363636359</v>
      </c>
      <c r="AO161" s="68">
        <f t="shared" si="74"/>
        <v>8.4857899382171222</v>
      </c>
      <c r="AP161" s="68">
        <f t="shared" si="74"/>
        <v>8.2386310079777889</v>
      </c>
      <c r="AQ161" s="68">
        <f t="shared" si="74"/>
        <v>7.9986708815318339</v>
      </c>
      <c r="AR161" s="68">
        <f t="shared" si="74"/>
        <v>7.7656998849823635</v>
      </c>
      <c r="AS161" s="68">
        <f t="shared" si="74"/>
        <v>7.5395144514391879</v>
      </c>
      <c r="AT161" s="68">
        <f t="shared" si="74"/>
        <v>7.3199169431448423</v>
      </c>
      <c r="AU161" s="68">
        <f t="shared" si="75"/>
        <v>7.1067154787813998</v>
      </c>
      <c r="AV161" s="68">
        <f t="shared" si="75"/>
        <v>6.8997237658071855</v>
      </c>
      <c r="AW161" s="68">
        <f t="shared" si="75"/>
        <v>6.6987609376768784</v>
      </c>
      <c r="AX161" s="68">
        <f t="shared" si="75"/>
        <v>6.5036513958027946</v>
      </c>
      <c r="AY161" s="68">
        <f t="shared" si="75"/>
        <v>6.3142246561192179</v>
      </c>
      <c r="AZ161" s="68">
        <f t="shared" si="75"/>
        <v>6.1303152001157466</v>
      </c>
      <c r="BA161" s="68">
        <f t="shared" si="75"/>
        <v>5.9517623302094629</v>
      </c>
      <c r="BB161" s="68">
        <f t="shared" si="75"/>
        <v>5.7784100293295753</v>
      </c>
      <c r="BC161" s="68">
        <f t="shared" si="75"/>
        <v>5.6101068245918198</v>
      </c>
      <c r="BD161" s="68">
        <f t="shared" si="75"/>
        <v>5.446705654943516</v>
      </c>
      <c r="BE161" s="68">
        <f t="shared" si="75"/>
        <v>5.2880637426636072</v>
      </c>
      <c r="BF161" s="68">
        <f t="shared" si="75"/>
        <v>5.1340424686054442</v>
      </c>
      <c r="BG161" s="68">
        <f t="shared" si="75"/>
        <v>4.9845072510732464</v>
      </c>
      <c r="BH161" s="125">
        <f t="shared" si="48"/>
        <v>133.93557647937666</v>
      </c>
    </row>
    <row r="162" spans="28:60" ht="14.4">
      <c r="AB162" s="92">
        <f t="shared" si="77"/>
        <v>924000000</v>
      </c>
      <c r="AC162" s="15">
        <f t="shared" si="71"/>
        <v>44</v>
      </c>
      <c r="AD162" s="15">
        <v>44</v>
      </c>
      <c r="AE162" s="15" t="s">
        <v>314</v>
      </c>
      <c r="AF162" s="15">
        <f t="shared" si="63"/>
        <v>200</v>
      </c>
      <c r="AG162" s="15">
        <f t="shared" si="64"/>
        <v>100</v>
      </c>
      <c r="AH162" s="69">
        <f t="shared" si="65"/>
        <v>0.1</v>
      </c>
      <c r="AI162" s="14">
        <f t="shared" si="66"/>
        <v>0.04</v>
      </c>
      <c r="AJ162" s="78">
        <f t="shared" si="53"/>
        <v>0</v>
      </c>
      <c r="AK162" s="67">
        <f t="shared" si="67"/>
        <v>0.10400000000000001</v>
      </c>
      <c r="AL162" s="91">
        <f t="shared" si="68"/>
        <v>8.6363636363636367</v>
      </c>
      <c r="AM162"/>
      <c r="AN162" s="120">
        <f t="shared" si="29"/>
        <v>8.7403636363636359</v>
      </c>
      <c r="AO162" s="68">
        <f t="shared" si="74"/>
        <v>8.4857899382171222</v>
      </c>
      <c r="AP162" s="68">
        <f t="shared" si="74"/>
        <v>8.2386310079777889</v>
      </c>
      <c r="AQ162" s="68">
        <f t="shared" si="74"/>
        <v>7.9986708815318339</v>
      </c>
      <c r="AR162" s="68">
        <f t="shared" si="74"/>
        <v>7.7656998849823635</v>
      </c>
      <c r="AS162" s="68">
        <f t="shared" si="74"/>
        <v>7.5395144514391879</v>
      </c>
      <c r="AT162" s="68">
        <f t="shared" si="74"/>
        <v>7.3199169431448423</v>
      </c>
      <c r="AU162" s="68">
        <f t="shared" si="75"/>
        <v>7.1067154787813998</v>
      </c>
      <c r="AV162" s="68">
        <f t="shared" si="75"/>
        <v>6.8997237658071855</v>
      </c>
      <c r="AW162" s="68">
        <f t="shared" si="75"/>
        <v>6.6987609376768784</v>
      </c>
      <c r="AX162" s="68">
        <f t="shared" si="75"/>
        <v>6.5036513958027946</v>
      </c>
      <c r="AY162" s="68">
        <f t="shared" si="75"/>
        <v>6.3142246561192179</v>
      </c>
      <c r="AZ162" s="68">
        <f t="shared" si="75"/>
        <v>6.1303152001157466</v>
      </c>
      <c r="BA162" s="68">
        <f t="shared" si="75"/>
        <v>5.9517623302094629</v>
      </c>
      <c r="BB162" s="68">
        <f t="shared" si="75"/>
        <v>5.7784100293295753</v>
      </c>
      <c r="BC162" s="68">
        <f t="shared" si="75"/>
        <v>5.6101068245918198</v>
      </c>
      <c r="BD162" s="68">
        <f t="shared" si="75"/>
        <v>5.446705654943516</v>
      </c>
      <c r="BE162" s="68">
        <f t="shared" si="75"/>
        <v>5.2880637426636072</v>
      </c>
      <c r="BF162" s="68">
        <f t="shared" si="75"/>
        <v>5.1340424686054442</v>
      </c>
      <c r="BG162" s="68">
        <f t="shared" si="75"/>
        <v>4.9845072510732464</v>
      </c>
      <c r="BH162" s="125">
        <f t="shared" si="48"/>
        <v>133.93557647937666</v>
      </c>
    </row>
    <row r="163" spans="28:60">
      <c r="AB163" s="92">
        <f t="shared" si="77"/>
        <v>945000000</v>
      </c>
      <c r="AC163" s="15">
        <f t="shared" si="71"/>
        <v>45</v>
      </c>
      <c r="AD163" s="15">
        <v>45</v>
      </c>
      <c r="AE163" s="15" t="s">
        <v>314</v>
      </c>
      <c r="AF163" s="15">
        <f t="shared" si="63"/>
        <v>200</v>
      </c>
      <c r="AG163" s="15">
        <f t="shared" si="64"/>
        <v>100</v>
      </c>
      <c r="AH163" s="69">
        <f t="shared" si="65"/>
        <v>0.1</v>
      </c>
      <c r="AI163" s="14">
        <f t="shared" si="66"/>
        <v>0.04</v>
      </c>
      <c r="AJ163" s="78">
        <f t="shared" si="53"/>
        <v>0</v>
      </c>
      <c r="AK163" s="67">
        <f t="shared" si="67"/>
        <v>0.10400000000000001</v>
      </c>
      <c r="AL163" s="91">
        <f t="shared" si="68"/>
        <v>8.6363636363636367</v>
      </c>
      <c r="AN163" s="120">
        <f t="shared" si="29"/>
        <v>8.7403636363636359</v>
      </c>
      <c r="AO163" s="68">
        <f t="shared" si="74"/>
        <v>8.4857899382171222</v>
      </c>
      <c r="AP163" s="68">
        <f t="shared" si="74"/>
        <v>8.2386310079777889</v>
      </c>
      <c r="AQ163" s="68">
        <f t="shared" si="74"/>
        <v>7.9986708815318339</v>
      </c>
      <c r="AR163" s="68">
        <f t="shared" si="74"/>
        <v>7.7656998849823635</v>
      </c>
      <c r="AS163" s="68">
        <f t="shared" si="74"/>
        <v>7.5395144514391879</v>
      </c>
      <c r="AT163" s="68">
        <f t="shared" si="74"/>
        <v>7.3199169431448423</v>
      </c>
      <c r="AU163" s="68">
        <f t="shared" si="75"/>
        <v>7.1067154787813998</v>
      </c>
      <c r="AV163" s="68">
        <f t="shared" si="75"/>
        <v>6.8997237658071855</v>
      </c>
      <c r="AW163" s="68">
        <f t="shared" si="75"/>
        <v>6.6987609376768784</v>
      </c>
      <c r="AX163" s="68">
        <f t="shared" si="75"/>
        <v>6.5036513958027946</v>
      </c>
      <c r="AY163" s="68">
        <f t="shared" si="75"/>
        <v>6.3142246561192179</v>
      </c>
      <c r="AZ163" s="68">
        <f t="shared" si="75"/>
        <v>6.1303152001157466</v>
      </c>
      <c r="BA163" s="68">
        <f t="shared" si="75"/>
        <v>5.9517623302094629</v>
      </c>
      <c r="BB163" s="68">
        <f t="shared" si="75"/>
        <v>5.7784100293295753</v>
      </c>
      <c r="BC163" s="68">
        <f t="shared" si="75"/>
        <v>5.6101068245918198</v>
      </c>
      <c r="BD163" s="68">
        <f t="shared" si="75"/>
        <v>5.446705654943516</v>
      </c>
      <c r="BE163" s="68">
        <f t="shared" si="75"/>
        <v>5.2880637426636072</v>
      </c>
      <c r="BF163" s="68">
        <f t="shared" si="75"/>
        <v>5.1340424686054442</v>
      </c>
      <c r="BG163" s="68">
        <f t="shared" si="75"/>
        <v>4.9845072510732464</v>
      </c>
      <c r="BH163" s="125">
        <f t="shared" si="48"/>
        <v>133.93557647937666</v>
      </c>
    </row>
    <row r="164" spans="28:60">
      <c r="AB164" s="92">
        <f t="shared" si="77"/>
        <v>966000000</v>
      </c>
      <c r="AC164" s="15">
        <f t="shared" si="71"/>
        <v>46</v>
      </c>
      <c r="AD164" s="15">
        <v>46</v>
      </c>
      <c r="AE164" s="15" t="s">
        <v>314</v>
      </c>
      <c r="AF164" s="15">
        <f t="shared" si="63"/>
        <v>200</v>
      </c>
      <c r="AG164" s="15">
        <f t="shared" si="64"/>
        <v>100</v>
      </c>
      <c r="AH164" s="69">
        <f t="shared" si="65"/>
        <v>0.1</v>
      </c>
      <c r="AI164" s="14">
        <f t="shared" si="66"/>
        <v>0.04</v>
      </c>
      <c r="AJ164" s="78">
        <f t="shared" si="53"/>
        <v>0</v>
      </c>
      <c r="AK164" s="67">
        <f t="shared" si="67"/>
        <v>0.10400000000000001</v>
      </c>
      <c r="AL164" s="91">
        <f t="shared" si="68"/>
        <v>8.6363636363636367</v>
      </c>
      <c r="AN164" s="120">
        <f t="shared" si="29"/>
        <v>8.7403636363636359</v>
      </c>
      <c r="AO164" s="68">
        <f t="shared" si="74"/>
        <v>8.4857899382171222</v>
      </c>
      <c r="AP164" s="68">
        <f t="shared" si="74"/>
        <v>8.2386310079777889</v>
      </c>
      <c r="AQ164" s="68">
        <f t="shared" si="74"/>
        <v>7.9986708815318339</v>
      </c>
      <c r="AR164" s="68">
        <f t="shared" si="74"/>
        <v>7.7656998849823635</v>
      </c>
      <c r="AS164" s="68">
        <f t="shared" si="74"/>
        <v>7.5395144514391879</v>
      </c>
      <c r="AT164" s="68">
        <f t="shared" si="74"/>
        <v>7.3199169431448423</v>
      </c>
      <c r="AU164" s="68">
        <f t="shared" si="75"/>
        <v>7.1067154787813998</v>
      </c>
      <c r="AV164" s="68">
        <f t="shared" si="75"/>
        <v>6.8997237658071855</v>
      </c>
      <c r="AW164" s="68">
        <f t="shared" si="75"/>
        <v>6.6987609376768784</v>
      </c>
      <c r="AX164" s="68">
        <f t="shared" si="75"/>
        <v>6.5036513958027946</v>
      </c>
      <c r="AY164" s="68">
        <f t="shared" si="75"/>
        <v>6.3142246561192179</v>
      </c>
      <c r="AZ164" s="68">
        <f t="shared" si="75"/>
        <v>6.1303152001157466</v>
      </c>
      <c r="BA164" s="68">
        <f t="shared" si="75"/>
        <v>5.9517623302094629</v>
      </c>
      <c r="BB164" s="68">
        <f t="shared" si="75"/>
        <v>5.7784100293295753</v>
      </c>
      <c r="BC164" s="68">
        <f t="shared" si="75"/>
        <v>5.6101068245918198</v>
      </c>
      <c r="BD164" s="68">
        <f t="shared" si="75"/>
        <v>5.446705654943516</v>
      </c>
      <c r="BE164" s="68">
        <f t="shared" si="75"/>
        <v>5.2880637426636072</v>
      </c>
      <c r="BF164" s="68">
        <f t="shared" si="75"/>
        <v>5.1340424686054442</v>
      </c>
      <c r="BG164" s="68">
        <f t="shared" si="75"/>
        <v>4.9845072510732464</v>
      </c>
      <c r="BH164" s="125">
        <f t="shared" si="48"/>
        <v>133.93557647937666</v>
      </c>
    </row>
    <row r="165" spans="28:60">
      <c r="AB165" s="92">
        <f t="shared" si="77"/>
        <v>987000000</v>
      </c>
      <c r="AC165" s="15">
        <f t="shared" si="71"/>
        <v>47</v>
      </c>
      <c r="AD165" s="15">
        <v>47</v>
      </c>
      <c r="AE165" s="15" t="s">
        <v>314</v>
      </c>
      <c r="AF165" s="15">
        <f t="shared" si="63"/>
        <v>200</v>
      </c>
      <c r="AG165" s="15">
        <f t="shared" si="64"/>
        <v>100</v>
      </c>
      <c r="AH165" s="69">
        <f t="shared" si="65"/>
        <v>0.1</v>
      </c>
      <c r="AI165" s="14">
        <f t="shared" si="66"/>
        <v>0.04</v>
      </c>
      <c r="AJ165" s="78">
        <f t="shared" si="53"/>
        <v>0</v>
      </c>
      <c r="AK165" s="67">
        <f t="shared" si="67"/>
        <v>0.10400000000000001</v>
      </c>
      <c r="AL165" s="91">
        <f t="shared" si="68"/>
        <v>8.6363636363636367</v>
      </c>
      <c r="AN165" s="120">
        <f t="shared" si="29"/>
        <v>8.7403636363636359</v>
      </c>
      <c r="AO165" s="68">
        <f t="shared" si="74"/>
        <v>8.4857899382171222</v>
      </c>
      <c r="AP165" s="68">
        <f t="shared" si="74"/>
        <v>8.2386310079777889</v>
      </c>
      <c r="AQ165" s="68">
        <f t="shared" si="74"/>
        <v>7.9986708815318339</v>
      </c>
      <c r="AR165" s="68">
        <f t="shared" si="74"/>
        <v>7.7656998849823635</v>
      </c>
      <c r="AS165" s="68">
        <f t="shared" si="74"/>
        <v>7.5395144514391879</v>
      </c>
      <c r="AT165" s="68">
        <f t="shared" si="74"/>
        <v>7.3199169431448423</v>
      </c>
      <c r="AU165" s="68">
        <f t="shared" si="75"/>
        <v>7.1067154787813998</v>
      </c>
      <c r="AV165" s="68">
        <f t="shared" si="75"/>
        <v>6.8997237658071855</v>
      </c>
      <c r="AW165" s="68">
        <f t="shared" si="75"/>
        <v>6.6987609376768784</v>
      </c>
      <c r="AX165" s="68">
        <f t="shared" si="75"/>
        <v>6.5036513958027946</v>
      </c>
      <c r="AY165" s="68">
        <f t="shared" si="75"/>
        <v>6.3142246561192179</v>
      </c>
      <c r="AZ165" s="68">
        <f t="shared" si="75"/>
        <v>6.1303152001157466</v>
      </c>
      <c r="BA165" s="68">
        <f t="shared" si="75"/>
        <v>5.9517623302094629</v>
      </c>
      <c r="BB165" s="68">
        <f t="shared" si="75"/>
        <v>5.7784100293295753</v>
      </c>
      <c r="BC165" s="68">
        <f t="shared" si="75"/>
        <v>5.6101068245918198</v>
      </c>
      <c r="BD165" s="68">
        <f t="shared" si="75"/>
        <v>5.446705654943516</v>
      </c>
      <c r="BE165" s="68">
        <f t="shared" si="75"/>
        <v>5.2880637426636072</v>
      </c>
      <c r="BF165" s="68">
        <f t="shared" si="75"/>
        <v>5.1340424686054442</v>
      </c>
      <c r="BG165" s="68">
        <f t="shared" si="75"/>
        <v>4.9845072510732464</v>
      </c>
      <c r="BH165" s="125">
        <f t="shared" si="48"/>
        <v>133.93557647937666</v>
      </c>
    </row>
    <row r="166" spans="28:60">
      <c r="AB166" s="92">
        <f t="shared" si="77"/>
        <v>1008000000</v>
      </c>
      <c r="AC166" s="15">
        <f t="shared" si="71"/>
        <v>48</v>
      </c>
      <c r="AD166" s="15">
        <v>48</v>
      </c>
      <c r="AE166" s="15" t="s">
        <v>314</v>
      </c>
      <c r="AF166" s="15">
        <f t="shared" si="63"/>
        <v>200</v>
      </c>
      <c r="AG166" s="15">
        <f t="shared" si="64"/>
        <v>100</v>
      </c>
      <c r="AH166" s="69">
        <f t="shared" si="65"/>
        <v>0.1</v>
      </c>
      <c r="AI166" s="14">
        <f t="shared" si="66"/>
        <v>0.04</v>
      </c>
      <c r="AJ166" s="78">
        <f t="shared" si="53"/>
        <v>0</v>
      </c>
      <c r="AK166" s="67">
        <f t="shared" si="67"/>
        <v>0.10400000000000001</v>
      </c>
      <c r="AL166" s="91">
        <f t="shared" si="68"/>
        <v>8.6363636363636367</v>
      </c>
      <c r="AN166" s="120">
        <f t="shared" si="29"/>
        <v>8.7403636363636359</v>
      </c>
      <c r="AO166" s="68">
        <f t="shared" si="74"/>
        <v>8.4857899382171222</v>
      </c>
      <c r="AP166" s="68">
        <f t="shared" si="74"/>
        <v>8.2386310079777889</v>
      </c>
      <c r="AQ166" s="68">
        <f t="shared" si="74"/>
        <v>7.9986708815318339</v>
      </c>
      <c r="AR166" s="68">
        <f t="shared" si="74"/>
        <v>7.7656998849823635</v>
      </c>
      <c r="AS166" s="68">
        <f t="shared" si="74"/>
        <v>7.5395144514391879</v>
      </c>
      <c r="AT166" s="68">
        <f t="shared" si="74"/>
        <v>7.3199169431448423</v>
      </c>
      <c r="AU166" s="68">
        <f t="shared" si="75"/>
        <v>7.1067154787813998</v>
      </c>
      <c r="AV166" s="68">
        <f t="shared" si="75"/>
        <v>6.8997237658071855</v>
      </c>
      <c r="AW166" s="68">
        <f t="shared" si="75"/>
        <v>6.6987609376768784</v>
      </c>
      <c r="AX166" s="68">
        <f t="shared" si="75"/>
        <v>6.5036513958027946</v>
      </c>
      <c r="AY166" s="68">
        <f t="shared" si="75"/>
        <v>6.3142246561192179</v>
      </c>
      <c r="AZ166" s="68">
        <f t="shared" si="75"/>
        <v>6.1303152001157466</v>
      </c>
      <c r="BA166" s="68">
        <f t="shared" si="75"/>
        <v>5.9517623302094629</v>
      </c>
      <c r="BB166" s="68">
        <f t="shared" si="75"/>
        <v>5.7784100293295753</v>
      </c>
      <c r="BC166" s="68">
        <f t="shared" si="75"/>
        <v>5.6101068245918198</v>
      </c>
      <c r="BD166" s="68">
        <f t="shared" si="75"/>
        <v>5.446705654943516</v>
      </c>
      <c r="BE166" s="68">
        <f t="shared" si="75"/>
        <v>5.2880637426636072</v>
      </c>
      <c r="BF166" s="68">
        <f t="shared" si="75"/>
        <v>5.1340424686054442</v>
      </c>
      <c r="BG166" s="68">
        <f t="shared" si="75"/>
        <v>4.9845072510732464</v>
      </c>
      <c r="BH166" s="125">
        <f t="shared" si="48"/>
        <v>133.93557647937666</v>
      </c>
    </row>
    <row r="167" spans="28:60">
      <c r="AB167" s="92">
        <f t="shared" si="77"/>
        <v>1029000000</v>
      </c>
      <c r="AC167" s="15">
        <f t="shared" si="71"/>
        <v>49</v>
      </c>
      <c r="AD167" s="15">
        <v>49</v>
      </c>
      <c r="AE167" s="15" t="s">
        <v>314</v>
      </c>
      <c r="AF167" s="15">
        <f t="shared" si="63"/>
        <v>200</v>
      </c>
      <c r="AG167" s="15">
        <f t="shared" si="64"/>
        <v>100</v>
      </c>
      <c r="AH167" s="69">
        <f t="shared" si="65"/>
        <v>0.1</v>
      </c>
      <c r="AI167" s="14">
        <f t="shared" si="66"/>
        <v>0.04</v>
      </c>
      <c r="AJ167" s="78">
        <f t="shared" si="53"/>
        <v>0</v>
      </c>
      <c r="AK167" s="67">
        <f t="shared" si="67"/>
        <v>0.10400000000000001</v>
      </c>
      <c r="AL167" s="91">
        <f t="shared" si="68"/>
        <v>8.6363636363636367</v>
      </c>
      <c r="AN167" s="120">
        <f t="shared" si="29"/>
        <v>8.7403636363636359</v>
      </c>
      <c r="AO167" s="68">
        <f t="shared" si="74"/>
        <v>8.4857899382171222</v>
      </c>
      <c r="AP167" s="68">
        <f t="shared" si="74"/>
        <v>8.2386310079777889</v>
      </c>
      <c r="AQ167" s="68">
        <f t="shared" si="74"/>
        <v>7.9986708815318339</v>
      </c>
      <c r="AR167" s="68">
        <f t="shared" si="74"/>
        <v>7.7656998849823635</v>
      </c>
      <c r="AS167" s="68">
        <f t="shared" si="74"/>
        <v>7.5395144514391879</v>
      </c>
      <c r="AT167" s="68">
        <f t="shared" si="74"/>
        <v>7.3199169431448423</v>
      </c>
      <c r="AU167" s="68">
        <f t="shared" si="75"/>
        <v>7.1067154787813998</v>
      </c>
      <c r="AV167" s="68">
        <f t="shared" si="75"/>
        <v>6.8997237658071855</v>
      </c>
      <c r="AW167" s="68">
        <f t="shared" si="75"/>
        <v>6.6987609376768784</v>
      </c>
      <c r="AX167" s="68">
        <f t="shared" si="75"/>
        <v>6.5036513958027946</v>
      </c>
      <c r="AY167" s="68">
        <f t="shared" si="75"/>
        <v>6.3142246561192179</v>
      </c>
      <c r="AZ167" s="68">
        <f t="shared" si="75"/>
        <v>6.1303152001157466</v>
      </c>
      <c r="BA167" s="68">
        <f t="shared" si="75"/>
        <v>5.9517623302094629</v>
      </c>
      <c r="BB167" s="68">
        <f t="shared" si="75"/>
        <v>5.7784100293295753</v>
      </c>
      <c r="BC167" s="68">
        <f t="shared" si="75"/>
        <v>5.6101068245918198</v>
      </c>
      <c r="BD167" s="68">
        <f t="shared" si="75"/>
        <v>5.446705654943516</v>
      </c>
      <c r="BE167" s="68">
        <f t="shared" si="75"/>
        <v>5.2880637426636072</v>
      </c>
      <c r="BF167" s="68">
        <f t="shared" si="75"/>
        <v>5.1340424686054442</v>
      </c>
      <c r="BG167" s="68">
        <f t="shared" si="75"/>
        <v>4.9845072510732464</v>
      </c>
      <c r="BH167" s="125">
        <f t="shared" si="48"/>
        <v>133.93557647937666</v>
      </c>
    </row>
    <row r="168" spans="28:60">
      <c r="AB168" s="92">
        <f t="shared" si="77"/>
        <v>1050000000</v>
      </c>
      <c r="AC168" s="15">
        <f t="shared" si="71"/>
        <v>50</v>
      </c>
      <c r="AD168" s="15">
        <v>50</v>
      </c>
      <c r="AE168" s="15" t="s">
        <v>314</v>
      </c>
      <c r="AF168" s="15">
        <f t="shared" si="63"/>
        <v>200</v>
      </c>
      <c r="AG168" s="15">
        <f t="shared" si="64"/>
        <v>100</v>
      </c>
      <c r="AH168" s="69">
        <f t="shared" si="65"/>
        <v>0.1</v>
      </c>
      <c r="AI168" s="14">
        <f t="shared" si="66"/>
        <v>0.04</v>
      </c>
      <c r="AJ168" s="78">
        <f t="shared" si="53"/>
        <v>0</v>
      </c>
      <c r="AK168" s="67">
        <f t="shared" si="67"/>
        <v>0.10400000000000001</v>
      </c>
      <c r="AL168" s="91">
        <f t="shared" si="68"/>
        <v>8.6363636363636367</v>
      </c>
      <c r="AN168" s="120">
        <f t="shared" si="29"/>
        <v>8.7403636363636359</v>
      </c>
      <c r="AO168" s="68">
        <f t="shared" si="74"/>
        <v>8.4857899382171222</v>
      </c>
      <c r="AP168" s="68">
        <f t="shared" si="74"/>
        <v>8.2386310079777889</v>
      </c>
      <c r="AQ168" s="68">
        <f t="shared" si="74"/>
        <v>7.9986708815318339</v>
      </c>
      <c r="AR168" s="68">
        <f t="shared" si="74"/>
        <v>7.7656998849823635</v>
      </c>
      <c r="AS168" s="68">
        <f t="shared" si="74"/>
        <v>7.5395144514391879</v>
      </c>
      <c r="AT168" s="68">
        <f t="shared" si="74"/>
        <v>7.3199169431448423</v>
      </c>
      <c r="AU168" s="68">
        <f t="shared" si="75"/>
        <v>7.1067154787813998</v>
      </c>
      <c r="AV168" s="68">
        <f t="shared" si="75"/>
        <v>6.8997237658071855</v>
      </c>
      <c r="AW168" s="68">
        <f t="shared" si="75"/>
        <v>6.6987609376768784</v>
      </c>
      <c r="AX168" s="68">
        <f t="shared" si="75"/>
        <v>6.5036513958027946</v>
      </c>
      <c r="AY168" s="68">
        <f t="shared" si="75"/>
        <v>6.3142246561192179</v>
      </c>
      <c r="AZ168" s="68">
        <f t="shared" si="75"/>
        <v>6.1303152001157466</v>
      </c>
      <c r="BA168" s="68">
        <f t="shared" si="75"/>
        <v>5.9517623302094629</v>
      </c>
      <c r="BB168" s="68">
        <f t="shared" si="75"/>
        <v>5.7784100293295753</v>
      </c>
      <c r="BC168" s="68">
        <f t="shared" si="75"/>
        <v>5.6101068245918198</v>
      </c>
      <c r="BD168" s="68">
        <f t="shared" si="75"/>
        <v>5.446705654943516</v>
      </c>
      <c r="BE168" s="68">
        <f t="shared" si="75"/>
        <v>5.2880637426636072</v>
      </c>
      <c r="BF168" s="68">
        <f t="shared" si="75"/>
        <v>5.1340424686054442</v>
      </c>
      <c r="BG168" s="68">
        <f t="shared" si="75"/>
        <v>4.9845072510732464</v>
      </c>
      <c r="BH168" s="125">
        <f t="shared" si="48"/>
        <v>133.93557647937666</v>
      </c>
    </row>
    <row r="169" spans="28:60">
      <c r="AB169" s="92">
        <f t="shared" si="77"/>
        <v>1071000000</v>
      </c>
      <c r="AC169" s="15">
        <f t="shared" si="71"/>
        <v>51</v>
      </c>
      <c r="AD169" s="15">
        <v>51</v>
      </c>
      <c r="AE169" s="15" t="s">
        <v>314</v>
      </c>
      <c r="AF169" s="15">
        <f t="shared" si="63"/>
        <v>200</v>
      </c>
      <c r="AG169" s="15">
        <f t="shared" si="64"/>
        <v>100</v>
      </c>
      <c r="AH169" s="69">
        <f t="shared" si="65"/>
        <v>0.1</v>
      </c>
      <c r="AI169" s="14">
        <f t="shared" si="66"/>
        <v>0.04</v>
      </c>
      <c r="AJ169" s="78">
        <f t="shared" si="53"/>
        <v>0</v>
      </c>
      <c r="AK169" s="67">
        <f t="shared" si="67"/>
        <v>0.10400000000000001</v>
      </c>
      <c r="AL169" s="91">
        <f t="shared" si="68"/>
        <v>8.6363636363636367</v>
      </c>
      <c r="AN169" s="120">
        <f t="shared" si="29"/>
        <v>8.7403636363636359</v>
      </c>
      <c r="AO169" s="68">
        <f t="shared" si="74"/>
        <v>8.4857899382171222</v>
      </c>
      <c r="AP169" s="68">
        <f t="shared" si="74"/>
        <v>8.2386310079777889</v>
      </c>
      <c r="AQ169" s="68">
        <f t="shared" si="74"/>
        <v>7.9986708815318339</v>
      </c>
      <c r="AR169" s="68">
        <f t="shared" si="74"/>
        <v>7.7656998849823635</v>
      </c>
      <c r="AS169" s="68">
        <f t="shared" si="74"/>
        <v>7.5395144514391879</v>
      </c>
      <c r="AT169" s="68">
        <f t="shared" si="74"/>
        <v>7.3199169431448423</v>
      </c>
      <c r="AU169" s="68">
        <f t="shared" si="75"/>
        <v>7.1067154787813998</v>
      </c>
      <c r="AV169" s="68">
        <f t="shared" si="75"/>
        <v>6.8997237658071855</v>
      </c>
      <c r="AW169" s="68">
        <f t="shared" si="75"/>
        <v>6.6987609376768784</v>
      </c>
      <c r="AX169" s="68">
        <f t="shared" si="75"/>
        <v>6.5036513958027946</v>
      </c>
      <c r="AY169" s="68">
        <f t="shared" si="75"/>
        <v>6.3142246561192179</v>
      </c>
      <c r="AZ169" s="68">
        <f t="shared" si="75"/>
        <v>6.1303152001157466</v>
      </c>
      <c r="BA169" s="68">
        <f t="shared" si="75"/>
        <v>5.9517623302094629</v>
      </c>
      <c r="BB169" s="68">
        <f t="shared" si="75"/>
        <v>5.7784100293295753</v>
      </c>
      <c r="BC169" s="68">
        <f t="shared" si="75"/>
        <v>5.6101068245918198</v>
      </c>
      <c r="BD169" s="68">
        <f t="shared" si="75"/>
        <v>5.446705654943516</v>
      </c>
      <c r="BE169" s="68">
        <f t="shared" si="75"/>
        <v>5.2880637426636072</v>
      </c>
      <c r="BF169" s="68">
        <f t="shared" si="75"/>
        <v>5.1340424686054442</v>
      </c>
      <c r="BG169" s="68">
        <f t="shared" si="75"/>
        <v>4.9845072510732464</v>
      </c>
      <c r="BH169" s="125">
        <f t="shared" si="48"/>
        <v>133.93557647937666</v>
      </c>
    </row>
    <row r="170" spans="28:60" ht="14.4" thickBot="1">
      <c r="AB170" s="102">
        <f t="shared" si="77"/>
        <v>1092000000</v>
      </c>
      <c r="AC170" s="95">
        <f t="shared" si="71"/>
        <v>52</v>
      </c>
      <c r="AD170" s="95">
        <v>52</v>
      </c>
      <c r="AE170" s="95" t="s">
        <v>314</v>
      </c>
      <c r="AF170" s="95">
        <f t="shared" si="63"/>
        <v>200</v>
      </c>
      <c r="AG170" s="95">
        <f t="shared" si="64"/>
        <v>100</v>
      </c>
      <c r="AH170" s="122">
        <f t="shared" si="65"/>
        <v>0.1</v>
      </c>
      <c r="AI170" s="123">
        <f t="shared" si="66"/>
        <v>0.04</v>
      </c>
      <c r="AJ170" s="124">
        <f t="shared" si="53"/>
        <v>0</v>
      </c>
      <c r="AK170" s="94">
        <f t="shared" si="67"/>
        <v>0.10400000000000001</v>
      </c>
      <c r="AL170" s="98">
        <f t="shared" si="68"/>
        <v>8.6363636363636367</v>
      </c>
      <c r="AN170" s="121">
        <f t="shared" si="29"/>
        <v>8.7403636363636359</v>
      </c>
      <c r="AO170" s="97">
        <f t="shared" si="74"/>
        <v>8.4857899382171222</v>
      </c>
      <c r="AP170" s="97">
        <f t="shared" si="74"/>
        <v>8.2386310079777889</v>
      </c>
      <c r="AQ170" s="97">
        <f t="shared" si="74"/>
        <v>7.9986708815318339</v>
      </c>
      <c r="AR170" s="97">
        <f t="shared" si="74"/>
        <v>7.7656998849823635</v>
      </c>
      <c r="AS170" s="97">
        <f t="shared" si="74"/>
        <v>7.5395144514391879</v>
      </c>
      <c r="AT170" s="97">
        <f t="shared" si="74"/>
        <v>7.3199169431448423</v>
      </c>
      <c r="AU170" s="97">
        <f t="shared" si="75"/>
        <v>7.1067154787813998</v>
      </c>
      <c r="AV170" s="97">
        <f t="shared" si="75"/>
        <v>6.8997237658071855</v>
      </c>
      <c r="AW170" s="97">
        <f t="shared" si="75"/>
        <v>6.6987609376768784</v>
      </c>
      <c r="AX170" s="97">
        <f t="shared" si="75"/>
        <v>6.5036513958027946</v>
      </c>
      <c r="AY170" s="97">
        <f t="shared" si="75"/>
        <v>6.3142246561192179</v>
      </c>
      <c r="AZ170" s="97">
        <f t="shared" si="75"/>
        <v>6.1303152001157466</v>
      </c>
      <c r="BA170" s="97">
        <f t="shared" si="75"/>
        <v>5.9517623302094629</v>
      </c>
      <c r="BB170" s="97">
        <f t="shared" si="75"/>
        <v>5.7784100293295753</v>
      </c>
      <c r="BC170" s="97">
        <f t="shared" si="75"/>
        <v>5.6101068245918198</v>
      </c>
      <c r="BD170" s="97">
        <f t="shared" si="75"/>
        <v>5.446705654943516</v>
      </c>
      <c r="BE170" s="97">
        <f t="shared" si="75"/>
        <v>5.2880637426636072</v>
      </c>
      <c r="BF170" s="97">
        <f t="shared" si="75"/>
        <v>5.1340424686054442</v>
      </c>
      <c r="BG170" s="97">
        <f t="shared" si="75"/>
        <v>4.9845072510732464</v>
      </c>
      <c r="BH170" s="126">
        <f t="shared" si="48"/>
        <v>133.93557647937666</v>
      </c>
    </row>
  </sheetData>
  <mergeCells count="8">
    <mergeCell ref="AB1:AK1"/>
    <mergeCell ref="AN116:BG116"/>
    <mergeCell ref="AB60:AL60"/>
    <mergeCell ref="AB116:AL116"/>
    <mergeCell ref="A23:D23"/>
    <mergeCell ref="A33:D33"/>
    <mergeCell ref="A43:D43"/>
    <mergeCell ref="A1:D1"/>
  </mergeCells>
  <phoneticPr fontId="35" type="noConversion"/>
  <conditionalFormatting sqref="AI4:AI55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{099831DC-FD12-4570-B34A-E80DD15DB135}</x14:id>
        </ext>
      </extLst>
    </cfRule>
  </conditionalFormatting>
  <conditionalFormatting sqref="AJ4:AJ55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{644ACD81-A6FC-4E19-9338-9B1D0720E1DD}</x14:id>
        </ext>
      </extLst>
    </cfRule>
  </conditionalFormatting>
  <conditionalFormatting sqref="AK4:AK55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{D95F6831-1FC5-4D5B-BE56-0FA844DD08B1}</x14:id>
        </ext>
      </extLst>
    </cfRule>
  </conditionalFormatting>
  <conditionalFormatting sqref="AF3:AF55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{13586026-D83D-4DAE-8566-7BDF1CEA50F7}</x14:id>
        </ext>
      </extLst>
    </cfRule>
  </conditionalFormatting>
  <conditionalFormatting sqref="AG4:AG55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{278C5373-2F97-455F-A3C9-BFF6166B4505}</x14:id>
        </ext>
      </extLst>
    </cfRule>
  </conditionalFormatting>
  <conditionalFormatting sqref="AH4:AH55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{41AF4E25-1CBD-443C-B5A6-884A1969D327}</x14:id>
        </ext>
      </extLst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99831DC-FD12-4570-B34A-E80DD15DB13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AI4:AI55</xm:sqref>
        </x14:conditionalFormatting>
        <x14:conditionalFormatting xmlns:xm="http://schemas.microsoft.com/office/excel/2006/main">
          <x14:cfRule type="dataBar" id="{644ACD81-A6FC-4E19-9338-9B1D0720E1D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AJ4:AJ55</xm:sqref>
        </x14:conditionalFormatting>
        <x14:conditionalFormatting xmlns:xm="http://schemas.microsoft.com/office/excel/2006/main">
          <x14:cfRule type="dataBar" id="{D95F6831-1FC5-4D5B-BE56-0FA844DD08B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AK4:AK55</xm:sqref>
        </x14:conditionalFormatting>
        <x14:conditionalFormatting xmlns:xm="http://schemas.microsoft.com/office/excel/2006/main">
          <x14:cfRule type="dataBar" id="{13586026-D83D-4DAE-8566-7BDF1CEA50F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AF3:AF55</xm:sqref>
        </x14:conditionalFormatting>
        <x14:conditionalFormatting xmlns:xm="http://schemas.microsoft.com/office/excel/2006/main">
          <x14:cfRule type="dataBar" id="{278C5373-2F97-455F-A3C9-BFF6166B450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AG4:AG55</xm:sqref>
        </x14:conditionalFormatting>
        <x14:conditionalFormatting xmlns:xm="http://schemas.microsoft.com/office/excel/2006/main">
          <x14:cfRule type="dataBar" id="{41AF4E25-1CBD-443C-B5A6-884A1969D32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AH4:AH55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8A4A6-976B-4056-8369-F28E680EA364}">
  <sheetPr>
    <tabColor rgb="FFFFFF00"/>
  </sheetPr>
  <dimension ref="A1:H256"/>
  <sheetViews>
    <sheetView workbookViewId="0">
      <selection activeCell="D98" sqref="D97:E98"/>
    </sheetView>
  </sheetViews>
  <sheetFormatPr defaultRowHeight="14.4"/>
  <cols>
    <col min="1" max="1" width="15.88671875" style="27" bestFit="1" customWidth="1"/>
    <col min="2" max="2" width="26" style="27" bestFit="1" customWidth="1"/>
    <col min="3" max="3" width="8.88671875" style="27"/>
    <col min="4" max="4" width="18.109375" style="29" bestFit="1" customWidth="1"/>
    <col min="5" max="5" width="25.44140625" style="276" bestFit="1" customWidth="1"/>
    <col min="6" max="6" width="8.88671875" style="27"/>
    <col min="7" max="7" width="15.5546875" style="27" bestFit="1" customWidth="1"/>
    <col min="8" max="8" width="25.44140625" style="276" bestFit="1" customWidth="1"/>
  </cols>
  <sheetData>
    <row r="1" spans="1:8">
      <c r="A1" s="488" t="s">
        <v>371</v>
      </c>
      <c r="B1" s="489"/>
      <c r="D1" s="488" t="s">
        <v>369</v>
      </c>
      <c r="E1" s="489"/>
      <c r="G1" s="488" t="s">
        <v>370</v>
      </c>
      <c r="H1" s="489"/>
    </row>
    <row r="2" spans="1:8">
      <c r="A2" s="180" t="str">
        <f>'Costs - DTE'!$AC$2</f>
        <v>Minutes</v>
      </c>
      <c r="B2" s="196" t="str">
        <f>'Costs - DTE'!$AH$2</f>
        <v>Average total cost ($/Min)</v>
      </c>
      <c r="D2" s="180" t="str">
        <f>'Costs - SR - LEO'!AA2</f>
        <v>Minutes</v>
      </c>
      <c r="E2" s="270" t="str">
        <f>'Costs - SR - LEO'!AH2</f>
        <v>Average total cost ($/Min)</v>
      </c>
      <c r="G2" s="180" t="str">
        <f>'Costs - SR - GEO'!AB2</f>
        <v>Minutes</v>
      </c>
      <c r="H2" s="270" t="str">
        <f>'Costs - SR - GEO'!AI2</f>
        <v>Average total cost ($/Min)</v>
      </c>
    </row>
    <row r="3" spans="1:8">
      <c r="A3" s="180">
        <f>'Costs - DTE'!AC3</f>
        <v>0</v>
      </c>
      <c r="B3" s="271">
        <v>0</v>
      </c>
      <c r="D3" s="180">
        <f>'Costs - SR - LEO'!AA4</f>
        <v>21000000</v>
      </c>
      <c r="E3" s="270">
        <f>'Costs - SR - LEO'!AH4</f>
        <v>31.306893713737452</v>
      </c>
      <c r="G3" s="180">
        <f>'Costs - SR - GEO'!AB4</f>
        <v>21000000</v>
      </c>
      <c r="H3" s="270">
        <f>'Costs - SR - GEO'!AI4</f>
        <v>72.30605683726462</v>
      </c>
    </row>
    <row r="4" spans="1:8">
      <c r="A4" s="180">
        <f>'Costs - DTE'!AC4</f>
        <v>525600</v>
      </c>
      <c r="B4" s="196">
        <f>'Costs - DTE'!AH4</f>
        <v>207.59483421051704</v>
      </c>
      <c r="D4" s="180">
        <f>'Costs - SR - LEO'!AA5</f>
        <v>42000000</v>
      </c>
      <c r="E4" s="270">
        <f>'Costs - SR - LEO'!AH5</f>
        <v>17.873442098055619</v>
      </c>
      <c r="G4" s="180">
        <f>'Costs - SR - GEO'!AB5</f>
        <v>42000000</v>
      </c>
      <c r="H4" s="270">
        <f>'Costs - SR - GEO'!AI5</f>
        <v>46.484827858617464</v>
      </c>
    </row>
    <row r="5" spans="1:8">
      <c r="A5" s="180">
        <f>'Costs - DTE'!AC5</f>
        <v>1051200</v>
      </c>
      <c r="B5" s="196">
        <f>'Costs - DTE'!AH5</f>
        <v>122.11442815005586</v>
      </c>
      <c r="D5" s="180">
        <f>'Costs - SR - LEO'!AA6</f>
        <v>63000000</v>
      </c>
      <c r="E5" s="270">
        <f>'Costs - SR - LEO'!AH6</f>
        <v>13.395624892828341</v>
      </c>
      <c r="G5" s="180">
        <f>'Costs - SR - GEO'!AB6</f>
        <v>63000000</v>
      </c>
      <c r="H5" s="270">
        <f>'Costs - SR - GEO'!AI6</f>
        <v>37.877751532401753</v>
      </c>
    </row>
    <row r="6" spans="1:8">
      <c r="A6" s="180">
        <f>'Costs - DTE'!AC6</f>
        <v>1576800</v>
      </c>
      <c r="B6" s="196">
        <f>'Costs - DTE'!AH6</f>
        <v>93.620959463235465</v>
      </c>
      <c r="D6" s="180">
        <f>'Costs - SR - LEO'!AA7</f>
        <v>84000000</v>
      </c>
      <c r="E6" s="270">
        <f>'Costs - SR - LEO'!AH7</f>
        <v>11.156716290214703</v>
      </c>
      <c r="G6" s="180">
        <f>'Costs - SR - GEO'!AB7</f>
        <v>84000000</v>
      </c>
      <c r="H6" s="270">
        <f>'Costs - SR - GEO'!AI7</f>
        <v>33.574213369293894</v>
      </c>
    </row>
    <row r="7" spans="1:8">
      <c r="A7" s="180">
        <f>'Costs - DTE'!AC7</f>
        <v>2102400</v>
      </c>
      <c r="B7" s="196">
        <f>'Costs - DTE'!AH7</f>
        <v>79.374225119825269</v>
      </c>
      <c r="D7" s="180">
        <f>'Costs - SR - LEO'!AA8</f>
        <v>105000000</v>
      </c>
      <c r="E7" s="270">
        <f>'Costs - SR - LEO'!AH8</f>
        <v>9.8133711286465193</v>
      </c>
      <c r="G7" s="180">
        <f>'Costs - SR - GEO'!AB8</f>
        <v>105000000</v>
      </c>
      <c r="H7" s="270">
        <f>'Costs - SR - GEO'!AI8</f>
        <v>30.992090471429179</v>
      </c>
    </row>
    <row r="8" spans="1:8">
      <c r="A8" s="180">
        <f>'Costs - DTE'!AC8</f>
        <v>2628000</v>
      </c>
      <c r="B8" s="196">
        <f>'Costs - DTE'!AH8</f>
        <v>70.82618451377914</v>
      </c>
      <c r="D8" s="180">
        <f>'Costs - SR - LEO'!AA9</f>
        <v>126000000</v>
      </c>
      <c r="E8" s="270">
        <f>'Costs - SR - LEO'!AH9</f>
        <v>8.9178076876010657</v>
      </c>
      <c r="G8" s="180">
        <f>'Costs - SR - GEO'!AB9</f>
        <v>126000000</v>
      </c>
      <c r="H8" s="270">
        <f>'Costs - SR - GEO'!AI9</f>
        <v>29.270675206186034</v>
      </c>
    </row>
    <row r="9" spans="1:8">
      <c r="A9" s="180">
        <f>'Costs - DTE'!AC9</f>
        <v>3153600</v>
      </c>
      <c r="B9" s="196">
        <f>'Costs - DTE'!AH9</f>
        <v>65.127490776415073</v>
      </c>
      <c r="D9" s="180">
        <f>'Costs - SR - LEO'!AA10</f>
        <v>147000000</v>
      </c>
      <c r="E9" s="270">
        <f>'Costs - SR - LEO'!AH10</f>
        <v>8.2781195154257396</v>
      </c>
      <c r="G9" s="180">
        <f>'Costs - SR - GEO'!AB10</f>
        <v>147000000</v>
      </c>
      <c r="H9" s="270">
        <f>'Costs - SR - GEO'!AI10</f>
        <v>28.041092873869502</v>
      </c>
    </row>
    <row r="10" spans="1:8">
      <c r="A10" s="180">
        <f>'Costs - DTE'!AC10</f>
        <v>3679200</v>
      </c>
      <c r="B10" s="196">
        <f>'Costs - DTE'!AH10</f>
        <v>61.056995249726441</v>
      </c>
      <c r="D10" s="180">
        <f>'Costs - SR - LEO'!AA11</f>
        <v>168000000</v>
      </c>
      <c r="E10" s="270">
        <f>'Costs - SR - LEO'!AH11</f>
        <v>7.7983533862942451</v>
      </c>
      <c r="G10" s="180">
        <f>'Costs - SR - GEO'!AB11</f>
        <v>168000000</v>
      </c>
      <c r="H10" s="270">
        <f>'Costs - SR - GEO'!AI11</f>
        <v>27.118906124632112</v>
      </c>
    </row>
    <row r="11" spans="1:8">
      <c r="A11" s="180">
        <f>'Costs - DTE'!AC11</f>
        <v>4204800</v>
      </c>
      <c r="B11" s="196">
        <f>'Costs - DTE'!AH11</f>
        <v>58.004123604709974</v>
      </c>
      <c r="D11" s="180">
        <f>'Costs - SR - LEO'!AA12</f>
        <v>189000000</v>
      </c>
      <c r="E11" s="270">
        <f>'Costs - SR - LEO'!AH12</f>
        <v>7.4252019525253061</v>
      </c>
      <c r="G11" s="180">
        <f>'Costs - SR - GEO'!AB12</f>
        <v>189000000</v>
      </c>
      <c r="H11" s="270">
        <f>'Costs - SR - GEO'!AI12</f>
        <v>26.401649764114133</v>
      </c>
    </row>
    <row r="12" spans="1:8">
      <c r="A12" s="180">
        <f>'Costs - DTE'!AC12</f>
        <v>4730400</v>
      </c>
      <c r="B12" s="196">
        <f>'Costs - DTE'!AH12</f>
        <v>55.62966788080827</v>
      </c>
      <c r="D12" s="180">
        <f>'Costs - SR - LEO'!AA13</f>
        <v>210000000</v>
      </c>
      <c r="E12" s="270">
        <f>'Costs - SR - LEO'!AH13</f>
        <v>7.126680805510154</v>
      </c>
      <c r="G12" s="180">
        <f>'Costs - SR - GEO'!AB13</f>
        <v>210000000</v>
      </c>
      <c r="H12" s="270">
        <f>'Costs - SR - GEO'!AI13</f>
        <v>25.827844675699751</v>
      </c>
    </row>
    <row r="13" spans="1:8">
      <c r="A13" s="180">
        <f>'Costs - DTE'!AC13</f>
        <v>5256000</v>
      </c>
      <c r="B13" s="196">
        <f>'Costs - DTE'!AH13</f>
        <v>53.73010330168691</v>
      </c>
      <c r="D13" s="180">
        <f>'Costs - SR - LEO'!AA14</f>
        <v>231000000</v>
      </c>
      <c r="E13" s="270">
        <f>'Costs - SR - LEO'!AH14</f>
        <v>6.8824362306795752</v>
      </c>
      <c r="G13" s="180">
        <f>'Costs - SR - GEO'!AB14</f>
        <v>231000000</v>
      </c>
      <c r="H13" s="270">
        <f>'Costs - SR - GEO'!AI14</f>
        <v>25.358367785178892</v>
      </c>
    </row>
    <row r="14" spans="1:8">
      <c r="A14" s="180">
        <f>'Costs - DTE'!AC14</f>
        <v>5781600</v>
      </c>
      <c r="B14" s="196">
        <f>'Costs - DTE'!AH14</f>
        <v>52.175914100587619</v>
      </c>
      <c r="D14" s="180">
        <f>'Costs - SR - LEO'!AA15</f>
        <v>252000000</v>
      </c>
      <c r="E14" s="270">
        <f>'Costs - SR - LEO'!AH15</f>
        <v>6.6788990849874263</v>
      </c>
      <c r="G14" s="180">
        <f>'Costs - SR - GEO'!AB15</f>
        <v>252000000</v>
      </c>
      <c r="H14" s="270">
        <f>'Costs - SR - GEO'!AI15</f>
        <v>24.967137043078178</v>
      </c>
    </row>
    <row r="15" spans="1:8">
      <c r="A15" s="180">
        <f>'Costs - DTE'!AC15</f>
        <v>6307200</v>
      </c>
      <c r="B15" s="196">
        <f>'Costs - DTE'!AH15</f>
        <v>50.880756433004869</v>
      </c>
      <c r="D15" s="180">
        <f>'Costs - SR - LEO'!AA16</f>
        <v>273000000</v>
      </c>
      <c r="E15" s="270">
        <f>'Costs - SR - LEO'!AH16</f>
        <v>6.5066753463248386</v>
      </c>
      <c r="G15" s="180">
        <f>'Costs - SR - GEO'!AB16</f>
        <v>273000000</v>
      </c>
      <c r="H15" s="270">
        <f>'Costs - SR - GEO'!AI16</f>
        <v>24.636095645916029</v>
      </c>
    </row>
    <row r="16" spans="1:8">
      <c r="A16" s="180">
        <f>'Costs - DTE'!AC16</f>
        <v>6832800</v>
      </c>
      <c r="B16" s="196">
        <f>'Costs - DTE'!AH16</f>
        <v>49.784853791204085</v>
      </c>
      <c r="D16" s="180">
        <f>'Costs - SR - LEO'!AA17</f>
        <v>294000000</v>
      </c>
      <c r="E16" s="270">
        <f>'Costs - SR - LEO'!AH17</f>
        <v>6.3590549988997633</v>
      </c>
      <c r="G16" s="180">
        <f>'Costs - SR - GEO'!AB17</f>
        <v>294000000</v>
      </c>
      <c r="H16" s="270">
        <f>'Costs - SR - GEO'!AI17</f>
        <v>24.352345876919905</v>
      </c>
    </row>
    <row r="17" spans="1:8">
      <c r="A17" s="180">
        <f>'Costs - DTE'!AC17</f>
        <v>7358400</v>
      </c>
      <c r="B17" s="196">
        <f>'Costs - DTE'!AH17</f>
        <v>48.84550866966056</v>
      </c>
      <c r="D17" s="180">
        <f>'Costs - SR - LEO'!AA18</f>
        <v>315000000</v>
      </c>
      <c r="E17" s="270">
        <f>'Costs - SR - LEO'!AH18</f>
        <v>6.2311173644646978</v>
      </c>
      <c r="G17" s="180">
        <f>'Costs - SR - GEO'!AB18</f>
        <v>315000000</v>
      </c>
      <c r="H17" s="270">
        <f>'Costs - SR - GEO'!AI18</f>
        <v>24.106429410456599</v>
      </c>
    </row>
    <row r="18" spans="1:8">
      <c r="A18" s="180">
        <f>'Costs - DTE'!AC18</f>
        <v>7884000</v>
      </c>
      <c r="B18" s="196">
        <f>'Costs - DTE'!AH18</f>
        <v>48.031409564322836</v>
      </c>
      <c r="D18" s="180">
        <f>'Costs - SR - LEO'!AA19</f>
        <v>336000000</v>
      </c>
      <c r="E18" s="270">
        <f>'Costs - SR - LEO'!AH19</f>
        <v>6.119171934334017</v>
      </c>
      <c r="G18" s="180">
        <f>'Costs - SR - GEO'!AB19</f>
        <v>336000000</v>
      </c>
      <c r="H18" s="270">
        <f>'Costs - SR - GEO'!AI19</f>
        <v>23.891252502301207</v>
      </c>
    </row>
    <row r="19" spans="1:8">
      <c r="A19" s="180">
        <f>'Costs - DTE'!AC19</f>
        <v>8409600</v>
      </c>
      <c r="B19" s="196">
        <f>'Costs - DTE'!AH19</f>
        <v>47.319072847152327</v>
      </c>
      <c r="D19" s="180">
        <f>'Costs - SR - LEO'!AA20</f>
        <v>357000000</v>
      </c>
      <c r="E19" s="270">
        <f>'Costs - SR - LEO'!AH20</f>
        <v>6.0203965548069451</v>
      </c>
      <c r="G19" s="180">
        <f>'Costs - SR - GEO'!AB20</f>
        <v>357000000</v>
      </c>
      <c r="H19" s="270">
        <f>'Costs - SR - GEO'!AI20</f>
        <v>23.701390524517034</v>
      </c>
    </row>
    <row r="20" spans="1:8">
      <c r="A20" s="180">
        <f>'Costs - DTE'!AC20</f>
        <v>8935200</v>
      </c>
      <c r="B20" s="196">
        <f>'Costs - DTE'!AH20</f>
        <v>46.690540449648935</v>
      </c>
      <c r="D20" s="180">
        <f>'Costs - SR - LEO'!AA21</f>
        <v>378000000</v>
      </c>
      <c r="E20" s="270">
        <f>'Costs - SR - LEO'!AH21</f>
        <v>5.9325962174495466</v>
      </c>
      <c r="G20" s="180">
        <f>'Costs - SR - GEO'!AB21</f>
        <v>378000000</v>
      </c>
      <c r="H20" s="270">
        <f>'Costs - SR - GEO'!AI21</f>
        <v>23.532624322042217</v>
      </c>
    </row>
    <row r="21" spans="1:8">
      <c r="A21" s="180">
        <f>'Costs - DTE'!AC21</f>
        <v>9460800</v>
      </c>
      <c r="B21" s="196">
        <f>'Costs - DTE'!AH21</f>
        <v>46.131844985201475</v>
      </c>
      <c r="D21" s="180">
        <f>'Costs - SR - LEO'!AA22</f>
        <v>399000000</v>
      </c>
      <c r="E21" s="270">
        <f>'Costs - SR - LEO'!AH22</f>
        <v>5.8540380208666125</v>
      </c>
      <c r="G21" s="180">
        <f>'Costs - SR - GEO'!AB22</f>
        <v>399000000</v>
      </c>
      <c r="H21" s="270">
        <f>'Costs - SR - GEO'!AI22</f>
        <v>23.3816229829858</v>
      </c>
    </row>
    <row r="22" spans="1:8">
      <c r="A22" s="180">
        <f>'Costs - DTE'!AC22</f>
        <v>9986400</v>
      </c>
      <c r="B22" s="196">
        <f>'Costs - DTE'!AH22</f>
        <v>45.631959569643222</v>
      </c>
      <c r="D22" s="180">
        <f>'Costs - SR - LEO'!AA23</f>
        <v>420000000</v>
      </c>
      <c r="E22" s="270">
        <f>'Costs - SR - LEO'!AH23</f>
        <v>5.7833356439419701</v>
      </c>
      <c r="G22" s="180">
        <f>'Costs - SR - GEO'!AB23</f>
        <v>420000000</v>
      </c>
      <c r="H22" s="270">
        <f>'Costs - SR - GEO'!AI23</f>
        <v>23.245721777835023</v>
      </c>
    </row>
    <row r="23" spans="1:8">
      <c r="A23" s="180">
        <f>'Costs - DTE'!AC23</f>
        <v>10512000</v>
      </c>
      <c r="B23" s="196">
        <f>'Costs - DTE'!AH23</f>
        <v>45.182062695640802</v>
      </c>
      <c r="D23" s="180">
        <f>'Costs - SR - LEO'!AA24</f>
        <v>441000000</v>
      </c>
      <c r="E23" s="270">
        <f>'Costs - SR - LEO'!AH24</f>
        <v>5.7193668267244382</v>
      </c>
      <c r="G23" s="180">
        <f>'Costs - SR - GEO'!AB24</f>
        <v>441000000</v>
      </c>
      <c r="H23" s="270">
        <f>'Costs - SR - GEO'!AI24</f>
        <v>23.122763544603373</v>
      </c>
    </row>
    <row r="24" spans="1:8">
      <c r="A24" s="180">
        <f>'Costs - DTE'!AC24</f>
        <v>11037600</v>
      </c>
      <c r="B24" s="196">
        <f>'Costs - DTE'!AH24</f>
        <v>44.775013142971943</v>
      </c>
      <c r="D24" s="180">
        <f>'Costs - SR - LEO'!AA25</f>
        <v>462000000</v>
      </c>
      <c r="E24" s="270">
        <f>'Costs - SR - LEO'!AH25</f>
        <v>5.6612133565266811</v>
      </c>
      <c r="G24" s="180">
        <f>'Costs - SR - GEO'!AB25</f>
        <v>462000000</v>
      </c>
      <c r="H24" s="270">
        <f>'Costs - SR - GEO'!AI25</f>
        <v>23.0109833325746</v>
      </c>
    </row>
    <row r="25" spans="1:8">
      <c r="A25" s="180">
        <f>'Costs - DTE'!AC25</f>
        <v>11563200</v>
      </c>
      <c r="B25" s="196">
        <f>'Costs - DTE'!AH25</f>
        <v>44.404968095091164</v>
      </c>
      <c r="D25" s="180">
        <f>'Costs - SR - LEO'!AA26</f>
        <v>483000000</v>
      </c>
      <c r="E25" s="270">
        <f>'Costs - SR - LEO'!AH26</f>
        <v>5.6081167098243823</v>
      </c>
      <c r="G25" s="180">
        <f>'Costs - SR - GEO'!AB26</f>
        <v>483000000</v>
      </c>
      <c r="H25" s="270">
        <f>'Costs - SR - GEO'!AI26</f>
        <v>22.908923138983106</v>
      </c>
    </row>
    <row r="26" spans="1:8">
      <c r="A26" s="180">
        <f>'Costs - DTE'!AC26</f>
        <v>12088800</v>
      </c>
      <c r="B26" s="196">
        <f>'Costs - DTE'!AH26</f>
        <v>44.067100877460888</v>
      </c>
      <c r="D26" s="180">
        <f>'Costs - SR - LEO'!AA27</f>
        <v>504000000</v>
      </c>
      <c r="E26" s="270">
        <f>'Costs - SR - LEO'!AH27</f>
        <v>5.5594447836806076</v>
      </c>
      <c r="G26" s="180">
        <f>'Costs - SR - GEO'!AB27</f>
        <v>504000000</v>
      </c>
      <c r="H26" s="270">
        <f>'Costs - SR - GEO'!AI27</f>
        <v>22.815367961524238</v>
      </c>
    </row>
    <row r="27" spans="1:8">
      <c r="A27" s="180">
        <f>'Costs - DTE'!AC27</f>
        <v>12614400</v>
      </c>
      <c r="B27" s="196">
        <f>'Costs - DTE'!AH27</f>
        <v>43.757389261299792</v>
      </c>
      <c r="D27" s="180">
        <f>'Costs - SR - LEO'!AA28</f>
        <v>525000000</v>
      </c>
      <c r="E27" s="270">
        <f>'Costs - SR - LEO'!AH28</f>
        <v>5.5146666116283356</v>
      </c>
      <c r="G27" s="180">
        <f>'Costs - SR - GEO'!AB28</f>
        <v>525000000</v>
      </c>
      <c r="H27" s="270">
        <f>'Costs - SR - GEO'!AI28</f>
        <v>22.729297198262078</v>
      </c>
    </row>
    <row r="28" spans="1:8" ht="15" thickBot="1">
      <c r="A28" s="188">
        <f>'Costs - DTE'!AC28</f>
        <v>13140000</v>
      </c>
      <c r="B28" s="272">
        <f>'Costs - DTE'!AH28</f>
        <v>43.472454574431595</v>
      </c>
      <c r="D28" s="180">
        <f>'Costs - SR - LEO'!AA29</f>
        <v>546000000</v>
      </c>
      <c r="E28" s="270">
        <f>'Costs - SR - LEO'!AH29</f>
        <v>5.4733329143493146</v>
      </c>
      <c r="G28" s="180">
        <f>'Costs - SR - GEO'!AB29</f>
        <v>546000000</v>
      </c>
      <c r="H28" s="270">
        <f>'Costs - SR - GEO'!AI29</f>
        <v>22.649847262943165</v>
      </c>
    </row>
    <row r="29" spans="1:8">
      <c r="A29" s="273"/>
      <c r="D29" s="180">
        <f>'Costs - SR - LEO'!AA30</f>
        <v>567000000</v>
      </c>
      <c r="E29" s="270">
        <f>'Costs - SR - LEO'!AH30</f>
        <v>5.4350609724242958</v>
      </c>
      <c r="G29" s="180">
        <f>'Costs - SR - GEO'!AB30</f>
        <v>567000000</v>
      </c>
      <c r="H29" s="270">
        <f>'Costs - SR - GEO'!AI30</f>
        <v>22.576282508018245</v>
      </c>
    </row>
    <row r="30" spans="1:8">
      <c r="A30" s="273"/>
      <c r="D30" s="180">
        <f>'Costs - SR - LEO'!AA31</f>
        <v>588000000</v>
      </c>
      <c r="E30" s="270">
        <f>'Costs - SR - LEO'!AH31</f>
        <v>5.3995227406367778</v>
      </c>
      <c r="G30" s="180">
        <f>'Costs - SR - GEO'!AB31</f>
        <v>588000000</v>
      </c>
      <c r="H30" s="270">
        <f>'Costs - SR - GEO'!AI31</f>
        <v>22.507972378445103</v>
      </c>
    </row>
    <row r="31" spans="1:8">
      <c r="A31" s="273"/>
      <c r="D31" s="180">
        <f>'Costs - SR - LEO'!AA32</f>
        <v>609000000</v>
      </c>
      <c r="E31" s="270">
        <f>'Costs - SR - LEO'!AH32</f>
        <v>5.3664354213863303</v>
      </c>
      <c r="G31" s="180">
        <f>'Costs - SR - GEO'!AB32</f>
        <v>609000000</v>
      </c>
      <c r="H31" s="270">
        <f>'Costs - SR - GEO'!AI32</f>
        <v>22.444373292290802</v>
      </c>
    </row>
    <row r="32" spans="1:8">
      <c r="A32" s="273"/>
      <c r="D32" s="180">
        <f>'Costs - SR - LEO'!AA33</f>
        <v>630000000</v>
      </c>
      <c r="E32" s="270">
        <f>'Costs - SR - LEO'!AH33</f>
        <v>5.3355539234192459</v>
      </c>
      <c r="G32" s="180">
        <f>'Costs - SR - GEO'!AB33</f>
        <v>630000000</v>
      </c>
      <c r="H32" s="270">
        <f>'Costs - SR - GEO'!AI33</f>
        <v>22.38501414521345</v>
      </c>
    </row>
    <row r="33" spans="1:8">
      <c r="A33" s="273"/>
      <c r="D33" s="180">
        <f>'Costs - SR - LEO'!AA34</f>
        <v>651000000</v>
      </c>
      <c r="E33" s="270">
        <f>'Costs - SR - LEO'!AH34</f>
        <v>5.3066647801597151</v>
      </c>
      <c r="G33" s="180">
        <f>'Costs - SR - GEO'!AB34</f>
        <v>651000000</v>
      </c>
      <c r="H33" s="270">
        <f>'Costs - SR - GEO'!AI34</f>
        <v>22.329484620528188</v>
      </c>
    </row>
    <row r="34" spans="1:8">
      <c r="A34" s="273"/>
      <c r="D34" s="180">
        <f>'Costs - SR - LEO'!AA35</f>
        <v>672000000</v>
      </c>
      <c r="E34" s="270">
        <f>'Costs - SR - LEO'!AH35</f>
        <v>5.2795812083539051</v>
      </c>
      <c r="G34" s="180">
        <f>'Costs - SR - GEO'!AB35</f>
        <v>672000000</v>
      </c>
      <c r="H34" s="270">
        <f>'Costs - SR - GEO'!AI35</f>
        <v>22.277425691135754</v>
      </c>
    </row>
    <row r="35" spans="1:8">
      <c r="A35" s="273"/>
      <c r="D35" s="180">
        <f>'Costs - SR - LEO'!AA36</f>
        <v>693000000</v>
      </c>
      <c r="E35" s="270">
        <f>'Costs - SR - LEO'!AH36</f>
        <v>5.254139065142386</v>
      </c>
      <c r="G35" s="180">
        <f>'Costs - SR - GEO'!AB36</f>
        <v>693000000</v>
      </c>
      <c r="H35" s="270">
        <f>'Costs - SR - GEO'!AI36</f>
        <v>22.228521848373166</v>
      </c>
    </row>
    <row r="36" spans="1:8">
      <c r="A36" s="273"/>
      <c r="D36" s="180">
        <f>'Costs - SR - LEO'!AA37</f>
        <v>714000000</v>
      </c>
      <c r="E36" s="270">
        <f>'Costs - SR - LEO'!AH37</f>
        <v>5.2301935185903696</v>
      </c>
      <c r="G36" s="180">
        <f>'Costs - SR - GEO'!AB37</f>
        <v>714000000</v>
      </c>
      <c r="H36" s="270">
        <f>'Costs - SR - GEO'!AI37</f>
        <v>22.182494702243666</v>
      </c>
    </row>
    <row r="37" spans="1:8">
      <c r="A37" s="273"/>
      <c r="D37" s="180">
        <f>'Costs - SR - LEO'!AA38</f>
        <v>735000000</v>
      </c>
      <c r="E37" s="270">
        <f>'Costs - SR - LEO'!AH38</f>
        <v>5.2076162889841822</v>
      </c>
      <c r="G37" s="180">
        <f>'Costs - SR - GEO'!AB38</f>
        <v>735000000</v>
      </c>
      <c r="H37" s="270">
        <f>'Costs - SR - GEO'!AI38</f>
        <v>22.139097678750144</v>
      </c>
    </row>
    <row r="38" spans="1:8">
      <c r="A38" s="273"/>
      <c r="D38" s="180">
        <f>'Costs - SR - LEO'!AA39</f>
        <v>756000000</v>
      </c>
      <c r="E38" s="270">
        <f>'Costs - SR - LEO'!AH39</f>
        <v>5.1862933499116712</v>
      </c>
      <c r="G38" s="180">
        <f>'Costs - SR - GEO'!AB39</f>
        <v>756000000</v>
      </c>
      <c r="H38" s="270">
        <f>'Costs - SR - GEO'!AI39</f>
        <v>22.098111601006259</v>
      </c>
    </row>
    <row r="39" spans="1:8">
      <c r="A39" s="273"/>
      <c r="D39" s="180">
        <f>'Costs - SR - LEO'!AA40</f>
        <v>777000000</v>
      </c>
      <c r="E39" s="270">
        <f>'Costs - SR - LEO'!AH40</f>
        <v>5.1661230021403775</v>
      </c>
      <c r="G39" s="180">
        <f>'Costs - SR - GEO'!AB40</f>
        <v>777000000</v>
      </c>
      <c r="H39" s="270">
        <f>'Costs - SR - GEO'!AI40</f>
        <v>22.059340986924209</v>
      </c>
    </row>
    <row r="40" spans="1:8">
      <c r="A40" s="273"/>
      <c r="D40" s="180">
        <f>'Costs - SR - LEO'!AA41</f>
        <v>798000000</v>
      </c>
      <c r="E40" s="270">
        <f>'Costs - SR - LEO'!AH41</f>
        <v>5.1470142516202042</v>
      </c>
      <c r="G40" s="180">
        <f>'Costs - SR - GEO'!AB41</f>
        <v>798000000</v>
      </c>
      <c r="H40" s="270">
        <f>'Costs - SR - GEO'!AI41</f>
        <v>22.022610931478052</v>
      </c>
    </row>
    <row r="41" spans="1:8">
      <c r="A41" s="273"/>
      <c r="D41" s="180">
        <f>'Costs - SR - LEO'!AA42</f>
        <v>819000000</v>
      </c>
      <c r="E41" s="270">
        <f>'Costs - SR - LEO'!AH42</f>
        <v>5.1288854370241426</v>
      </c>
      <c r="G41" s="180">
        <f>'Costs - SR - GEO'!AB42</f>
        <v>819000000</v>
      </c>
      <c r="H41" s="270">
        <f>'Costs - SR - GEO'!AI42</f>
        <v>21.987764468618877</v>
      </c>
    </row>
    <row r="42" spans="1:8">
      <c r="A42" s="273"/>
      <c r="D42" s="180">
        <f>'Costs - SR - LEO'!AA43</f>
        <v>840000000</v>
      </c>
      <c r="E42" s="270">
        <f>'Costs - SR - LEO'!AH43</f>
        <v>5.1116630631578834</v>
      </c>
      <c r="G42" s="180">
        <f>'Costs - SR - GEO'!AB43</f>
        <v>840000000</v>
      </c>
      <c r="H42" s="270">
        <f>'Costs - SR - GEO'!AI43</f>
        <v>21.954660328902666</v>
      </c>
    </row>
    <row r="43" spans="1:8">
      <c r="A43" s="273"/>
      <c r="D43" s="180">
        <f>'Costs - SR - LEO'!AA44</f>
        <v>861000000</v>
      </c>
      <c r="E43" s="270">
        <f>'Costs - SR - LEO'!AH44</f>
        <v>5.0952808050899785</v>
      </c>
      <c r="G43" s="180">
        <f>'Costs - SR - GEO'!AB44</f>
        <v>861000000</v>
      </c>
      <c r="H43" s="270">
        <f>'Costs - SR - GEO'!AI44</f>
        <v>21.923171025270168</v>
      </c>
    </row>
    <row r="44" spans="1:8">
      <c r="A44" s="273"/>
      <c r="D44" s="180">
        <f>'Costs - SR - LEO'!AA45</f>
        <v>882000000</v>
      </c>
      <c r="E44" s="270">
        <f>'Costs - SR - LEO'!AH45</f>
        <v>5.0796786545491184</v>
      </c>
      <c r="G44" s="180">
        <f>'Costs - SR - GEO'!AB45</f>
        <v>882000000</v>
      </c>
      <c r="H44" s="270">
        <f>'Costs - SR - GEO'!AI45</f>
        <v>21.893181212286837</v>
      </c>
    </row>
    <row r="45" spans="1:8">
      <c r="A45" s="273"/>
      <c r="D45" s="180">
        <f>'Costs - SR - LEO'!AA46</f>
        <v>903000000</v>
      </c>
      <c r="E45" s="270">
        <f>'Costs - SR - LEO'!AH46</f>
        <v>5.0648021854287615</v>
      </c>
      <c r="G45" s="180">
        <f>'Costs - SR - GEO'!AB46</f>
        <v>903000000</v>
      </c>
      <c r="H45" s="270">
        <f>'Costs - SR - GEO'!AI46</f>
        <v>21.86458627432599</v>
      </c>
    </row>
    <row r="46" spans="1:8">
      <c r="A46" s="273"/>
      <c r="D46" s="180">
        <f>'Costs - SR - LEO'!AA47</f>
        <v>924000000</v>
      </c>
      <c r="E46" s="270">
        <f>'Costs - SR - LEO'!AH47</f>
        <v>5.0506019194502398</v>
      </c>
      <c r="G46" s="180">
        <f>'Costs - SR - GEO'!AB47</f>
        <v>924000000</v>
      </c>
      <c r="H46" s="270">
        <f>'Costs - SR - GEO'!AI47</f>
        <v>21.837291106272449</v>
      </c>
    </row>
    <row r="47" spans="1:8">
      <c r="D47" s="180">
        <f>'Costs - SR - LEO'!AA48</f>
        <v>945000000</v>
      </c>
      <c r="E47" s="270">
        <f>'Costs - SR - LEO'!AH48</f>
        <v>5.0370327764040956</v>
      </c>
      <c r="G47" s="180">
        <f>'Costs - SR - GEO'!AB48</f>
        <v>945000000</v>
      </c>
      <c r="H47" s="270">
        <f>'Costs - SR - GEO'!AI48</f>
        <v>21.811209056799068</v>
      </c>
    </row>
    <row r="48" spans="1:8">
      <c r="D48" s="180">
        <f>'Costs - SR - LEO'!AA49</f>
        <v>966000000</v>
      </c>
      <c r="E48" s="270">
        <f>'Costs - SR - LEO'!AH49</f>
        <v>5.0240535960990904</v>
      </c>
      <c r="G48" s="180">
        <f>'Costs - SR - GEO'!AB49</f>
        <v>966000000</v>
      </c>
      <c r="H48" s="270">
        <f>'Costs - SR - GEO'!AI49</f>
        <v>21.786261009476704</v>
      </c>
    </row>
    <row r="49" spans="4:8">
      <c r="D49" s="180">
        <f>'Costs - SR - LEO'!AA50</f>
        <v>987000000</v>
      </c>
      <c r="E49" s="270">
        <f>'Costs - SR - LEO'!AH50</f>
        <v>5.0116267213389776</v>
      </c>
      <c r="G49" s="180">
        <f>'Costs - SR - GEO'!AB50</f>
        <v>987000000</v>
      </c>
      <c r="H49" s="270">
        <f>'Costs - SR - GEO'!AI50</f>
        <v>21.762374581189331</v>
      </c>
    </row>
    <row r="50" spans="4:8">
      <c r="D50" s="180">
        <f>'Costs - SR - LEO'!AA51</f>
        <v>1008000000</v>
      </c>
      <c r="E50" s="270">
        <f>'Costs - SR - LEO'!AH51</f>
        <v>4.9997176330272026</v>
      </c>
      <c r="G50" s="180">
        <f>'Costs - SR - GEO'!AB51</f>
        <v>1008000000</v>
      </c>
      <c r="H50" s="270">
        <f>'Costs - SR - GEO'!AI51</f>
        <v>21.73948342074727</v>
      </c>
    </row>
    <row r="51" spans="4:8">
      <c r="D51" s="180">
        <f>'Costs - SR - LEO'!AA52</f>
        <v>1029000000</v>
      </c>
      <c r="E51" s="270">
        <f>'Costs - SR - LEO'!AH52</f>
        <v>4.9882946299526436</v>
      </c>
      <c r="G51" s="180">
        <f>'Costs - SR - GEO'!AB52</f>
        <v>1029000000</v>
      </c>
      <c r="H51" s="270">
        <f>'Costs - SR - GEO'!AI52</f>
        <v>21.717526593384473</v>
      </c>
    </row>
    <row r="52" spans="4:8">
      <c r="D52" s="180">
        <f>'Costs - SR - LEO'!AA53</f>
        <v>1050000000</v>
      </c>
      <c r="E52" s="270">
        <f>'Costs - SR - LEO'!AH53</f>
        <v>4.9773285470010666</v>
      </c>
      <c r="G52" s="180">
        <f>'Costs - SR - GEO'!AB53</f>
        <v>1050000000</v>
      </c>
      <c r="H52" s="270">
        <f>'Costs - SR - GEO'!AI53</f>
        <v>21.696448039116195</v>
      </c>
    </row>
    <row r="53" spans="4:8">
      <c r="D53" s="180">
        <f>'Costs - SR - LEO'!AA54</f>
        <v>1071000000</v>
      </c>
      <c r="E53" s="270">
        <f>'Costs - SR - LEO'!AH54</f>
        <v>4.9667925065181793</v>
      </c>
      <c r="G53" s="180">
        <f>'Costs - SR - GEO'!AB54</f>
        <v>1071000000</v>
      </c>
      <c r="H53" s="270">
        <f>'Costs - SR - GEO'!AI54</f>
        <v>21.676196094819215</v>
      </c>
    </row>
    <row r="54" spans="4:8" ht="15" thickBot="1">
      <c r="D54" s="180">
        <f>'Costs - SR - LEO'!AA55</f>
        <v>1092000000</v>
      </c>
      <c r="E54" s="270">
        <f>'Costs - SR - LEO'!AH55</f>
        <v>4.9566616983615557</v>
      </c>
      <c r="G54" s="188">
        <f>'Costs - SR - GEO'!AB55</f>
        <v>1092000000</v>
      </c>
      <c r="H54" s="274">
        <f>'Costs - SR - GEO'!AI55</f>
        <v>21.656723071456732</v>
      </c>
    </row>
    <row r="55" spans="4:8">
      <c r="D55" s="180">
        <f>'Costs - SR - LEO'!AA56</f>
        <v>1113000000</v>
      </c>
      <c r="E55" s="270">
        <f>'Costs - SR - LEO'!AH56</f>
        <v>4.9469131848523533</v>
      </c>
      <c r="G55" s="273"/>
      <c r="H55" s="273"/>
    </row>
    <row r="56" spans="4:8">
      <c r="D56" s="180">
        <f>'Costs - SR - LEO'!AA57</f>
        <v>1134000000</v>
      </c>
      <c r="E56" s="270">
        <f>'Costs - SR - LEO'!AH57</f>
        <v>4.9375257273990467</v>
      </c>
      <c r="G56" s="273"/>
      <c r="H56" s="273"/>
    </row>
    <row r="57" spans="4:8">
      <c r="D57" s="180">
        <f>'Costs - SR - LEO'!AA58</f>
        <v>1155000000</v>
      </c>
      <c r="E57" s="270">
        <f>'Costs - SR - LEO'!AH58</f>
        <v>4.9284796320349509</v>
      </c>
      <c r="G57" s="273"/>
      <c r="H57" s="273"/>
    </row>
    <row r="58" spans="4:8">
      <c r="D58" s="180">
        <f>'Costs - SR - LEO'!AA59</f>
        <v>1176000000</v>
      </c>
      <c r="E58" s="270">
        <f>'Costs - SR - LEO'!AH59</f>
        <v>4.9197566115052878</v>
      </c>
      <c r="G58" s="273"/>
      <c r="H58" s="273"/>
    </row>
    <row r="59" spans="4:8">
      <c r="D59" s="180">
        <f>'Costs - SR - LEO'!AA60</f>
        <v>1197000000</v>
      </c>
      <c r="E59" s="270">
        <f>'Costs - SR - LEO'!AH60</f>
        <v>4.911339661871402</v>
      </c>
      <c r="G59" s="273"/>
      <c r="H59" s="273"/>
    </row>
    <row r="60" spans="4:8">
      <c r="D60" s="180">
        <f>'Costs - SR - LEO'!AA61</f>
        <v>1218000000</v>
      </c>
      <c r="E60" s="270">
        <f>'Costs - SR - LEO'!AH61</f>
        <v>4.9032129518800645</v>
      </c>
      <c r="G60" s="273"/>
      <c r="H60" s="273"/>
    </row>
    <row r="61" spans="4:8">
      <c r="D61" s="180">
        <f>'Costs - SR - LEO'!AA62</f>
        <v>1239000000</v>
      </c>
      <c r="E61" s="270">
        <f>'Costs - SR - LEO'!AH62</f>
        <v>4.8953617235833482</v>
      </c>
      <c r="G61" s="273"/>
      <c r="H61" s="273"/>
    </row>
    <row r="62" spans="4:8">
      <c r="D62" s="180">
        <f>'Costs - SR - LEO'!AA63</f>
        <v>1260000000</v>
      </c>
      <c r="E62" s="270">
        <f>'Costs - SR - LEO'!AH63</f>
        <v>4.8877722028965218</v>
      </c>
      <c r="G62" s="273"/>
      <c r="H62" s="273"/>
    </row>
    <row r="63" spans="4:8">
      <c r="D63" s="180">
        <f>'Costs - SR - LEO'!AA64</f>
        <v>1281000000</v>
      </c>
      <c r="E63" s="270">
        <f>'Costs - SR - LEO'!AH64</f>
        <v>4.880431518953527</v>
      </c>
      <c r="G63" s="273"/>
      <c r="H63" s="273"/>
    </row>
    <row r="64" spans="4:8">
      <c r="D64" s="180">
        <f>'Costs - SR - LEO'!AA65</f>
        <v>1302000000</v>
      </c>
      <c r="E64" s="270">
        <f>'Costs - SR - LEO'!AH65</f>
        <v>4.8733276312667568</v>
      </c>
      <c r="G64" s="273"/>
      <c r="H64" s="273"/>
    </row>
    <row r="65" spans="4:8">
      <c r="D65" s="180">
        <f>'Costs - SR - LEO'!AA66</f>
        <v>1323000000</v>
      </c>
      <c r="E65" s="270">
        <f>'Costs - SR - LEO'!AH66</f>
        <v>4.8664492638240109</v>
      </c>
      <c r="G65" s="273"/>
      <c r="H65" s="273"/>
    </row>
    <row r="66" spans="4:8">
      <c r="D66" s="180">
        <f>'Costs - SR - LEO'!AA67</f>
        <v>1344000000</v>
      </c>
      <c r="E66" s="270">
        <f>'Costs - SR - LEO'!AH67</f>
        <v>4.8597858453638514</v>
      </c>
      <c r="G66" s="273"/>
      <c r="H66" s="273"/>
    </row>
    <row r="67" spans="4:8">
      <c r="D67" s="180">
        <f>'Costs - SR - LEO'!AA68</f>
        <v>1365000000</v>
      </c>
      <c r="E67" s="270">
        <f>'Costs - SR - LEO'!AH68</f>
        <v>4.8533274551640044</v>
      </c>
      <c r="G67" s="273"/>
      <c r="H67" s="273"/>
    </row>
    <row r="68" spans="4:8">
      <c r="D68" s="180">
        <f>'Costs - SR - LEO'!AA69</f>
        <v>1386000000</v>
      </c>
      <c r="E68" s="270">
        <f>'Costs - SR - LEO'!AH69</f>
        <v>4.8470647737580927</v>
      </c>
      <c r="G68" s="273"/>
      <c r="H68" s="273"/>
    </row>
    <row r="69" spans="4:8">
      <c r="D69" s="180">
        <f>'Costs - SR - LEO'!AA70</f>
        <v>1407000000</v>
      </c>
      <c r="E69" s="270">
        <f>'Costs - SR - LEO'!AH70</f>
        <v>4.8409890380657892</v>
      </c>
      <c r="G69" s="273"/>
      <c r="H69" s="273"/>
    </row>
    <row r="70" spans="4:8">
      <c r="D70" s="180">
        <f>'Costs - SR - LEO'!AA71</f>
        <v>1428000000</v>
      </c>
      <c r="E70" s="270">
        <f>'Costs - SR - LEO'!AH71</f>
        <v>4.8350920004820841</v>
      </c>
      <c r="G70" s="273"/>
      <c r="H70" s="273"/>
    </row>
    <row r="71" spans="4:8">
      <c r="D71" s="180">
        <f>'Costs - SR - LEO'!AA72</f>
        <v>1449000000</v>
      </c>
      <c r="E71" s="270">
        <f>'Costs - SR - LEO'!AH72</f>
        <v>4.8293658915239925</v>
      </c>
      <c r="G71" s="273"/>
      <c r="H71" s="273"/>
    </row>
    <row r="72" spans="4:8">
      <c r="D72" s="180">
        <f>'Costs - SR - LEO'!AA73</f>
        <v>1470000000</v>
      </c>
      <c r="E72" s="270">
        <f>'Costs - SR - LEO'!AH73</f>
        <v>4.8238033856789899</v>
      </c>
      <c r="G72" s="273"/>
      <c r="H72" s="273"/>
    </row>
    <row r="73" spans="4:8">
      <c r="D73" s="180">
        <f>'Costs - SR - LEO'!AA74</f>
        <v>1491000000</v>
      </c>
      <c r="E73" s="270">
        <f>'Costs - SR - LEO'!AH74</f>
        <v>4.8183975701394806</v>
      </c>
      <c r="G73" s="273"/>
      <c r="H73" s="273"/>
    </row>
    <row r="74" spans="4:8">
      <c r="D74" s="180">
        <f>'Costs - SR - LEO'!AA75</f>
        <v>1512000000</v>
      </c>
      <c r="E74" s="270">
        <f>'Costs - SR - LEO'!AH75</f>
        <v>4.813141916142734</v>
      </c>
      <c r="G74" s="273"/>
      <c r="H74" s="273"/>
    </row>
    <row r="75" spans="4:8">
      <c r="D75" s="180">
        <f>'Costs - SR - LEO'!AA76</f>
        <v>1533000000</v>
      </c>
      <c r="E75" s="270">
        <f>'Costs - SR - LEO'!AH76</f>
        <v>4.8080302526664482</v>
      </c>
      <c r="G75" s="273"/>
      <c r="H75" s="273"/>
    </row>
    <row r="76" spans="4:8">
      <c r="D76" s="180">
        <f>'Costs - SR - LEO'!AA77</f>
        <v>1554000000</v>
      </c>
      <c r="E76" s="270">
        <f>'Costs - SR - LEO'!AH77</f>
        <v>4.8030567422570876</v>
      </c>
      <c r="G76" s="273"/>
      <c r="H76" s="273"/>
    </row>
    <row r="77" spans="4:8">
      <c r="D77" s="180">
        <f>'Costs - SR - LEO'!AA78</f>
        <v>1575000000</v>
      </c>
      <c r="E77" s="270">
        <f>'Costs - SR - LEO'!AH78</f>
        <v>4.798215858791977</v>
      </c>
      <c r="G77" s="273"/>
      <c r="H77" s="273"/>
    </row>
    <row r="78" spans="4:8">
      <c r="D78" s="180">
        <f>'Costs - SR - LEO'!AA79</f>
        <v>1596000000</v>
      </c>
      <c r="E78" s="270">
        <f>'Costs - SR - LEO'!AH79</f>
        <v>4.7935023669970001</v>
      </c>
      <c r="G78" s="273"/>
      <c r="H78" s="273"/>
    </row>
    <row r="79" spans="4:8">
      <c r="D79" s="180">
        <f>'Costs - SR - LEO'!AA80</f>
        <v>1617000000</v>
      </c>
      <c r="E79" s="270">
        <f>'Costs - SR - LEO'!AH80</f>
        <v>4.7889113035603366</v>
      </c>
      <c r="G79" s="273"/>
      <c r="H79" s="273"/>
    </row>
    <row r="80" spans="4:8">
      <c r="D80" s="180">
        <f>'Costs - SR - LEO'!AA81</f>
        <v>1638000000</v>
      </c>
      <c r="E80" s="270">
        <f>'Costs - SR - LEO'!AH81</f>
        <v>4.7844379596989706</v>
      </c>
      <c r="G80" s="273"/>
      <c r="H80" s="273"/>
    </row>
    <row r="81" spans="4:8">
      <c r="D81" s="180">
        <f>'Costs - SR - LEO'!AA82</f>
        <v>1659000000</v>
      </c>
      <c r="E81" s="270">
        <f>'Costs - SR - LEO'!AH82</f>
        <v>4.7800778650492841</v>
      </c>
      <c r="G81" s="273"/>
      <c r="H81" s="273"/>
    </row>
    <row r="82" spans="4:8">
      <c r="D82" s="180">
        <f>'Costs - SR - LEO'!AA83</f>
        <v>1680000000</v>
      </c>
      <c r="E82" s="270">
        <f>'Costs - SR - LEO'!AH83</f>
        <v>4.775826772765841</v>
      </c>
      <c r="G82" s="273"/>
      <c r="H82" s="273"/>
    </row>
    <row r="83" spans="4:8">
      <c r="D83" s="180">
        <f>'Costs - SR - LEO'!AA84</f>
        <v>1701000000</v>
      </c>
      <c r="E83" s="270">
        <f>'Costs - SR - LEO'!AH84</f>
        <v>4.771680645723964</v>
      </c>
      <c r="G83" s="273"/>
      <c r="H83" s="273"/>
    </row>
    <row r="84" spans="4:8">
      <c r="D84" s="180">
        <f>'Costs - SR - LEO'!AA85</f>
        <v>1722000000</v>
      </c>
      <c r="E84" s="270">
        <f>'Costs - SR - LEO'!AH85</f>
        <v>4.7676356437318894</v>
      </c>
      <c r="G84" s="273"/>
      <c r="H84" s="273"/>
    </row>
    <row r="85" spans="4:8">
      <c r="D85" s="180">
        <f>'Costs - SR - LEO'!AA86</f>
        <v>1743000000</v>
      </c>
      <c r="E85" s="270">
        <f>'Costs - SR - LEO'!AH86</f>
        <v>4.7636881116673333</v>
      </c>
      <c r="G85" s="273"/>
      <c r="H85" s="273"/>
    </row>
    <row r="86" spans="4:8">
      <c r="D86" s="180">
        <f>'Costs - SR - LEO'!AA87</f>
        <v>1764000000</v>
      </c>
      <c r="E86" s="270">
        <f>'Costs - SR - LEO'!AH87</f>
        <v>4.7598345684614571</v>
      </c>
      <c r="G86" s="273"/>
      <c r="H86" s="273"/>
    </row>
    <row r="87" spans="4:8">
      <c r="D87" s="180">
        <f>'Costs - SR - LEO'!AA88</f>
        <v>1785000000</v>
      </c>
      <c r="E87" s="270">
        <f>'Costs - SR - LEO'!AH88</f>
        <v>4.7560716968604266</v>
      </c>
      <c r="G87" s="273"/>
      <c r="H87" s="273"/>
    </row>
    <row r="88" spans="4:8">
      <c r="D88" s="180">
        <f>'Costs - SR - LEO'!AA89</f>
        <v>1806000000</v>
      </c>
      <c r="E88" s="270">
        <f>'Costs - SR - LEO'!AH89</f>
        <v>4.7523963339012791</v>
      </c>
      <c r="G88" s="273"/>
      <c r="H88" s="273"/>
    </row>
    <row r="89" spans="4:8">
      <c r="D89" s="180">
        <f>'Costs - SR - LEO'!AA90</f>
        <v>1827000000</v>
      </c>
      <c r="E89" s="270">
        <f>'Costs - SR - LEO'!AH90</f>
        <v>4.7488054620446425</v>
      </c>
      <c r="G89" s="273"/>
      <c r="H89" s="273"/>
    </row>
    <row r="90" spans="4:8">
      <c r="D90" s="180">
        <f>'Costs - SR - LEO'!AA91</f>
        <v>1848000000</v>
      </c>
      <c r="E90" s="270">
        <f>'Costs - SR - LEO'!AH91</f>
        <v>4.7452962009120183</v>
      </c>
      <c r="G90" s="273"/>
      <c r="H90" s="273"/>
    </row>
    <row r="91" spans="4:8">
      <c r="D91" s="180">
        <f>'Costs - SR - LEO'!AA92</f>
        <v>1869000000</v>
      </c>
      <c r="E91" s="270">
        <f>'Costs - SR - LEO'!AH92</f>
        <v>4.7418657995801272</v>
      </c>
      <c r="G91" s="273"/>
      <c r="H91" s="273"/>
    </row>
    <row r="92" spans="4:8">
      <c r="D92" s="180">
        <f>'Costs - SR - LEO'!AA93</f>
        <v>1890000000</v>
      </c>
      <c r="E92" s="270">
        <f>'Costs - SR - LEO'!AH93</f>
        <v>4.7385116293889462</v>
      </c>
      <c r="G92" s="273"/>
      <c r="H92" s="273"/>
    </row>
    <row r="93" spans="4:8">
      <c r="D93" s="180">
        <f>'Costs - SR - LEO'!AA94</f>
        <v>1911000000</v>
      </c>
      <c r="E93" s="270">
        <f>'Costs - SR - LEO'!AH94</f>
        <v>4.7352311772239455</v>
      </c>
      <c r="G93" s="273"/>
      <c r="H93" s="273"/>
    </row>
    <row r="94" spans="4:8">
      <c r="D94" s="180">
        <f>'Costs - SR - LEO'!AA95</f>
        <v>1932000000</v>
      </c>
      <c r="E94" s="270">
        <f>'Costs - SR - LEO'!AH95</f>
        <v>4.732022039236444</v>
      </c>
      <c r="G94" s="273"/>
      <c r="H94" s="273"/>
    </row>
    <row r="95" spans="4:8">
      <c r="D95" s="180">
        <f>'Costs - SR - LEO'!AA96</f>
        <v>1953000000</v>
      </c>
      <c r="E95" s="270">
        <f>'Costs - SR - LEO'!AH96</f>
        <v>4.7288819149691026</v>
      </c>
      <c r="G95" s="273"/>
      <c r="H95" s="273"/>
    </row>
    <row r="96" spans="4:8">
      <c r="D96" s="180">
        <f>'Costs - SR - LEO'!AA97</f>
        <v>1974000000</v>
      </c>
      <c r="E96" s="270">
        <f>'Costs - SR - LEO'!AH97</f>
        <v>4.7258086018563876</v>
      </c>
      <c r="G96" s="273"/>
      <c r="H96" s="273"/>
    </row>
    <row r="97" spans="4:8">
      <c r="D97" s="180">
        <f>'Costs - SR - LEO'!AA98</f>
        <v>1995000000</v>
      </c>
      <c r="E97" s="270">
        <f>'Costs - SR - LEO'!AH98</f>
        <v>4.7227999900723603</v>
      </c>
      <c r="G97" s="273"/>
      <c r="H97" s="273"/>
    </row>
    <row r="98" spans="4:8">
      <c r="D98" s="180">
        <f>'Costs - SR - LEO'!AA99</f>
        <v>2016000000</v>
      </c>
      <c r="E98" s="270">
        <f>'Costs - SR - LEO'!AH99</f>
        <v>4.7198540577004993</v>
      </c>
      <c r="G98" s="273"/>
      <c r="H98" s="273"/>
    </row>
    <row r="99" spans="4:8">
      <c r="D99" s="180">
        <f>'Costs - SR - LEO'!AA100</f>
        <v>2037000000</v>
      </c>
      <c r="E99" s="270">
        <f>'Costs - SR - LEO'!AH100</f>
        <v>4.7169688662022864</v>
      </c>
      <c r="G99" s="273"/>
      <c r="H99" s="273"/>
    </row>
    <row r="100" spans="4:8">
      <c r="D100" s="180">
        <f>'Costs - SR - LEO'!AA101</f>
        <v>2058000000</v>
      </c>
      <c r="E100" s="270">
        <f>'Costs - SR - LEO'!AH101</f>
        <v>4.7141425561632211</v>
      </c>
      <c r="G100" s="273"/>
      <c r="H100" s="273"/>
    </row>
    <row r="101" spans="4:8">
      <c r="D101" s="180">
        <f>'Costs - SR - LEO'!AA102</f>
        <v>2079000000</v>
      </c>
      <c r="E101" s="270">
        <f>'Costs - SR - LEO'!AH102</f>
        <v>4.7113733432966605</v>
      </c>
      <c r="G101" s="273"/>
      <c r="H101" s="273"/>
    </row>
    <row r="102" spans="4:8">
      <c r="D102" s="180">
        <f>'Costs - SR - LEO'!AA103</f>
        <v>2100000000</v>
      </c>
      <c r="E102" s="270">
        <f>'Costs - SR - LEO'!AH103</f>
        <v>4.7086595146874313</v>
      </c>
      <c r="G102" s="273"/>
      <c r="H102" s="273"/>
    </row>
    <row r="103" spans="4:8">
      <c r="D103" s="180">
        <f>'Costs - SR - LEO'!AA104</f>
        <v>2121000000</v>
      </c>
      <c r="E103" s="270">
        <f>'Costs - SR - LEO'!AH104</f>
        <v>4.7059994252585833</v>
      </c>
      <c r="G103" s="273"/>
      <c r="H103" s="273"/>
    </row>
    <row r="104" spans="4:8">
      <c r="D104" s="180">
        <f>'Costs - SR - LEO'!AA105</f>
        <v>2142000000</v>
      </c>
      <c r="E104" s="270">
        <f>'Costs - SR - LEO'!AH105</f>
        <v>4.7033914944459871</v>
      </c>
      <c r="G104" s="273"/>
      <c r="H104" s="273"/>
    </row>
    <row r="105" spans="4:8">
      <c r="D105" s="180">
        <f>'Costs - SR - LEO'!AA106</f>
        <v>2163000000</v>
      </c>
      <c r="E105" s="270">
        <f>'Costs - SR - LEO'!AH106</f>
        <v>4.7008342030666466</v>
      </c>
      <c r="G105" s="273"/>
      <c r="H105" s="273"/>
    </row>
    <row r="106" spans="4:8">
      <c r="D106" s="180">
        <f>'Costs - SR - LEO'!AA107</f>
        <v>2184000000</v>
      </c>
      <c r="E106" s="270">
        <f>'Costs - SR - LEO'!AH107</f>
        <v>4.6983260903676776</v>
      </c>
      <c r="G106" s="273"/>
      <c r="H106" s="273"/>
    </row>
    <row r="107" spans="4:8">
      <c r="D107" s="180">
        <f>'Costs - SR - LEO'!AA108</f>
        <v>2205000000</v>
      </c>
      <c r="E107" s="270">
        <f>'Costs - SR - LEO'!AH108</f>
        <v>4.6958657512439261</v>
      </c>
      <c r="G107" s="273"/>
      <c r="H107" s="273"/>
    </row>
    <row r="108" spans="4:8">
      <c r="D108" s="180">
        <f>'Costs - SR - LEO'!AA109</f>
        <v>2226000000</v>
      </c>
      <c r="E108" s="270">
        <f>'Costs - SR - LEO'!AH109</f>
        <v>4.6934518336130751</v>
      </c>
      <c r="G108" s="273"/>
      <c r="H108" s="273"/>
    </row>
    <row r="109" spans="4:8">
      <c r="D109" s="180">
        <f>'Costs - SR - LEO'!AA110</f>
        <v>2247000000</v>
      </c>
      <c r="E109" s="270">
        <f>'Costs - SR - LEO'!AH110</f>
        <v>4.6910830359379414</v>
      </c>
      <c r="G109" s="273"/>
      <c r="H109" s="273"/>
    </row>
    <row r="110" spans="4:8">
      <c r="D110" s="180">
        <f>'Costs - SR - LEO'!AA111</f>
        <v>2268000000</v>
      </c>
      <c r="E110" s="270">
        <f>'Costs - SR - LEO'!AH111</f>
        <v>4.6887581048864222</v>
      </c>
      <c r="G110" s="273"/>
      <c r="H110" s="273"/>
    </row>
    <row r="111" spans="4:8">
      <c r="D111" s="180">
        <f>'Costs - SR - LEO'!AA112</f>
        <v>2289000000</v>
      </c>
      <c r="E111" s="270">
        <f>'Costs - SR - LEO'!AH112</f>
        <v>4.6864758331202507</v>
      </c>
      <c r="G111" s="273"/>
      <c r="H111" s="273"/>
    </row>
    <row r="112" spans="4:8">
      <c r="D112" s="180">
        <f>'Costs - SR - LEO'!AA113</f>
        <v>2310000000</v>
      </c>
      <c r="E112" s="270">
        <f>'Costs - SR - LEO'!AH113</f>
        <v>4.6842350572043738</v>
      </c>
      <c r="G112" s="273"/>
      <c r="H112" s="273"/>
    </row>
    <row r="113" spans="4:8">
      <c r="D113" s="180">
        <f>'Costs - SR - LEO'!AA114</f>
        <v>2331000000</v>
      </c>
      <c r="E113" s="270">
        <f>'Costs - SR - LEO'!AH114</f>
        <v>4.682034655629324</v>
      </c>
      <c r="G113" s="273"/>
      <c r="H113" s="275"/>
    </row>
    <row r="114" spans="4:8">
      <c r="D114" s="180">
        <f>'Costs - SR - LEO'!AA115</f>
        <v>2352000000</v>
      </c>
      <c r="E114" s="270">
        <f>'Costs - SR - LEO'!AH115</f>
        <v>4.6798735469395423</v>
      </c>
      <c r="G114" s="273"/>
      <c r="H114" s="275"/>
    </row>
    <row r="115" spans="4:8">
      <c r="D115" s="180">
        <f>'Costs - SR - LEO'!AA116</f>
        <v>2373000000</v>
      </c>
      <c r="E115" s="270">
        <f>'Costs - SR - LEO'!AH116</f>
        <v>4.6777506879610851</v>
      </c>
      <c r="G115" s="273"/>
      <c r="H115" s="275"/>
    </row>
    <row r="116" spans="4:8">
      <c r="D116" s="180">
        <f>'Costs - SR - LEO'!AA117</f>
        <v>2394000000</v>
      </c>
      <c r="E116" s="270">
        <f>'Costs - SR - LEO'!AH117</f>
        <v>4.6756650721225999</v>
      </c>
      <c r="G116" s="273"/>
      <c r="H116" s="275"/>
    </row>
    <row r="117" spans="4:8">
      <c r="D117" s="180">
        <f>'Costs - SR - LEO'!AA118</f>
        <v>2415000000</v>
      </c>
      <c r="E117" s="270">
        <f>'Costs - SR - LEO'!AH118</f>
        <v>4.6736157278639148</v>
      </c>
      <c r="G117" s="273"/>
      <c r="H117" s="275"/>
    </row>
    <row r="118" spans="4:8">
      <c r="D118" s="180">
        <f>'Costs - SR - LEO'!AA119</f>
        <v>2436000000</v>
      </c>
      <c r="E118" s="270">
        <f>'Costs - SR - LEO'!AH119</f>
        <v>4.6716017171269311</v>
      </c>
      <c r="G118" s="273"/>
      <c r="H118" s="275"/>
    </row>
    <row r="119" spans="4:8">
      <c r="D119" s="180">
        <f>'Costs - SR - LEO'!AA120</f>
        <v>2457000000</v>
      </c>
      <c r="E119" s="270">
        <f>'Costs - SR - LEO'!AH120</f>
        <v>4.6696221339239115</v>
      </c>
      <c r="G119" s="273"/>
      <c r="H119" s="275"/>
    </row>
    <row r="120" spans="4:8">
      <c r="D120" s="180">
        <f>'Costs - SR - LEO'!AA121</f>
        <v>2478000000</v>
      </c>
      <c r="E120" s="270">
        <f>'Costs - SR - LEO'!AH121</f>
        <v>4.6676761029785734</v>
      </c>
      <c r="G120" s="273"/>
      <c r="H120" s="275"/>
    </row>
    <row r="121" spans="4:8">
      <c r="D121" s="180">
        <f>'Costs - SR - LEO'!AA122</f>
        <v>2499000000</v>
      </c>
      <c r="E121" s="270">
        <f>'Costs - SR - LEO'!AH122</f>
        <v>4.6657627784356741</v>
      </c>
      <c r="G121" s="273"/>
      <c r="H121" s="275"/>
    </row>
    <row r="122" spans="4:8">
      <c r="D122" s="180">
        <f>'Costs - SR - LEO'!AA123</f>
        <v>2520000000</v>
      </c>
      <c r="E122" s="270">
        <f>'Costs - SR - LEO'!AH123</f>
        <v>4.6638813426351602</v>
      </c>
      <c r="G122" s="273"/>
      <c r="H122" s="275"/>
    </row>
    <row r="123" spans="4:8">
      <c r="D123" s="180">
        <f>'Costs - SR - LEO'!AA124</f>
        <v>2541000000</v>
      </c>
      <c r="E123" s="270">
        <f>'Costs - SR - LEO'!AH124</f>
        <v>4.6620310049470488</v>
      </c>
      <c r="G123" s="273"/>
      <c r="H123" s="275"/>
    </row>
    <row r="124" spans="4:8">
      <c r="D124" s="180">
        <f>'Costs - SR - LEO'!AA125</f>
        <v>2562000000</v>
      </c>
      <c r="E124" s="270">
        <f>'Costs - SR - LEO'!AH125</f>
        <v>4.6602110006636623</v>
      </c>
      <c r="G124" s="273"/>
      <c r="H124" s="275"/>
    </row>
    <row r="125" spans="4:8">
      <c r="D125" s="180">
        <f>'Costs - SR - LEO'!AA126</f>
        <v>2583000000</v>
      </c>
      <c r="E125" s="270">
        <f>'Costs - SR - LEO'!AH126</f>
        <v>4.6584205899458579</v>
      </c>
      <c r="G125" s="273"/>
      <c r="H125" s="275"/>
    </row>
    <row r="126" spans="4:8">
      <c r="D126" s="180">
        <f>'Costs - SR - LEO'!AA127</f>
        <v>2604000000</v>
      </c>
      <c r="E126" s="270">
        <f>'Costs - SR - LEO'!AH127</f>
        <v>4.6566590568202768</v>
      </c>
      <c r="G126" s="273"/>
      <c r="H126" s="275"/>
    </row>
    <row r="127" spans="4:8">
      <c r="D127" s="180">
        <f>'Costs - SR - LEO'!AA128</f>
        <v>2625000000</v>
      </c>
      <c r="E127" s="270">
        <f>'Costs - SR - LEO'!AH128</f>
        <v>4.6549257082247051</v>
      </c>
      <c r="G127" s="273"/>
      <c r="H127" s="275"/>
    </row>
    <row r="128" spans="4:8">
      <c r="D128" s="180">
        <f>'Costs - SR - LEO'!AA129</f>
        <v>2646000000</v>
      </c>
      <c r="E128" s="270">
        <f>'Costs - SR - LEO'!AH129</f>
        <v>4.6532198730989034</v>
      </c>
      <c r="G128" s="273"/>
      <c r="H128" s="275"/>
    </row>
    <row r="129" spans="4:8">
      <c r="D129" s="180">
        <f>'Costs - SR - LEO'!AA130</f>
        <v>2667000000</v>
      </c>
      <c r="E129" s="270">
        <f>'Costs - SR - LEO'!AH130</f>
        <v>4.6515409015183913</v>
      </c>
      <c r="G129" s="273"/>
      <c r="H129" s="275"/>
    </row>
    <row r="130" spans="4:8">
      <c r="D130" s="180">
        <f>'Costs - SR - LEO'!AA131</f>
        <v>2688000000</v>
      </c>
      <c r="E130" s="270">
        <f>'Costs - SR - LEO'!AH131</f>
        <v>4.649888163868825</v>
      </c>
      <c r="G130" s="273"/>
      <c r="H130" s="275"/>
    </row>
    <row r="131" spans="4:8">
      <c r="D131" s="180">
        <f>'Costs - SR - LEO'!AA132</f>
        <v>2709000000</v>
      </c>
      <c r="E131" s="270">
        <f>'Costs - SR - LEO'!AH132</f>
        <v>4.6482610500587853</v>
      </c>
      <c r="G131" s="273"/>
      <c r="H131" s="275"/>
    </row>
    <row r="132" spans="4:8">
      <c r="D132" s="180">
        <f>'Costs - SR - LEO'!AA133</f>
        <v>2730000000</v>
      </c>
      <c r="E132" s="270">
        <f>'Costs - SR - LEO'!AH133</f>
        <v>4.6466589687689011</v>
      </c>
      <c r="G132" s="273"/>
      <c r="H132" s="275"/>
    </row>
    <row r="133" spans="4:8">
      <c r="D133" s="180">
        <f>'Costs - SR - LEO'!AA134</f>
        <v>2751000000</v>
      </c>
      <c r="E133" s="270">
        <f>'Costs - SR - LEO'!AH134</f>
        <v>4.6450813467353509</v>
      </c>
      <c r="G133" s="273"/>
      <c r="H133" s="275"/>
    </row>
    <row r="134" spans="4:8">
      <c r="D134" s="180">
        <f>'Costs - SR - LEO'!AA135</f>
        <v>2772000000</v>
      </c>
      <c r="E134" s="270">
        <f>'Costs - SR - LEO'!AH135</f>
        <v>4.6435276280659448</v>
      </c>
      <c r="G134" s="273"/>
      <c r="H134" s="275"/>
    </row>
    <row r="135" spans="4:8">
      <c r="D135" s="180">
        <f>'Costs - SR - LEO'!AA136</f>
        <v>2793000000</v>
      </c>
      <c r="E135" s="270">
        <f>'Costs - SR - LEO'!AH136</f>
        <v>4.6419972735870569</v>
      </c>
      <c r="G135" s="273"/>
      <c r="H135" s="275"/>
    </row>
    <row r="136" spans="4:8">
      <c r="D136" s="180">
        <f>'Costs - SR - LEO'!AA137</f>
        <v>2814000000</v>
      </c>
      <c r="E136" s="270">
        <f>'Costs - SR - LEO'!AH137</f>
        <v>4.6404897602197934</v>
      </c>
      <c r="G136" s="273"/>
      <c r="H136" s="275"/>
    </row>
    <row r="137" spans="4:8">
      <c r="D137" s="180">
        <f>'Costs - SR - LEO'!AA138</f>
        <v>2835000000</v>
      </c>
      <c r="E137" s="270">
        <f>'Costs - SR - LEO'!AH138</f>
        <v>4.6390045803838964</v>
      </c>
    </row>
    <row r="138" spans="4:8">
      <c r="D138" s="180">
        <f>'Costs - SR - LEO'!AA139</f>
        <v>2856000000</v>
      </c>
      <c r="E138" s="270">
        <f>'Costs - SR - LEO'!AH139</f>
        <v>4.6375412414279404</v>
      </c>
    </row>
    <row r="139" spans="4:8">
      <c r="D139" s="180">
        <f>'Costs - SR - LEO'!AA140</f>
        <v>2877000000</v>
      </c>
      <c r="E139" s="270">
        <f>'Costs - SR - LEO'!AH140</f>
        <v>4.6360992650844794</v>
      </c>
    </row>
    <row r="140" spans="4:8">
      <c r="D140" s="180">
        <f>'Costs - SR - LEO'!AA141</f>
        <v>2898000000</v>
      </c>
      <c r="E140" s="270">
        <f>'Costs - SR - LEO'!AH141</f>
        <v>4.6346781869488947</v>
      </c>
    </row>
    <row r="141" spans="4:8">
      <c r="D141" s="180">
        <f>'Costs - SR - LEO'!AA142</f>
        <v>2919000000</v>
      </c>
      <c r="E141" s="270">
        <f>'Costs - SR - LEO'!AH142</f>
        <v>4.6332775559807287</v>
      </c>
    </row>
    <row r="142" spans="4:8">
      <c r="D142" s="180">
        <f>'Costs - SR - LEO'!AA143</f>
        <v>2940000000</v>
      </c>
      <c r="E142" s="270">
        <f>'Costs - SR - LEO'!AH143</f>
        <v>4.6318969340263925</v>
      </c>
    </row>
    <row r="143" spans="4:8">
      <c r="D143" s="180">
        <f>'Costs - SR - LEO'!AA144</f>
        <v>2961000000</v>
      </c>
      <c r="E143" s="270">
        <f>'Costs - SR - LEO'!AH144</f>
        <v>4.6305358953621907</v>
      </c>
    </row>
    <row r="144" spans="4:8">
      <c r="D144" s="180">
        <f>'Costs - SR - LEO'!AA145</f>
        <v>2982000000</v>
      </c>
      <c r="E144" s="270">
        <f>'Costs - SR - LEO'!AH145</f>
        <v>4.6291940262566387</v>
      </c>
    </row>
    <row r="145" spans="4:5">
      <c r="D145" s="180">
        <f>'Costs - SR - LEO'!AA146</f>
        <v>3003000000</v>
      </c>
      <c r="E145" s="270">
        <f>'Costs - SR - LEO'!AH146</f>
        <v>4.6278709245511642</v>
      </c>
    </row>
    <row r="146" spans="4:5">
      <c r="D146" s="180">
        <f>'Costs - SR - LEO'!AA147</f>
        <v>3024000000</v>
      </c>
      <c r="E146" s="270">
        <f>'Costs - SR - LEO'!AH147</f>
        <v>4.6265661992582663</v>
      </c>
    </row>
    <row r="147" spans="4:5">
      <c r="D147" s="180">
        <f>'Costs - SR - LEO'!AA148</f>
        <v>3045000000</v>
      </c>
      <c r="E147" s="270">
        <f>'Costs - SR - LEO'!AH148</f>
        <v>4.625279470176304</v>
      </c>
    </row>
    <row r="148" spans="4:5">
      <c r="D148" s="180">
        <f>'Costs - SR - LEO'!AA149</f>
        <v>3066000000</v>
      </c>
      <c r="E148" s="270">
        <f>'Costs - SR - LEO'!AH149</f>
        <v>4.624010367520123</v>
      </c>
    </row>
    <row r="149" spans="4:5">
      <c r="D149" s="180">
        <f>'Costs - SR - LEO'!AA150</f>
        <v>3087000000</v>
      </c>
      <c r="E149" s="270">
        <f>'Costs - SR - LEO'!AH150</f>
        <v>4.6227585315667454</v>
      </c>
    </row>
    <row r="150" spans="4:5">
      <c r="D150" s="180">
        <f>'Costs - SR - LEO'!AA151</f>
        <v>3108000000</v>
      </c>
      <c r="E150" s="270">
        <f>'Costs - SR - LEO'!AH151</f>
        <v>4.6215236123154426</v>
      </c>
    </row>
    <row r="151" spans="4:5">
      <c r="D151" s="180">
        <f>'Costs - SR - LEO'!AA152</f>
        <v>3129000000</v>
      </c>
      <c r="E151" s="270">
        <f>'Costs - SR - LEO'!AH152</f>
        <v>4.620305269161471</v>
      </c>
    </row>
    <row r="152" spans="4:5">
      <c r="D152" s="180">
        <f>'Costs - SR - LEO'!AA153</f>
        <v>3150000000</v>
      </c>
      <c r="E152" s="270">
        <f>'Costs - SR - LEO'!AH153</f>
        <v>4.6191031705828873</v>
      </c>
    </row>
    <row r="153" spans="4:5">
      <c r="D153" s="180">
        <f>'Costs - SR - LEO'!AA154</f>
        <v>3171000000</v>
      </c>
      <c r="E153" s="270">
        <f>'Costs - SR - LEO'!AH154</f>
        <v>4.6179169938397804</v>
      </c>
    </row>
    <row r="154" spans="4:5">
      <c r="D154" s="180">
        <f>'Costs - SR - LEO'!AA155</f>
        <v>3192000000</v>
      </c>
      <c r="E154" s="270">
        <f>'Costs - SR - LEO'!AH155</f>
        <v>4.6167464246853989</v>
      </c>
    </row>
    <row r="155" spans="4:5">
      <c r="D155" s="180">
        <f>'Costs - SR - LEO'!AA156</f>
        <v>3213000000</v>
      </c>
      <c r="E155" s="270">
        <f>'Costs - SR - LEO'!AH156</f>
        <v>4.6155911570885912</v>
      </c>
    </row>
    <row r="156" spans="4:5">
      <c r="D156" s="180">
        <f>'Costs - SR - LEO'!AA157</f>
        <v>3234000000</v>
      </c>
      <c r="E156" s="270">
        <f>'Costs - SR - LEO'!AH157</f>
        <v>4.6144508929670662</v>
      </c>
    </row>
    <row r="157" spans="4:5">
      <c r="D157" s="180">
        <f>'Costs - SR - LEO'!AA158</f>
        <v>3255000000</v>
      </c>
      <c r="E157" s="270">
        <f>'Costs - SR - LEO'!AH158</f>
        <v>4.613325341930981</v>
      </c>
    </row>
    <row r="158" spans="4:5">
      <c r="D158" s="180">
        <f>'Costs - SR - LEO'!AA159</f>
        <v>3276000000</v>
      </c>
      <c r="E158" s="270">
        <f>'Costs - SR - LEO'!AH159</f>
        <v>4.6122142210363837</v>
      </c>
    </row>
    <row r="159" spans="4:5">
      <c r="D159" s="180">
        <f>'Costs - SR - LEO'!AA160</f>
        <v>3297000000</v>
      </c>
      <c r="E159" s="270">
        <f>'Costs - SR - LEO'!AH160</f>
        <v>4.6111172545480876</v>
      </c>
    </row>
    <row r="160" spans="4:5">
      <c r="D160" s="180">
        <f>'Costs - SR - LEO'!AA161</f>
        <v>3318000000</v>
      </c>
      <c r="E160" s="270">
        <f>'Costs - SR - LEO'!AH161</f>
        <v>4.61003417371154</v>
      </c>
    </row>
    <row r="161" spans="4:5">
      <c r="D161" s="180">
        <f>'Costs - SR - LEO'!AA162</f>
        <v>3339000000</v>
      </c>
      <c r="E161" s="270">
        <f>'Costs - SR - LEO'!AH162</f>
        <v>4.6089647165333165</v>
      </c>
    </row>
    <row r="162" spans="4:5">
      <c r="D162" s="180">
        <f>'Costs - SR - LEO'!AA163</f>
        <v>3360000000</v>
      </c>
      <c r="E162" s="270">
        <f>'Costs - SR - LEO'!AH163</f>
        <v>4.6079086275698193</v>
      </c>
    </row>
    <row r="163" spans="4:5">
      <c r="D163" s="180">
        <f>'Costs - SR - LEO'!AA164</f>
        <v>3381000000</v>
      </c>
      <c r="E163" s="270">
        <f>'Costs - SR - LEO'!AH164</f>
        <v>4.6068656577238807</v>
      </c>
    </row>
    <row r="164" spans="4:5">
      <c r="D164" s="180">
        <f>'Costs - SR - LEO'!AA165</f>
        <v>3402000000</v>
      </c>
      <c r="E164" s="270">
        <f>'Costs - SR - LEO'!AH165</f>
        <v>4.6058355640488804</v>
      </c>
    </row>
    <row r="165" spans="4:5">
      <c r="D165" s="180">
        <f>'Costs - SR - LEO'!AA166</f>
        <v>3423000000</v>
      </c>
      <c r="E165" s="270">
        <f>'Costs - SR - LEO'!AH166</f>
        <v>4.6048181095600764</v>
      </c>
    </row>
    <row r="166" spans="4:5">
      <c r="D166" s="180">
        <f>'Costs - SR - LEO'!AA167</f>
        <v>3444000000</v>
      </c>
      <c r="E166" s="270">
        <f>'Costs - SR - LEO'!AH167</f>
        <v>4.6038130630528435</v>
      </c>
    </row>
    <row r="167" spans="4:5">
      <c r="D167" s="180">
        <f>'Costs - SR - LEO'!AA168</f>
        <v>3465000000</v>
      </c>
      <c r="E167" s="270">
        <f>'Costs - SR - LEO'!AH168</f>
        <v>4.6028201989275157</v>
      </c>
    </row>
    <row r="168" spans="4:5">
      <c r="D168" s="180">
        <f>'Costs - SR - LEO'!AA169</f>
        <v>3486000000</v>
      </c>
      <c r="E168" s="270">
        <f>'Costs - SR - LEO'!AH169</f>
        <v>4.6018392970205655</v>
      </c>
    </row>
    <row r="169" spans="4:5">
      <c r="D169" s="180">
        <f>'Costs - SR - LEO'!AA170</f>
        <v>3507000000</v>
      </c>
      <c r="E169" s="270">
        <f>'Costs - SR - LEO'!AH170</f>
        <v>4.6008701424418419</v>
      </c>
    </row>
    <row r="170" spans="4:5">
      <c r="D170" s="180">
        <f>'Costs - SR - LEO'!AA171</f>
        <v>3528000000</v>
      </c>
      <c r="E170" s="270">
        <f>'Costs - SR - LEO'!AH171</f>
        <v>4.5999125254176274</v>
      </c>
    </row>
    <row r="171" spans="4:5">
      <c r="D171" s="180">
        <f>'Costs - SR - LEO'!AA172</f>
        <v>3549000000</v>
      </c>
      <c r="E171" s="270">
        <f>'Costs - SR - LEO'!AH172</f>
        <v>4.5989662411392622</v>
      </c>
    </row>
    <row r="172" spans="4:5">
      <c r="D172" s="180">
        <f>'Costs - SR - LEO'!AA173</f>
        <v>3570000000</v>
      </c>
      <c r="E172" s="270">
        <f>'Costs - SR - LEO'!AH173</f>
        <v>4.5980310896171117</v>
      </c>
    </row>
    <row r="173" spans="4:5">
      <c r="D173" s="180">
        <f>'Costs - SR - LEO'!AA174</f>
        <v>3591000000</v>
      </c>
      <c r="E173" s="270">
        <f>'Costs - SR - LEO'!AH174</f>
        <v>4.5971068755396658</v>
      </c>
    </row>
    <row r="174" spans="4:5">
      <c r="D174" s="180">
        <f>'Costs - SR - LEO'!AA175</f>
        <v>3612000000</v>
      </c>
      <c r="E174" s="270">
        <f>'Costs - SR - LEO'!AH175</f>
        <v>4.5961934081375393</v>
      </c>
    </row>
    <row r="175" spans="4:5">
      <c r="D175" s="180">
        <f>'Costs - SR - LEO'!AA176</f>
        <v>3633000000</v>
      </c>
      <c r="E175" s="270">
        <f>'Costs - SR - LEO'!AH176</f>
        <v>4.5952905010521992</v>
      </c>
    </row>
    <row r="176" spans="4:5">
      <c r="D176" s="180">
        <f>'Costs - SR - LEO'!AA177</f>
        <v>3654000000</v>
      </c>
      <c r="E176" s="270">
        <f>'Costs - SR - LEO'!AH177</f>
        <v>4.5943979722092188</v>
      </c>
    </row>
    <row r="177" spans="4:5">
      <c r="D177" s="180">
        <f>'Costs - SR - LEO'!AA178</f>
        <v>3675000000</v>
      </c>
      <c r="E177" s="270">
        <f>'Costs - SR - LEO'!AH178</f>
        <v>4.5935156436958744</v>
      </c>
    </row>
    <row r="178" spans="4:5">
      <c r="D178" s="180">
        <f>'Costs - SR - LEO'!AA179</f>
        <v>3696000000</v>
      </c>
      <c r="E178" s="270">
        <f>'Costs - SR - LEO'!AH179</f>
        <v>4.5926433416429084</v>
      </c>
    </row>
    <row r="179" spans="4:5" ht="15" thickBot="1">
      <c r="D179" s="188">
        <f>'Costs - SR - LEO'!AA180</f>
        <v>3717000000</v>
      </c>
      <c r="E179" s="274">
        <f>'Costs - SR - LEO'!AH180</f>
        <v>4.591780896110313</v>
      </c>
    </row>
    <row r="180" spans="4:5">
      <c r="D180" s="273"/>
      <c r="E180" s="273"/>
    </row>
    <row r="181" spans="4:5">
      <c r="D181" s="277"/>
      <c r="E181" s="275"/>
    </row>
    <row r="182" spans="4:5">
      <c r="D182" s="277"/>
      <c r="E182" s="275"/>
    </row>
    <row r="183" spans="4:5">
      <c r="D183" s="277"/>
      <c r="E183" s="275"/>
    </row>
    <row r="184" spans="4:5">
      <c r="D184" s="277"/>
      <c r="E184" s="275"/>
    </row>
    <row r="185" spans="4:5">
      <c r="D185" s="277"/>
      <c r="E185" s="275"/>
    </row>
    <row r="186" spans="4:5">
      <c r="D186" s="277"/>
      <c r="E186" s="275"/>
    </row>
    <row r="187" spans="4:5">
      <c r="D187" s="277"/>
      <c r="E187" s="275"/>
    </row>
    <row r="188" spans="4:5">
      <c r="D188" s="277"/>
      <c r="E188" s="275"/>
    </row>
    <row r="189" spans="4:5">
      <c r="D189" s="277"/>
      <c r="E189" s="275"/>
    </row>
    <row r="190" spans="4:5">
      <c r="D190" s="277"/>
      <c r="E190" s="275"/>
    </row>
    <row r="191" spans="4:5">
      <c r="D191" s="277"/>
      <c r="E191" s="275"/>
    </row>
    <row r="192" spans="4:5">
      <c r="D192" s="277"/>
      <c r="E192" s="275"/>
    </row>
    <row r="193" spans="4:5">
      <c r="D193" s="277"/>
      <c r="E193" s="275"/>
    </row>
    <row r="194" spans="4:5">
      <c r="D194" s="277"/>
      <c r="E194" s="275"/>
    </row>
    <row r="195" spans="4:5">
      <c r="D195" s="277"/>
      <c r="E195" s="275"/>
    </row>
    <row r="196" spans="4:5">
      <c r="D196" s="277"/>
      <c r="E196" s="275"/>
    </row>
    <row r="197" spans="4:5">
      <c r="D197" s="277"/>
      <c r="E197" s="275"/>
    </row>
    <row r="198" spans="4:5">
      <c r="D198" s="277"/>
      <c r="E198" s="275"/>
    </row>
    <row r="199" spans="4:5">
      <c r="D199" s="277"/>
      <c r="E199" s="275"/>
    </row>
    <row r="200" spans="4:5">
      <c r="D200" s="277"/>
      <c r="E200" s="275"/>
    </row>
    <row r="201" spans="4:5">
      <c r="D201" s="277"/>
      <c r="E201" s="275"/>
    </row>
    <row r="202" spans="4:5">
      <c r="D202" s="277"/>
      <c r="E202" s="275"/>
    </row>
    <row r="203" spans="4:5">
      <c r="D203" s="277"/>
      <c r="E203" s="275"/>
    </row>
    <row r="204" spans="4:5">
      <c r="D204" s="277"/>
      <c r="E204" s="275"/>
    </row>
    <row r="205" spans="4:5">
      <c r="D205" s="277"/>
      <c r="E205" s="275"/>
    </row>
    <row r="206" spans="4:5">
      <c r="D206" s="277"/>
      <c r="E206" s="275"/>
    </row>
    <row r="207" spans="4:5">
      <c r="D207" s="277"/>
      <c r="E207" s="275"/>
    </row>
    <row r="208" spans="4:5">
      <c r="D208" s="277"/>
      <c r="E208" s="275"/>
    </row>
    <row r="209" spans="4:5">
      <c r="D209" s="277"/>
      <c r="E209" s="275"/>
    </row>
    <row r="210" spans="4:5">
      <c r="D210" s="277"/>
      <c r="E210" s="275"/>
    </row>
    <row r="211" spans="4:5">
      <c r="D211" s="277"/>
      <c r="E211" s="275"/>
    </row>
    <row r="212" spans="4:5">
      <c r="D212" s="277"/>
      <c r="E212" s="275"/>
    </row>
    <row r="213" spans="4:5">
      <c r="D213" s="277"/>
      <c r="E213" s="275"/>
    </row>
    <row r="214" spans="4:5">
      <c r="D214" s="277"/>
      <c r="E214" s="275"/>
    </row>
    <row r="215" spans="4:5">
      <c r="D215" s="277"/>
      <c r="E215" s="275"/>
    </row>
    <row r="216" spans="4:5">
      <c r="D216" s="277"/>
      <c r="E216" s="275"/>
    </row>
    <row r="217" spans="4:5">
      <c r="D217" s="277"/>
      <c r="E217" s="275"/>
    </row>
    <row r="218" spans="4:5">
      <c r="D218" s="277"/>
      <c r="E218" s="275"/>
    </row>
    <row r="219" spans="4:5">
      <c r="D219" s="277"/>
      <c r="E219" s="275"/>
    </row>
    <row r="220" spans="4:5">
      <c r="D220" s="277"/>
      <c r="E220" s="275"/>
    </row>
    <row r="221" spans="4:5">
      <c r="D221" s="277"/>
      <c r="E221" s="275"/>
    </row>
    <row r="222" spans="4:5">
      <c r="D222" s="277"/>
      <c r="E222" s="275"/>
    </row>
    <row r="223" spans="4:5">
      <c r="D223" s="277"/>
      <c r="E223" s="275"/>
    </row>
    <row r="224" spans="4:5">
      <c r="D224" s="277"/>
      <c r="E224" s="275"/>
    </row>
    <row r="225" spans="4:5">
      <c r="D225" s="277"/>
      <c r="E225" s="275"/>
    </row>
    <row r="226" spans="4:5">
      <c r="D226" s="277"/>
      <c r="E226" s="275"/>
    </row>
    <row r="227" spans="4:5">
      <c r="D227" s="277"/>
      <c r="E227" s="275"/>
    </row>
    <row r="228" spans="4:5">
      <c r="D228" s="277"/>
      <c r="E228" s="275"/>
    </row>
    <row r="229" spans="4:5">
      <c r="D229" s="277"/>
      <c r="E229" s="275"/>
    </row>
    <row r="230" spans="4:5">
      <c r="D230" s="277"/>
      <c r="E230" s="275"/>
    </row>
    <row r="231" spans="4:5">
      <c r="D231" s="277"/>
      <c r="E231" s="275"/>
    </row>
    <row r="232" spans="4:5">
      <c r="D232" s="277"/>
      <c r="E232" s="275"/>
    </row>
    <row r="233" spans="4:5">
      <c r="D233" s="277"/>
      <c r="E233" s="275"/>
    </row>
    <row r="234" spans="4:5">
      <c r="D234" s="277"/>
      <c r="E234" s="275"/>
    </row>
    <row r="235" spans="4:5">
      <c r="D235" s="277"/>
      <c r="E235" s="275"/>
    </row>
    <row r="236" spans="4:5">
      <c r="D236" s="277"/>
      <c r="E236" s="275"/>
    </row>
    <row r="237" spans="4:5">
      <c r="D237" s="277"/>
      <c r="E237" s="275"/>
    </row>
    <row r="238" spans="4:5">
      <c r="D238" s="277"/>
      <c r="E238" s="275"/>
    </row>
    <row r="239" spans="4:5">
      <c r="D239" s="277"/>
      <c r="E239" s="275"/>
    </row>
    <row r="240" spans="4:5">
      <c r="D240" s="277"/>
      <c r="E240" s="275"/>
    </row>
    <row r="241" spans="4:5">
      <c r="D241" s="277"/>
      <c r="E241" s="275"/>
    </row>
    <row r="242" spans="4:5">
      <c r="D242" s="277"/>
      <c r="E242" s="275"/>
    </row>
    <row r="243" spans="4:5">
      <c r="D243" s="277"/>
      <c r="E243" s="275"/>
    </row>
    <row r="244" spans="4:5">
      <c r="D244" s="277"/>
      <c r="E244" s="275"/>
    </row>
    <row r="245" spans="4:5">
      <c r="D245" s="277"/>
      <c r="E245" s="275"/>
    </row>
    <row r="246" spans="4:5">
      <c r="D246" s="277"/>
      <c r="E246" s="275"/>
    </row>
    <row r="247" spans="4:5">
      <c r="D247" s="277"/>
      <c r="E247" s="275"/>
    </row>
    <row r="248" spans="4:5">
      <c r="D248" s="277"/>
      <c r="E248" s="275"/>
    </row>
    <row r="249" spans="4:5">
      <c r="D249" s="277"/>
      <c r="E249" s="275"/>
    </row>
    <row r="250" spans="4:5">
      <c r="D250" s="277"/>
      <c r="E250" s="275"/>
    </row>
    <row r="251" spans="4:5">
      <c r="D251" s="277"/>
      <c r="E251" s="275"/>
    </row>
    <row r="252" spans="4:5">
      <c r="D252" s="277"/>
      <c r="E252" s="275"/>
    </row>
    <row r="253" spans="4:5">
      <c r="D253" s="277"/>
      <c r="E253" s="275"/>
    </row>
    <row r="254" spans="4:5">
      <c r="D254" s="277"/>
      <c r="E254" s="275"/>
    </row>
    <row r="255" spans="4:5">
      <c r="D255" s="277"/>
      <c r="E255" s="275"/>
    </row>
    <row r="256" spans="4:5">
      <c r="D256" s="277"/>
      <c r="E256" s="275"/>
    </row>
  </sheetData>
  <mergeCells count="3">
    <mergeCell ref="G1:H1"/>
    <mergeCell ref="A1:B1"/>
    <mergeCell ref="D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0FC01-2C16-4BB9-9334-CFE7F9A27988}">
  <sheetPr>
    <tabColor rgb="FFFFFF00"/>
  </sheetPr>
  <dimension ref="A1:AF115"/>
  <sheetViews>
    <sheetView zoomScaleNormal="100" workbookViewId="0">
      <selection activeCell="L11" sqref="L11"/>
    </sheetView>
  </sheetViews>
  <sheetFormatPr defaultRowHeight="14.4"/>
  <cols>
    <col min="1" max="1" width="21.88671875" style="2" customWidth="1"/>
    <col min="2" max="2" width="29.109375" style="2" customWidth="1"/>
    <col min="3" max="3" width="19.5546875" style="2" customWidth="1"/>
    <col min="4" max="4" width="23.21875" style="2" customWidth="1"/>
    <col min="5" max="5" width="25.77734375" style="2" bestFit="1" customWidth="1"/>
    <col min="6" max="6" width="11.21875" style="2" bestFit="1" customWidth="1"/>
    <col min="7" max="7" width="12.44140625" style="2" bestFit="1" customWidth="1"/>
    <col min="8" max="10" width="15.88671875" style="2" bestFit="1" customWidth="1"/>
    <col min="11" max="11" width="11.21875" style="2" bestFit="1" customWidth="1"/>
    <col min="12" max="12" width="17" style="2" customWidth="1"/>
    <col min="13" max="13" width="16.77734375" style="2" customWidth="1"/>
    <col min="14" max="15" width="8.88671875" style="2"/>
    <col min="16" max="16" width="11.77734375" style="2" customWidth="1"/>
    <col min="17" max="17" width="8.6640625" style="2" customWidth="1"/>
    <col min="18" max="18" width="11.5546875" style="2" customWidth="1"/>
    <col min="19" max="19" width="10.33203125" style="2" customWidth="1"/>
    <col min="20" max="23" width="8.88671875" style="2"/>
    <col min="24" max="24" width="13" style="2" customWidth="1"/>
    <col min="33" max="16384" width="8.88671875" style="2"/>
  </cols>
  <sheetData>
    <row r="1" spans="1:32" ht="15.6">
      <c r="A1" s="490" t="s">
        <v>506</v>
      </c>
      <c r="B1" s="490"/>
      <c r="C1" s="490"/>
      <c r="D1" s="490"/>
      <c r="E1" s="490"/>
      <c r="F1" s="490"/>
      <c r="G1" s="490"/>
      <c r="H1" s="490"/>
      <c r="I1" s="490"/>
      <c r="J1" s="490"/>
      <c r="K1" s="490"/>
      <c r="L1" s="490"/>
      <c r="Y1" s="37"/>
      <c r="Z1" s="37"/>
      <c r="AA1" s="37"/>
      <c r="AB1" s="37"/>
      <c r="AC1" s="37"/>
      <c r="AD1" s="37"/>
      <c r="AE1" s="37"/>
      <c r="AF1" s="37"/>
    </row>
    <row r="2" spans="1:32">
      <c r="Y2" s="37"/>
      <c r="Z2" s="37"/>
      <c r="AA2" s="37"/>
      <c r="AB2" s="37"/>
      <c r="AC2" s="37"/>
      <c r="AD2" s="37"/>
      <c r="AE2" s="37"/>
      <c r="AF2" s="37"/>
    </row>
    <row r="3" spans="1:32" ht="15" thickBot="1">
      <c r="A3" s="491" t="s">
        <v>415</v>
      </c>
      <c r="B3" s="491"/>
      <c r="C3" s="491"/>
      <c r="D3" s="491"/>
      <c r="E3" s="491"/>
      <c r="G3" s="483" t="s">
        <v>415</v>
      </c>
      <c r="H3" s="483"/>
      <c r="I3" s="483"/>
      <c r="J3" s="483"/>
    </row>
    <row r="4" spans="1:32" ht="27.6">
      <c r="A4" s="172" t="s">
        <v>237</v>
      </c>
      <c r="B4" s="173" t="s">
        <v>238</v>
      </c>
      <c r="C4" s="173" t="s">
        <v>239</v>
      </c>
      <c r="D4" s="173" t="s">
        <v>240</v>
      </c>
      <c r="E4" s="174" t="s">
        <v>241</v>
      </c>
      <c r="G4" s="416" t="s">
        <v>236</v>
      </c>
      <c r="H4" s="227" t="s">
        <v>7</v>
      </c>
      <c r="I4" s="227" t="s">
        <v>55</v>
      </c>
      <c r="J4" s="230" t="s">
        <v>6</v>
      </c>
    </row>
    <row r="5" spans="1:32" ht="15" thickBot="1">
      <c r="A5" s="102">
        <f>Current_Cost!B56</f>
        <v>94341.243582887691</v>
      </c>
      <c r="B5" s="94">
        <f>Current_Cost!B57</f>
        <v>175946.17738095237</v>
      </c>
      <c r="C5" s="94">
        <f>Current_Cost!B58</f>
        <v>836</v>
      </c>
      <c r="D5" s="94">
        <f>Current_Cost!B59</f>
        <v>94341.243582887691</v>
      </c>
      <c r="E5" s="128">
        <f>Current_Cost!B60</f>
        <v>175946.17738095237</v>
      </c>
      <c r="G5" s="417" t="s">
        <v>243</v>
      </c>
      <c r="H5" s="67">
        <f>SUM(C6,C9)</f>
        <v>0</v>
      </c>
      <c r="I5" s="67">
        <f>SUM($A$5,$D$5)+Current_Cost!$B$34</f>
        <v>188682.48716577538</v>
      </c>
      <c r="J5" s="127">
        <f>SUM(E6,F9)</f>
        <v>0</v>
      </c>
    </row>
    <row r="6" spans="1:32">
      <c r="A6" s="99"/>
      <c r="B6" s="99"/>
      <c r="C6" s="99"/>
      <c r="D6" s="99"/>
      <c r="E6" s="99"/>
      <c r="G6" s="417" t="s">
        <v>283</v>
      </c>
      <c r="H6" s="67">
        <f>SUM(C7,C10)</f>
        <v>0</v>
      </c>
      <c r="I6" s="67">
        <f>SUM(B5,C5,E5)+Current_Cost!B35</f>
        <v>352728.35476190475</v>
      </c>
      <c r="J6" s="127">
        <f>SUM(E7,F10)</f>
        <v>0</v>
      </c>
      <c r="Y6" s="37"/>
      <c r="Z6" s="37"/>
      <c r="AA6" s="37"/>
      <c r="AB6" s="37"/>
      <c r="AC6" s="37"/>
      <c r="AD6" s="37"/>
      <c r="AE6" s="37"/>
      <c r="AF6" s="37"/>
    </row>
    <row r="7" spans="1:32" ht="15" thickBot="1">
      <c r="A7" s="99"/>
      <c r="B7" s="99"/>
      <c r="C7" s="99"/>
      <c r="D7" s="99"/>
      <c r="E7" s="99"/>
      <c r="G7" s="418" t="s">
        <v>314</v>
      </c>
      <c r="H7" s="94">
        <f>SUM(C8)</f>
        <v>0</v>
      </c>
      <c r="I7" s="94">
        <f>SUM(B5,C5,E5)+Current_Cost!B36</f>
        <v>352728.35476190475</v>
      </c>
      <c r="J7" s="128">
        <f>SUM(E8)</f>
        <v>0</v>
      </c>
      <c r="Y7" s="37"/>
      <c r="Z7" s="37"/>
      <c r="AA7" s="37"/>
      <c r="AB7" s="37"/>
      <c r="AC7" s="37"/>
      <c r="AD7" s="37"/>
      <c r="AE7" s="37"/>
      <c r="AF7" s="37"/>
    </row>
    <row r="8" spans="1:32">
      <c r="B8" s="99"/>
      <c r="C8" s="99"/>
      <c r="D8" s="99"/>
      <c r="E8" s="99"/>
    </row>
    <row r="9" spans="1:32" ht="14.4" customHeight="1" thickBot="1">
      <c r="A9" s="483" t="s">
        <v>387</v>
      </c>
      <c r="B9" s="483"/>
      <c r="C9" s="483"/>
      <c r="D9" s="192"/>
      <c r="F9" s="483" t="s">
        <v>414</v>
      </c>
      <c r="G9" s="483"/>
      <c r="H9" s="483"/>
      <c r="I9" s="483"/>
      <c r="K9" s="492" t="s">
        <v>434</v>
      </c>
      <c r="L9" s="492"/>
      <c r="M9" s="492"/>
    </row>
    <row r="10" spans="1:32" ht="27.6">
      <c r="A10" s="172" t="s">
        <v>382</v>
      </c>
      <c r="B10" s="173" t="s">
        <v>243</v>
      </c>
      <c r="C10" s="173" t="s">
        <v>369</v>
      </c>
      <c r="D10" s="174" t="s">
        <v>370</v>
      </c>
      <c r="F10" s="172" t="s">
        <v>382</v>
      </c>
      <c r="G10" s="173" t="s">
        <v>243</v>
      </c>
      <c r="H10" s="173" t="s">
        <v>369</v>
      </c>
      <c r="I10" s="174" t="s">
        <v>412</v>
      </c>
      <c r="K10" s="172" t="s">
        <v>383</v>
      </c>
      <c r="L10" s="173" t="s">
        <v>431</v>
      </c>
      <c r="M10" s="174" t="s">
        <v>432</v>
      </c>
    </row>
    <row r="11" spans="1:32">
      <c r="A11" s="75">
        <v>1</v>
      </c>
      <c r="B11" s="175">
        <f>$I$5/A11</f>
        <v>188682.48716577538</v>
      </c>
      <c r="C11" s="175">
        <f>$I$6/A11</f>
        <v>352728.35476190475</v>
      </c>
      <c r="D11" s="176">
        <f>$I$7/A11</f>
        <v>352728.35476190475</v>
      </c>
      <c r="F11" s="75">
        <v>1</v>
      </c>
      <c r="G11" s="175" cm="1">
        <f t="array" ref="G11">MIN(IF(Lookups!$A$4:$A$11&lt;B11,Lookups!$B$4:$B$11,Lookups!$B$4))</f>
        <v>207.59483421051704</v>
      </c>
      <c r="H11" s="419" cm="1">
        <f t="array" ref="H11">MIN(IF(Lookups!$D$3:$D$178&lt;C11,Lookups!$E$3:$E$178,Lookups!$E$3))</f>
        <v>31.306893713737452</v>
      </c>
      <c r="I11" s="176" cm="1">
        <f t="array" ref="I11">MIN(IF(Lookups!$G$3:$G$53&lt;D11,Lookups!$H$3:$H$53,Lookups!$H$3))</f>
        <v>72.30605683726462</v>
      </c>
      <c r="K11" s="75" t="s">
        <v>379</v>
      </c>
      <c r="L11" s="41">
        <f>G11*(1+(Current_Cost!$B$43/100))</f>
        <v>207.59483421051704</v>
      </c>
      <c r="M11" s="196">
        <f>ROUND((H12+H12)/F12,0)*(1+(Current_Cost!$B$44/100))</f>
        <v>31</v>
      </c>
    </row>
    <row r="12" spans="1:32">
      <c r="A12" s="75">
        <v>2</v>
      </c>
      <c r="B12" s="175">
        <f>$I$5/A12</f>
        <v>94341.243582887691</v>
      </c>
      <c r="C12" s="175">
        <f>$I$6/A12</f>
        <v>176364.17738095237</v>
      </c>
      <c r="D12" s="176">
        <f t="shared" ref="D12:D18" si="0">$I$7/A12</f>
        <v>176364.17738095237</v>
      </c>
      <c r="F12" s="75">
        <v>2</v>
      </c>
      <c r="G12" s="175" cm="1">
        <f t="array" ref="G12">MIN(IF(Lookups!$A$4:$A$11&lt;B12,Lookups!$B$4:$B$11,Lookups!$B$4))</f>
        <v>207.59483421051704</v>
      </c>
      <c r="H12" s="419" cm="1">
        <f t="array" ref="H12">MIN(IF(Lookups!$D$3:$D$178&lt;C12,Lookups!$E$3:$E$178,Lookups!$E$3))</f>
        <v>31.306893713737452</v>
      </c>
      <c r="I12" s="176" cm="1">
        <f t="array" ref="I12">MIN(IF(Lookups!$G$3:$G$53&lt;D12,Lookups!$H$3:$H$53,Lookups!$H$3))</f>
        <v>72.30605683726462</v>
      </c>
      <c r="K12" s="75" t="s">
        <v>380</v>
      </c>
      <c r="L12" s="41">
        <f>G12*(1+(Current_Cost!$B$43/100))</f>
        <v>207.59483421051704</v>
      </c>
      <c r="M12" s="196">
        <f>ROUND((I12+H12)/F12,0)*(1+(Current_Cost!$B$44/100))</f>
        <v>52</v>
      </c>
    </row>
    <row r="13" spans="1:32">
      <c r="A13" s="75">
        <v>3</v>
      </c>
      <c r="B13" s="175">
        <f t="shared" ref="B13:B18" si="1">$I$5/A13</f>
        <v>62894.162388591794</v>
      </c>
      <c r="C13" s="175">
        <f t="shared" ref="C13:C18" si="2">$I$6/A13</f>
        <v>117576.11825396825</v>
      </c>
      <c r="D13" s="176">
        <f t="shared" si="0"/>
        <v>117576.11825396825</v>
      </c>
      <c r="F13" s="75">
        <v>3</v>
      </c>
      <c r="G13" s="175" cm="1">
        <f t="array" ref="G13">MIN(IF(Lookups!$A$4:$A$11&lt;B13,Lookups!$B$4:$B$11,Lookups!$B$4))</f>
        <v>207.59483421051704</v>
      </c>
      <c r="H13" s="419" cm="1">
        <f t="array" ref="H13">MIN(IF(Lookups!$D$3:$D$178&lt;C13,Lookups!$E$3:$E$178,Lookups!$E$3))</f>
        <v>31.306893713737452</v>
      </c>
      <c r="I13" s="176" cm="1">
        <f t="array" ref="I13">MIN(IF(Lookups!$G$3:$G$53&lt;D13,Lookups!$H$3:$H$53,Lookups!$H$3))</f>
        <v>72.30605683726462</v>
      </c>
      <c r="K13" s="75" t="s">
        <v>381</v>
      </c>
      <c r="L13" s="41">
        <f>G13*(1+(Current_Cost!$B$43/100))</f>
        <v>207.59483421051704</v>
      </c>
      <c r="M13" s="196">
        <f>ROUND((H14+H14+I14+I14)/F14,0)*(1+(Current_Cost!$B$44/100))</f>
        <v>52</v>
      </c>
    </row>
    <row r="14" spans="1:32">
      <c r="A14" s="75">
        <v>4</v>
      </c>
      <c r="B14" s="175">
        <f t="shared" si="1"/>
        <v>47170.621791443846</v>
      </c>
      <c r="C14" s="175">
        <f t="shared" si="2"/>
        <v>88182.088690476186</v>
      </c>
      <c r="D14" s="176">
        <f t="shared" si="0"/>
        <v>88182.088690476186</v>
      </c>
      <c r="F14" s="75">
        <v>4</v>
      </c>
      <c r="G14" s="175" cm="1">
        <f t="array" ref="G14">MIN(IF(Lookups!$A$4:$A$11&lt;B14,Lookups!$B$4:$B$11,Lookups!$B$4))</f>
        <v>207.59483421051704</v>
      </c>
      <c r="H14" s="419" cm="1">
        <f t="array" ref="H14">MIN(IF(Lookups!$D$3:$D$178&lt;C14,Lookups!$E$3:$E$178,Lookups!$E$3))</f>
        <v>31.306893713737452</v>
      </c>
      <c r="I14" s="176" cm="1">
        <f t="array" ref="I14">MIN(IF(Lookups!$G$3:$G$53&lt;D14,Lookups!$H$3:$H$53,Lookups!$H$3))</f>
        <v>72.30605683726462</v>
      </c>
      <c r="K14" s="75" t="s">
        <v>384</v>
      </c>
      <c r="L14" s="41">
        <f>G14*(1+(Current_Cost!$B$43/100))</f>
        <v>207.59483421051704</v>
      </c>
      <c r="M14" s="196">
        <f>ROUND((H16+H16+H16+I16+I16+I16)/F16,0)*(1+(Current_Cost!$B$44/100))</f>
        <v>52</v>
      </c>
    </row>
    <row r="15" spans="1:32">
      <c r="A15" s="75">
        <v>5</v>
      </c>
      <c r="B15" s="175">
        <f t="shared" si="1"/>
        <v>37736.497433155077</v>
      </c>
      <c r="C15" s="175">
        <f t="shared" si="2"/>
        <v>70545.670952380955</v>
      </c>
      <c r="D15" s="176">
        <f t="shared" si="0"/>
        <v>70545.670952380955</v>
      </c>
      <c r="F15" s="75">
        <v>5</v>
      </c>
      <c r="G15" s="175" cm="1">
        <f t="array" ref="G15">MIN(IF(Lookups!$A$4:$A$11&lt;B15,Lookups!$B$4:$B$11,Lookups!$B$4))</f>
        <v>207.59483421051704</v>
      </c>
      <c r="H15" s="419" cm="1">
        <f t="array" ref="H15">MIN(IF(Lookups!$D$3:$D$178&lt;C15,Lookups!$E$3:$E$178,Lookups!$E$3))</f>
        <v>31.306893713737452</v>
      </c>
      <c r="I15" s="176" cm="1">
        <f t="array" ref="I15">MIN(IF(Lookups!$G$3:$G$53&lt;D15,Lookups!$H$3:$H$53,Lookups!$H$3))</f>
        <v>72.30605683726462</v>
      </c>
      <c r="K15" s="75" t="s">
        <v>385</v>
      </c>
      <c r="L15" s="41">
        <f>G15*(1+(Current_Cost!$B$43/100))</f>
        <v>207.59483421051704</v>
      </c>
      <c r="M15" s="196">
        <f>ROUND((H16+H16+H16+H16+I16+I16)/F16,0)*(1+(Current_Cost!$B$44/100))</f>
        <v>45</v>
      </c>
    </row>
    <row r="16" spans="1:32" ht="15" thickBot="1">
      <c r="A16" s="75">
        <v>6</v>
      </c>
      <c r="B16" s="175">
        <f t="shared" si="1"/>
        <v>31447.081194295897</v>
      </c>
      <c r="C16" s="175">
        <f t="shared" si="2"/>
        <v>58788.059126984124</v>
      </c>
      <c r="D16" s="176">
        <f t="shared" si="0"/>
        <v>58788.059126984124</v>
      </c>
      <c r="F16" s="75">
        <v>6</v>
      </c>
      <c r="G16" s="175" cm="1">
        <f t="array" ref="G16">MIN(IF(Lookups!$A$4:$A$11&lt;B16,Lookups!$B$4:$B$11,Lookups!$B$4))</f>
        <v>207.59483421051704</v>
      </c>
      <c r="H16" s="419" cm="1">
        <f t="array" ref="H16">MIN(IF(Lookups!$D$3:$D$178&lt;C16,Lookups!$E$3:$E$178,Lookups!$E$3))</f>
        <v>31.306893713737452</v>
      </c>
      <c r="I16" s="176" cm="1">
        <f t="array" ref="I16">MIN(IF(Lookups!$G$3:$G$53&lt;D16,Lookups!$H$3:$H$53,Lookups!$H$3))</f>
        <v>72.30605683726462</v>
      </c>
      <c r="K16" s="80" t="s">
        <v>386</v>
      </c>
      <c r="L16" s="40">
        <f>G16*(1+(Current_Cost!$B$43/100))</f>
        <v>207.59483421051704</v>
      </c>
      <c r="M16" s="272">
        <f>ROUND((H16+H16+I16+I16+I16+I16)/F16,0)*(1+(Current_Cost!$B$44/100))</f>
        <v>59</v>
      </c>
    </row>
    <row r="17" spans="1:32">
      <c r="A17" s="75">
        <v>7</v>
      </c>
      <c r="B17" s="175">
        <f t="shared" si="1"/>
        <v>26954.641023682198</v>
      </c>
      <c r="C17" s="175">
        <f t="shared" si="2"/>
        <v>50389.764965986389</v>
      </c>
      <c r="D17" s="176">
        <f t="shared" si="0"/>
        <v>50389.764965986389</v>
      </c>
      <c r="F17" s="75">
        <v>7</v>
      </c>
      <c r="G17" s="175" cm="1">
        <f t="array" ref="G17">MIN(IF(Lookups!$A$4:$A$11&lt;B17,Lookups!$B$4:$B$11,Lookups!$B$4))</f>
        <v>207.59483421051704</v>
      </c>
      <c r="H17" s="419" cm="1">
        <f t="array" ref="H17">MIN(IF(Lookups!$D$3:$D$178&lt;C17,Lookups!$E$3:$E$178,Lookups!$E$3))</f>
        <v>31.306893713737452</v>
      </c>
      <c r="I17" s="176" cm="1">
        <f t="array" ref="I17">MIN(IF(Lookups!$G$3:$G$53&lt;D17,Lookups!$H$3:$H$53,Lookups!$H$3))</f>
        <v>72.30605683726462</v>
      </c>
    </row>
    <row r="18" spans="1:32" ht="15" thickBot="1">
      <c r="A18" s="80">
        <v>8</v>
      </c>
      <c r="B18" s="177">
        <f t="shared" si="1"/>
        <v>23585.310895721923</v>
      </c>
      <c r="C18" s="177">
        <f t="shared" si="2"/>
        <v>44091.044345238093</v>
      </c>
      <c r="D18" s="178">
        <f t="shared" si="0"/>
        <v>44091.044345238093</v>
      </c>
      <c r="F18" s="80">
        <v>8</v>
      </c>
      <c r="G18" s="177" cm="1">
        <f t="array" ref="G18">MIN(IF(Lookups!$A$4:$A$11&lt;B18,Lookups!$B$4:$B$11,Lookups!$B$4))</f>
        <v>207.59483421051704</v>
      </c>
      <c r="H18" s="420" cm="1">
        <f t="array" ref="H18">MIN(IF(Lookups!$D$3:$D$178&lt;C18,Lookups!$E$3:$E$178,Lookups!$E$3))</f>
        <v>31.306893713737452</v>
      </c>
      <c r="I18" s="178" cm="1">
        <f t="array" ref="I18">MIN(IF(Lookups!$G$3:$G$53&lt;D18,Lookups!$H$3:$H$53,Lookups!$H$3))</f>
        <v>72.30605683726462</v>
      </c>
    </row>
    <row r="20" spans="1:32" s="269" customFormat="1" ht="15" thickBot="1">
      <c r="X20" s="281"/>
      <c r="Y20" s="282"/>
      <c r="Z20" s="282"/>
      <c r="AA20" s="282"/>
      <c r="AB20" s="282"/>
      <c r="AC20" s="282"/>
      <c r="AD20" s="282"/>
      <c r="AE20" s="282"/>
      <c r="AF20" s="282"/>
    </row>
    <row r="21" spans="1:32" s="22" customFormat="1" ht="15.6">
      <c r="A21" s="490" t="s">
        <v>507</v>
      </c>
      <c r="B21" s="490"/>
      <c r="C21" s="490"/>
      <c r="D21" s="490"/>
      <c r="E21" s="490"/>
      <c r="F21" s="490"/>
      <c r="G21" s="490"/>
      <c r="H21" s="490"/>
      <c r="I21" s="490"/>
      <c r="J21" s="490"/>
      <c r="K21" s="490"/>
      <c r="L21" s="490"/>
      <c r="X21" s="101"/>
      <c r="Y21" s="189"/>
      <c r="Z21" s="189"/>
      <c r="AA21" s="189"/>
      <c r="AB21" s="189"/>
      <c r="AC21" s="189"/>
      <c r="AD21" s="189"/>
      <c r="AE21" s="189"/>
      <c r="AF21" s="189"/>
    </row>
    <row r="22" spans="1:32" s="22" customFormat="1">
      <c r="X22" s="101"/>
      <c r="Y22" s="189"/>
      <c r="Z22" s="189"/>
      <c r="AA22" s="189"/>
      <c r="AB22" s="189"/>
      <c r="AC22" s="189"/>
      <c r="AD22" s="189"/>
      <c r="AE22" s="189"/>
      <c r="AF22" s="189"/>
    </row>
    <row r="23" spans="1:32" s="22" customFormat="1">
      <c r="X23" s="101"/>
      <c r="Y23" s="189"/>
      <c r="Z23" s="189"/>
      <c r="AA23" s="189"/>
      <c r="AB23" s="189"/>
      <c r="AC23" s="189"/>
      <c r="AD23" s="189"/>
      <c r="AE23" s="189"/>
      <c r="AF23" s="189"/>
    </row>
    <row r="24" spans="1:32" ht="15" thickBot="1">
      <c r="A24" s="22"/>
      <c r="B24" s="22"/>
      <c r="C24" s="22"/>
      <c r="D24" s="22"/>
      <c r="E24" s="22"/>
      <c r="G24" s="483" t="s">
        <v>416</v>
      </c>
      <c r="H24" s="483"/>
      <c r="I24" s="483"/>
      <c r="J24" s="483"/>
      <c r="X24" s="74"/>
    </row>
    <row r="25" spans="1:32">
      <c r="A25" s="493" t="s">
        <v>225</v>
      </c>
      <c r="B25" s="494"/>
      <c r="C25" s="494"/>
      <c r="D25" s="494"/>
      <c r="E25" s="495"/>
      <c r="G25" s="416" t="s">
        <v>236</v>
      </c>
      <c r="H25" s="227" t="s">
        <v>7</v>
      </c>
      <c r="I25" s="227" t="s">
        <v>55</v>
      </c>
      <c r="J25" s="230" t="s">
        <v>6</v>
      </c>
      <c r="X25" s="74"/>
    </row>
    <row r="26" spans="1:32">
      <c r="A26" s="231" t="s">
        <v>235</v>
      </c>
      <c r="B26" s="232" t="s">
        <v>236</v>
      </c>
      <c r="C26" s="225" t="s">
        <v>7</v>
      </c>
      <c r="D26" s="225" t="s">
        <v>55</v>
      </c>
      <c r="E26" s="47" t="s">
        <v>6</v>
      </c>
      <c r="G26" s="417" t="s">
        <v>243</v>
      </c>
      <c r="H26" s="67">
        <f>SUM(C27,C30)+Future_Cost!$B$57</f>
        <v>1484941.0833333333</v>
      </c>
      <c r="I26" s="67">
        <f>SUM(D27,D30)+Future_Cost!$B$57</f>
        <v>2637133.809491979</v>
      </c>
      <c r="J26" s="127">
        <f>SUM(E27,E30)+Future_Cost!$B$57</f>
        <v>4840999.2041443847</v>
      </c>
      <c r="X26" s="74"/>
    </row>
    <row r="27" spans="1:32">
      <c r="A27" s="496" t="s">
        <v>233</v>
      </c>
      <c r="B27" s="229" t="s">
        <v>237</v>
      </c>
      <c r="C27" s="51">
        <f>Future_Cost!B79</f>
        <v>788579.02201426018</v>
      </c>
      <c r="D27" s="51">
        <f>Future_Cost!C79</f>
        <v>1465546.4014705883</v>
      </c>
      <c r="E27" s="52">
        <f>Future_Cost!D79</f>
        <v>2567479.0987967914</v>
      </c>
      <c r="G27" s="417" t="s">
        <v>283</v>
      </c>
      <c r="H27" s="67">
        <f>SUM(C28,C29,C31)+Future_Cost!$B$58</f>
        <v>4269704.4698649608</v>
      </c>
      <c r="I27" s="67">
        <f>SUM(D28,D29,D31)+Future_Cost!$B$58</f>
        <v>10149226.742892679</v>
      </c>
      <c r="J27" s="127">
        <f>SUM(E28,E29,E31)+Future_Cost!$B$58</f>
        <v>17870885.392110873</v>
      </c>
      <c r="X27" s="74"/>
    </row>
    <row r="28" spans="1:32" ht="15" thickBot="1">
      <c r="A28" s="496"/>
      <c r="B28" s="229" t="s">
        <v>238</v>
      </c>
      <c r="C28" s="51">
        <f>Future_Cost!B80</f>
        <v>2498438.7738095238</v>
      </c>
      <c r="D28" s="51">
        <f>Future_Cost!C80</f>
        <v>5496405.9023809517</v>
      </c>
      <c r="E28" s="52">
        <f>Future_Cost!D80</f>
        <v>9330795.2023809515</v>
      </c>
      <c r="G28" s="418" t="s">
        <v>314</v>
      </c>
      <c r="H28" s="94">
        <f>SUM(C28,C29,C31)+Future_Cost!$B$59</f>
        <v>4269704.4698649608</v>
      </c>
      <c r="I28" s="94">
        <f>SUM(D28,D29,D31)+Future_Cost!$B$59</f>
        <v>10149226.742892679</v>
      </c>
      <c r="J28" s="128">
        <f>SUM(E28,E29,E31)+Future_Cost!$B$59</f>
        <v>17870885.392110873</v>
      </c>
    </row>
    <row r="29" spans="1:32" ht="14.4" customHeight="1">
      <c r="A29" s="496"/>
      <c r="B29" s="229" t="s">
        <v>239</v>
      </c>
      <c r="C29" s="51">
        <f>Future_Cost!B81</f>
        <v>105541.59843638947</v>
      </c>
      <c r="D29" s="51">
        <f>Future_Cost!C81</f>
        <v>158312.3976545842</v>
      </c>
      <c r="E29" s="52">
        <f>Future_Cost!D81</f>
        <v>211083.19687277894</v>
      </c>
    </row>
    <row r="30" spans="1:32">
      <c r="A30" s="496" t="s">
        <v>234</v>
      </c>
      <c r="B30" s="229" t="s">
        <v>240</v>
      </c>
      <c r="C30" s="51">
        <f>Future_Cost!B82</f>
        <v>696362.06131907308</v>
      </c>
      <c r="D30" s="51">
        <f>Future_Cost!C82</f>
        <v>1171587.4080213904</v>
      </c>
      <c r="E30" s="52">
        <f>Future_Cost!D82</f>
        <v>2273520.1053475933</v>
      </c>
    </row>
    <row r="31" spans="1:32">
      <c r="A31" s="496"/>
      <c r="B31" s="229" t="s">
        <v>241</v>
      </c>
      <c r="C31" s="51">
        <f>Future_Cost!B83</f>
        <v>1665724.0976190476</v>
      </c>
      <c r="D31" s="51">
        <f>Future_Cost!C83</f>
        <v>4494508.4428571425</v>
      </c>
      <c r="E31" s="52">
        <f>Future_Cost!D83</f>
        <v>8329006.9928571424</v>
      </c>
    </row>
    <row r="32" spans="1:32" ht="15" thickBot="1">
      <c r="A32" s="278"/>
      <c r="B32" s="53" t="s">
        <v>61</v>
      </c>
      <c r="C32" s="279">
        <f>SUM(C27:C31)</f>
        <v>5754645.5531982947</v>
      </c>
      <c r="D32" s="279">
        <f>SUM(D27:D31)</f>
        <v>12786360.552384658</v>
      </c>
      <c r="E32" s="280">
        <f>SUM(E27:E31)</f>
        <v>22711884.596255258</v>
      </c>
    </row>
    <row r="35" spans="1:19" ht="15" customHeight="1" thickBot="1">
      <c r="A35" s="483" t="s">
        <v>435</v>
      </c>
      <c r="B35" s="483"/>
      <c r="C35" s="483"/>
      <c r="D35" s="483"/>
      <c r="F35" s="483" t="s">
        <v>440</v>
      </c>
      <c r="G35" s="483"/>
      <c r="H35" s="483"/>
      <c r="I35" s="483"/>
      <c r="P35" s="483" t="s">
        <v>441</v>
      </c>
      <c r="Q35" s="483"/>
      <c r="R35" s="483"/>
      <c r="S35" s="483"/>
    </row>
    <row r="36" spans="1:19" ht="14.4" customHeight="1">
      <c r="A36" s="172" t="s">
        <v>382</v>
      </c>
      <c r="B36" s="173" t="s">
        <v>7</v>
      </c>
      <c r="C36" s="227" t="s">
        <v>55</v>
      </c>
      <c r="D36" s="174" t="s">
        <v>6</v>
      </c>
      <c r="F36" s="172" t="s">
        <v>382</v>
      </c>
      <c r="G36" s="173" t="s">
        <v>7</v>
      </c>
      <c r="H36" s="227" t="s">
        <v>55</v>
      </c>
      <c r="I36" s="174" t="s">
        <v>6</v>
      </c>
      <c r="P36" s="172" t="s">
        <v>383</v>
      </c>
      <c r="Q36" s="173" t="s">
        <v>7</v>
      </c>
      <c r="R36" s="227" t="s">
        <v>55</v>
      </c>
      <c r="S36" s="174" t="s">
        <v>6</v>
      </c>
    </row>
    <row r="37" spans="1:19">
      <c r="A37" s="75">
        <v>1</v>
      </c>
      <c r="B37" s="175">
        <f t="shared" ref="B37:B44" si="3">$H$26/A37</f>
        <v>1484941.0833333333</v>
      </c>
      <c r="C37" s="175">
        <f>$I$26/A37</f>
        <v>2637133.809491979</v>
      </c>
      <c r="D37" s="176">
        <f>$J$26/A37</f>
        <v>4840999.2041443847</v>
      </c>
      <c r="F37" s="75">
        <v>1</v>
      </c>
      <c r="G37" s="175" cm="1">
        <f t="array" ref="G37">MIN(IF('Costs - DTE'!$AC$4:$AC$28&lt;B37,'Costs - DTE'!$AH$4:$AH$28,'Costs - DTE'!$AH$4))</f>
        <v>122.11442815005586</v>
      </c>
      <c r="H37" s="175" cm="1">
        <f t="array" ref="H37">MIN(IF('Costs - DTE'!$AC$4:$AC$28&lt;C37,'Costs - DTE'!$AH$4:$AH$28,'Costs - DTE'!$AH$4))</f>
        <v>70.82618451377914</v>
      </c>
      <c r="I37" s="176" cm="1">
        <f t="array" ref="I37">MIN(IF('Costs - DTE'!$AC$4:$AC$28&lt;D37,'Costs - DTE'!$AH$4:$AH$28,'Costs - DTE'!$AH$4))</f>
        <v>55.62966788080827</v>
      </c>
      <c r="P37" s="75" t="s">
        <v>379</v>
      </c>
      <c r="Q37" s="175">
        <f>G38*(1+(Future_Cost!$B$66/100))</f>
        <v>207.59483421051704</v>
      </c>
      <c r="R37" s="175">
        <f>H38*(1+(Future_Cost!$C$66/100))</f>
        <v>122.11442815005586</v>
      </c>
      <c r="S37" s="176">
        <f>I38*(1+(Future_Cost!$D$66/100))</f>
        <v>79.374225119825269</v>
      </c>
    </row>
    <row r="38" spans="1:19">
      <c r="A38" s="75">
        <v>2</v>
      </c>
      <c r="B38" s="175">
        <f t="shared" si="3"/>
        <v>742470.54166666663</v>
      </c>
      <c r="C38" s="175">
        <f t="shared" ref="C38:C44" si="4">$I$26/A38</f>
        <v>1318566.9047459895</v>
      </c>
      <c r="D38" s="176">
        <f t="shared" ref="D38:D44" si="5">$J$26/A38</f>
        <v>2420499.6020721924</v>
      </c>
      <c r="F38" s="75">
        <v>2</v>
      </c>
      <c r="G38" s="175" cm="1">
        <f t="array" ref="G38">MIN(IF('Costs - DTE'!$AC$4:$AC$28&lt;B38,'Costs - DTE'!$AH$4:$AH$28,'Costs - DTE'!$AH$4))</f>
        <v>207.59483421051704</v>
      </c>
      <c r="H38" s="175" cm="1">
        <f t="array" ref="H38">MIN(IF('Costs - DTE'!$AC$4:$AC$28&lt;C38,'Costs - DTE'!$AH$4:$AH$28,'Costs - DTE'!$AH$4))</f>
        <v>122.11442815005586</v>
      </c>
      <c r="I38" s="176" cm="1">
        <f t="array" ref="I38">MIN(IF('Costs - DTE'!$AC$4:$AC$28&lt;D38,'Costs - DTE'!$AH$4:$AH$28,'Costs - DTE'!$AH$4))</f>
        <v>79.374225119825269</v>
      </c>
      <c r="P38" s="75" t="s">
        <v>380</v>
      </c>
      <c r="Q38" s="175">
        <f>G39*(1+(Future_Cost!$B$66/100))</f>
        <v>207.59483421051704</v>
      </c>
      <c r="R38" s="175">
        <f>H39*(1+(Future_Cost!$C$66/100))</f>
        <v>207.59483421051704</v>
      </c>
      <c r="S38" s="176">
        <f>I39*(1+(Future_Cost!$D$66/100))</f>
        <v>93.620959463235465</v>
      </c>
    </row>
    <row r="39" spans="1:19">
      <c r="A39" s="75">
        <v>3</v>
      </c>
      <c r="B39" s="175">
        <f t="shared" si="3"/>
        <v>494980.36111111107</v>
      </c>
      <c r="C39" s="175">
        <f t="shared" si="4"/>
        <v>879044.60316399299</v>
      </c>
      <c r="D39" s="176">
        <f t="shared" si="5"/>
        <v>1613666.4013814616</v>
      </c>
      <c r="F39" s="75">
        <v>3</v>
      </c>
      <c r="G39" s="175" cm="1">
        <f t="array" ref="G39">MIN(IF('Costs - DTE'!$AC$4:$AC$28&lt;B39,'Costs - DTE'!$AH$4:$AH$28,'Costs - DTE'!$AH$4))</f>
        <v>207.59483421051704</v>
      </c>
      <c r="H39" s="175" cm="1">
        <f t="array" ref="H39">MIN(IF('Costs - DTE'!$AC$4:$AC$28&lt;C39,'Costs - DTE'!$AH$4:$AH$28,'Costs - DTE'!$AH$4))</f>
        <v>207.59483421051704</v>
      </c>
      <c r="I39" s="176" cm="1">
        <f t="array" ref="I39">MIN(IF('Costs - DTE'!$AC$4:$AC$28&lt;D39,'Costs - DTE'!$AH$4:$AH$28,'Costs - DTE'!$AH$4))</f>
        <v>93.620959463235465</v>
      </c>
      <c r="P39" s="75" t="s">
        <v>381</v>
      </c>
      <c r="Q39" s="175">
        <f>G40*(1+(Future_Cost!$B$66/100))</f>
        <v>207.59483421051704</v>
      </c>
      <c r="R39" s="175">
        <f>H40*(1+(Future_Cost!$C$66/100))</f>
        <v>207.59483421051704</v>
      </c>
      <c r="S39" s="176">
        <f>I40*(1+(Future_Cost!$D$66/100))</f>
        <v>122.11442815005586</v>
      </c>
    </row>
    <row r="40" spans="1:19">
      <c r="A40" s="75">
        <v>4</v>
      </c>
      <c r="B40" s="175">
        <f t="shared" si="3"/>
        <v>371235.27083333331</v>
      </c>
      <c r="C40" s="175">
        <f t="shared" si="4"/>
        <v>659283.45237299474</v>
      </c>
      <c r="D40" s="176">
        <f t="shared" si="5"/>
        <v>1210249.8010360962</v>
      </c>
      <c r="F40" s="75">
        <v>4</v>
      </c>
      <c r="G40" s="175" cm="1">
        <f t="array" ref="G40">MIN(IF('Costs - DTE'!$AC$4:$AC$28&lt;B40,'Costs - DTE'!$AH$4:$AH$28,'Costs - DTE'!$AH$4))</f>
        <v>207.59483421051704</v>
      </c>
      <c r="H40" s="175" cm="1">
        <f t="array" ref="H40">MIN(IF('Costs - DTE'!$AC$4:$AC$28&lt;C40,'Costs - DTE'!$AH$4:$AH$28,'Costs - DTE'!$AH$4))</f>
        <v>207.59483421051704</v>
      </c>
      <c r="I40" s="176" cm="1">
        <f t="array" ref="I40">MIN(IF('Costs - DTE'!$AC$4:$AC$28&lt;D40,'Costs - DTE'!$AH$4:$AH$28,'Costs - DTE'!$AH$4))</f>
        <v>122.11442815005586</v>
      </c>
      <c r="P40" s="75" t="s">
        <v>384</v>
      </c>
      <c r="Q40" s="175">
        <f>G41*(1+(Future_Cost!$B$66/100))</f>
        <v>207.59483421051704</v>
      </c>
      <c r="R40" s="175">
        <f>H41*(1+(Future_Cost!$C$66/100))</f>
        <v>207.59483421051704</v>
      </c>
      <c r="S40" s="176">
        <f>I41*(1+(Future_Cost!$D$66/100))</f>
        <v>207.59483421051704</v>
      </c>
    </row>
    <row r="41" spans="1:19">
      <c r="A41" s="75">
        <v>5</v>
      </c>
      <c r="B41" s="175">
        <f t="shared" si="3"/>
        <v>296988.21666666667</v>
      </c>
      <c r="C41" s="175">
        <f t="shared" si="4"/>
        <v>527426.76189839584</v>
      </c>
      <c r="D41" s="176">
        <f t="shared" si="5"/>
        <v>968199.84082887694</v>
      </c>
      <c r="F41" s="75">
        <v>5</v>
      </c>
      <c r="G41" s="175" cm="1">
        <f t="array" ref="G41">MIN(IF('Costs - DTE'!$AC$4:$AC$28&lt;B41,'Costs - DTE'!$AH$4:$AH$28,'Costs - DTE'!$AH$4))</f>
        <v>207.59483421051704</v>
      </c>
      <c r="H41" s="175" cm="1">
        <f t="array" ref="H41">MIN(IF('Costs - DTE'!$AC$4:$AC$28&lt;C41,'Costs - DTE'!$AH$4:$AH$28,'Costs - DTE'!$AH$4))</f>
        <v>207.59483421051704</v>
      </c>
      <c r="I41" s="176" cm="1">
        <f t="array" ref="I41">MIN(IF('Costs - DTE'!$AC$4:$AC$28&lt;D41,'Costs - DTE'!$AH$4:$AH$28,'Costs - DTE'!$AH$4))</f>
        <v>207.59483421051704</v>
      </c>
      <c r="P41" s="75" t="s">
        <v>385</v>
      </c>
      <c r="Q41" s="175">
        <f>G42*(1+(Future_Cost!$B$66/100))</f>
        <v>207.59483421051704</v>
      </c>
      <c r="R41" s="175">
        <f>H42*(1+(Future_Cost!$C$66/100))</f>
        <v>207.59483421051704</v>
      </c>
      <c r="S41" s="176">
        <f>I42*(1+(Future_Cost!$D$66/100))</f>
        <v>207.59483421051704</v>
      </c>
    </row>
    <row r="42" spans="1:19" ht="15" thickBot="1">
      <c r="A42" s="75">
        <v>6</v>
      </c>
      <c r="B42" s="175">
        <f t="shared" si="3"/>
        <v>247490.18055555553</v>
      </c>
      <c r="C42" s="175">
        <f t="shared" si="4"/>
        <v>439522.30158199649</v>
      </c>
      <c r="D42" s="176">
        <f t="shared" si="5"/>
        <v>806833.20069073082</v>
      </c>
      <c r="F42" s="75">
        <v>6</v>
      </c>
      <c r="G42" s="175" cm="1">
        <f t="array" ref="G42">MIN(IF('Costs - DTE'!$AC$4:$AC$28&lt;B42,'Costs - DTE'!$AH$4:$AH$28,'Costs - DTE'!$AH$4))</f>
        <v>207.59483421051704</v>
      </c>
      <c r="H42" s="175" cm="1">
        <f t="array" ref="H42">MIN(IF('Costs - DTE'!$AC$4:$AC$28&lt;C42,'Costs - DTE'!$AH$4:$AH$28,'Costs - DTE'!$AH$4))</f>
        <v>207.59483421051704</v>
      </c>
      <c r="I42" s="176" cm="1">
        <f t="array" ref="I42">MIN(IF('Costs - DTE'!$AC$4:$AC$28&lt;D42,'Costs - DTE'!$AH$4:$AH$28,'Costs - DTE'!$AH$4))</f>
        <v>207.59483421051704</v>
      </c>
      <c r="P42" s="80" t="s">
        <v>386</v>
      </c>
      <c r="Q42" s="177">
        <f>G43*(1+(Future_Cost!$B$66/100))</f>
        <v>207.59483421051704</v>
      </c>
      <c r="R42" s="177">
        <f>H43*(1+(Future_Cost!$C$66/100))</f>
        <v>207.59483421051704</v>
      </c>
      <c r="S42" s="178">
        <f>I43*(1+(Future_Cost!$D$66/100))</f>
        <v>207.59483421051704</v>
      </c>
    </row>
    <row r="43" spans="1:19">
      <c r="A43" s="75">
        <v>7</v>
      </c>
      <c r="B43" s="175">
        <f t="shared" si="3"/>
        <v>212134.44047619047</v>
      </c>
      <c r="C43" s="175">
        <f t="shared" si="4"/>
        <v>376733.40135599702</v>
      </c>
      <c r="D43" s="176">
        <f t="shared" si="5"/>
        <v>691571.31487776921</v>
      </c>
      <c r="F43" s="75">
        <v>7</v>
      </c>
      <c r="G43" s="175" cm="1">
        <f t="array" ref="G43">MIN(IF('Costs - DTE'!$AC$4:$AC$28&lt;B43,'Costs - DTE'!$AH$4:$AH$28,'Costs - DTE'!$AH$4))</f>
        <v>207.59483421051704</v>
      </c>
      <c r="H43" s="175" cm="1">
        <f t="array" ref="H43">MIN(IF('Costs - DTE'!$AC$4:$AC$28&lt;C43,'Costs - DTE'!$AH$4:$AH$28,'Costs - DTE'!$AH$4))</f>
        <v>207.59483421051704</v>
      </c>
      <c r="I43" s="176" cm="1">
        <f t="array" ref="I43">MIN(IF('Costs - DTE'!$AC$4:$AC$28&lt;D43,'Costs - DTE'!$AH$4:$AH$28,'Costs - DTE'!$AH$4))</f>
        <v>207.59483421051704</v>
      </c>
    </row>
    <row r="44" spans="1:19" ht="15" thickBot="1">
      <c r="A44" s="80">
        <v>8</v>
      </c>
      <c r="B44" s="177">
        <f t="shared" si="3"/>
        <v>185617.63541666666</v>
      </c>
      <c r="C44" s="177">
        <f t="shared" si="4"/>
        <v>329641.72618649737</v>
      </c>
      <c r="D44" s="178">
        <f t="shared" si="5"/>
        <v>605124.90051804809</v>
      </c>
      <c r="F44" s="80">
        <v>8</v>
      </c>
      <c r="G44" s="177" cm="1">
        <f t="array" ref="G44">MIN(IF('Costs - DTE'!$AC$4:$AC$28&lt;B44,'Costs - DTE'!$AH$4:$AH$28,'Costs - DTE'!$AH$4))</f>
        <v>207.59483421051704</v>
      </c>
      <c r="H44" s="177" cm="1">
        <f t="array" ref="H44">MIN(IF('Costs - DTE'!$AC$4:$AC$28&lt;C44,'Costs - DTE'!$AH$4:$AH$28,'Costs - DTE'!$AH$4))</f>
        <v>207.59483421051704</v>
      </c>
      <c r="I44" s="178" cm="1">
        <f t="array" ref="I44">MIN(IF('Costs - DTE'!$AC$4:$AC$28&lt;D44,'Costs - DTE'!$AH$4:$AH$28,'Costs - DTE'!$AH$4))</f>
        <v>207.59483421051704</v>
      </c>
      <c r="K44"/>
      <c r="L44"/>
      <c r="M44"/>
      <c r="N44"/>
    </row>
    <row r="46" spans="1:19" ht="15" thickBot="1">
      <c r="A46" s="483" t="s">
        <v>518</v>
      </c>
      <c r="B46" s="483"/>
      <c r="C46" s="483"/>
      <c r="D46" s="483"/>
      <c r="F46" s="483" t="s">
        <v>436</v>
      </c>
      <c r="G46" s="483"/>
      <c r="H46" s="483"/>
      <c r="I46" s="483"/>
      <c r="K46" s="483" t="s">
        <v>436</v>
      </c>
      <c r="L46" s="483"/>
      <c r="M46" s="483"/>
      <c r="N46" s="483"/>
      <c r="P46" s="483" t="s">
        <v>443</v>
      </c>
      <c r="Q46" s="483"/>
      <c r="R46" s="483"/>
      <c r="S46" s="483"/>
    </row>
    <row r="47" spans="1:19">
      <c r="A47" s="266" t="s">
        <v>382</v>
      </c>
      <c r="B47" s="266" t="s">
        <v>7</v>
      </c>
      <c r="C47" s="225" t="s">
        <v>55</v>
      </c>
      <c r="D47" s="266" t="s">
        <v>6</v>
      </c>
      <c r="F47" s="266" t="s">
        <v>382</v>
      </c>
      <c r="G47" s="266" t="s">
        <v>7</v>
      </c>
      <c r="H47" s="225" t="s">
        <v>55</v>
      </c>
      <c r="I47" s="266" t="s">
        <v>6</v>
      </c>
      <c r="K47" s="266" t="s">
        <v>382</v>
      </c>
      <c r="L47" s="266" t="s">
        <v>7</v>
      </c>
      <c r="M47" s="225" t="s">
        <v>55</v>
      </c>
      <c r="N47" s="266" t="s">
        <v>6</v>
      </c>
      <c r="P47" s="172" t="s">
        <v>383</v>
      </c>
      <c r="Q47" s="173" t="s">
        <v>7</v>
      </c>
      <c r="R47" s="227" t="s">
        <v>55</v>
      </c>
      <c r="S47" s="174" t="s">
        <v>6</v>
      </c>
    </row>
    <row r="48" spans="1:19">
      <c r="A48" s="21">
        <v>1</v>
      </c>
      <c r="B48" s="175">
        <f>($H$27)/A48</f>
        <v>4269704.4698649608</v>
      </c>
      <c r="C48" s="175">
        <f>($I$27)/A48</f>
        <v>10149226.742892679</v>
      </c>
      <c r="D48" s="175">
        <f>($J$27)/A48</f>
        <v>17870885.392110873</v>
      </c>
      <c r="F48" s="21">
        <v>1</v>
      </c>
      <c r="G48" s="175" cm="1">
        <f t="array" ref="G48">MIN(IF('Costs - SR - LEO'!$AA$4:$AA$180&lt;B48,'Costs - SR - LEO'!$AH$4:$AH$180,'Costs - SR - LEO'!$AH$4))</f>
        <v>31.306893713737452</v>
      </c>
      <c r="H48" s="175" cm="1">
        <f t="array" ref="H48">MIN(IF('Costs - SR - LEO'!$AA$4:$AA$180&lt;C48,'Costs - SR - LEO'!$AH$4:$AH$180,'Costs - SR - LEO'!$AH$4))</f>
        <v>31.306893713737452</v>
      </c>
      <c r="I48" s="175" cm="1">
        <f t="array" ref="I48">MIN(IF('Costs - SR - LEO'!$AA$4:$AA$180&lt;D48,'Costs - SR - LEO'!$AH$4:$AH$180,'Costs - SR - LEO'!$AH$4))</f>
        <v>31.306893713737452</v>
      </c>
      <c r="K48" s="21">
        <v>1</v>
      </c>
      <c r="L48" s="175">
        <f>G48*(1+(Future_Cost!$B$66/100))</f>
        <v>31.306893713737452</v>
      </c>
      <c r="M48" s="175">
        <f>H48*(1+(Future_Cost!$B$66/100))</f>
        <v>31.306893713737452</v>
      </c>
      <c r="N48" s="175">
        <f>I48*(1+(Future_Cost!$B$66/100))</f>
        <v>31.306893713737452</v>
      </c>
      <c r="P48" s="75" t="s">
        <v>379</v>
      </c>
      <c r="Q48" s="175">
        <f>ROUND((L49+L49)/$K$49,0)*(1+(Current_Cost!$B$44/100))</f>
        <v>31</v>
      </c>
      <c r="R48" s="175">
        <f>ROUND((M49+M49)/$K$49,0)*(1+(Current_Cost!$B$44/100))</f>
        <v>31</v>
      </c>
      <c r="S48" s="176">
        <f>ROUND((N49+N49)/$K$49,0)*(1+(Current_Cost!$B$44/100))</f>
        <v>31</v>
      </c>
    </row>
    <row r="49" spans="1:19">
      <c r="A49" s="21">
        <v>2</v>
      </c>
      <c r="B49" s="175">
        <f t="shared" ref="B49:B55" si="6">($H$27)/A49</f>
        <v>2134852.2349324804</v>
      </c>
      <c r="C49" s="175">
        <f t="shared" ref="C49:C55" si="7">($I$27)/A49</f>
        <v>5074613.3714463394</v>
      </c>
      <c r="D49" s="175">
        <f t="shared" ref="D49:D55" si="8">($J$27)/A49</f>
        <v>8935442.6960554365</v>
      </c>
      <c r="F49" s="21">
        <v>2</v>
      </c>
      <c r="G49" s="175" cm="1">
        <f t="array" ref="G49">MIN(IF('Costs - SR - LEO'!$AA$4:$AA$180&lt;B49,'Costs - SR - LEO'!$AH$4:$AH$180,'Costs - SR - LEO'!$AH$4))</f>
        <v>31.306893713737452</v>
      </c>
      <c r="H49" s="175" cm="1">
        <f t="array" ref="H49">MIN(IF('Costs - SR - LEO'!$AA$4:$AA$180&lt;C49,'Costs - SR - LEO'!$AH$4:$AH$180,'Costs - SR - LEO'!$AH$4))</f>
        <v>31.306893713737452</v>
      </c>
      <c r="I49" s="175" cm="1">
        <f t="array" ref="I49">MIN(IF('Costs - SR - LEO'!$AA$4:$AA$180&lt;D49,'Costs - SR - LEO'!$AH$4:$AH$180,'Costs - SR - LEO'!$AH$4))</f>
        <v>31.306893713737452</v>
      </c>
      <c r="K49" s="21">
        <v>2</v>
      </c>
      <c r="L49" s="175">
        <f>G49*(1+(Future_Cost!$B$66/100))</f>
        <v>31.306893713737452</v>
      </c>
      <c r="M49" s="175">
        <f>H49*(1+(Future_Cost!$B$66/100))</f>
        <v>31.306893713737452</v>
      </c>
      <c r="N49" s="175">
        <f>I49*(1+(Future_Cost!$B$66/100))</f>
        <v>31.306893713737452</v>
      </c>
      <c r="P49" s="75" t="s">
        <v>380</v>
      </c>
      <c r="Q49" s="175">
        <f>ROUND((L49+L60)/$K$49,0)*(1+(Current_Cost!$B$44/100))</f>
        <v>52</v>
      </c>
      <c r="R49" s="175">
        <f>ROUND((M49+M60)/$K$49,0)*(1+(Current_Cost!$B$44/100))</f>
        <v>52</v>
      </c>
      <c r="S49" s="176">
        <f>ROUND((N49+N60)/$K$49,0)*(1+(Current_Cost!$B$44/100))</f>
        <v>52</v>
      </c>
    </row>
    <row r="50" spans="1:19">
      <c r="A50" s="21">
        <v>3</v>
      </c>
      <c r="B50" s="175">
        <f t="shared" si="6"/>
        <v>1423234.8232883203</v>
      </c>
      <c r="C50" s="175">
        <f t="shared" si="7"/>
        <v>3383075.5809642263</v>
      </c>
      <c r="D50" s="175">
        <f t="shared" si="8"/>
        <v>5956961.7973702913</v>
      </c>
      <c r="F50" s="21">
        <v>3</v>
      </c>
      <c r="G50" s="175" cm="1">
        <f t="array" ref="G50">MIN(IF('Costs - SR - LEO'!$AA$4:$AA$180&lt;B50,'Costs - SR - LEO'!$AH$4:$AH$180,'Costs - SR - LEO'!$AH$4))</f>
        <v>31.306893713737452</v>
      </c>
      <c r="H50" s="175" cm="1">
        <f t="array" ref="H50">MIN(IF('Costs - SR - LEO'!$AA$4:$AA$180&lt;C50,'Costs - SR - LEO'!$AH$4:$AH$180,'Costs - SR - LEO'!$AH$4))</f>
        <v>31.306893713737452</v>
      </c>
      <c r="I50" s="175" cm="1">
        <f t="array" ref="I50">MIN(IF('Costs - SR - LEO'!$AA$4:$AA$180&lt;D50,'Costs - SR - LEO'!$AH$4:$AH$180,'Costs - SR - LEO'!$AH$4))</f>
        <v>31.306893713737452</v>
      </c>
      <c r="K50" s="21">
        <v>3</v>
      </c>
      <c r="L50" s="175">
        <f>G50*(1+(Future_Cost!$B$66/100))</f>
        <v>31.306893713737452</v>
      </c>
      <c r="M50" s="175">
        <f>H50*(1+(Future_Cost!$B$66/100))</f>
        <v>31.306893713737452</v>
      </c>
      <c r="N50" s="175">
        <f>I50*(1+(Future_Cost!$B$66/100))</f>
        <v>31.306893713737452</v>
      </c>
      <c r="P50" s="75" t="s">
        <v>381</v>
      </c>
      <c r="Q50" s="175">
        <f>ROUND((L51+L51+L62+L62)/$K$51,0)*(1+(Current_Cost!$B$44/100))</f>
        <v>52</v>
      </c>
      <c r="R50" s="175">
        <f>ROUND((M51+M51+M62+M62)/$K$51,0)*(1+(Current_Cost!$B$44/100))</f>
        <v>52</v>
      </c>
      <c r="S50" s="176">
        <f>ROUND((N51+N51+N62+N62)/$K$51,0)*(1+(Current_Cost!$B$44/100))</f>
        <v>52</v>
      </c>
    </row>
    <row r="51" spans="1:19">
      <c r="A51" s="21">
        <v>4</v>
      </c>
      <c r="B51" s="175">
        <f>($H$27)/A51</f>
        <v>1067426.1174662402</v>
      </c>
      <c r="C51" s="175">
        <f>($I$27)/A51</f>
        <v>2537306.6857231697</v>
      </c>
      <c r="D51" s="175">
        <f>($J$27)/A51</f>
        <v>4467721.3480277183</v>
      </c>
      <c r="F51" s="21">
        <v>4</v>
      </c>
      <c r="G51" s="175" cm="1">
        <f t="array" ref="G51">MIN(IF('Costs - SR - LEO'!$AA$4:$AA$180&lt;B51,'Costs - SR - LEO'!$AH$4:$AH$180,'Costs - SR - LEO'!$AH$4))</f>
        <v>31.306893713737452</v>
      </c>
      <c r="H51" s="175" cm="1">
        <f t="array" ref="H51">MIN(IF('Costs - SR - LEO'!$AA$4:$AA$180&lt;C51,'Costs - SR - LEO'!$AH$4:$AH$180,'Costs - SR - LEO'!$AH$4))</f>
        <v>31.306893713737452</v>
      </c>
      <c r="I51" s="175" cm="1">
        <f t="array" ref="I51">MIN(IF('Costs - SR - LEO'!$AA$4:$AA$180&lt;D51,'Costs - SR - LEO'!$AH$4:$AH$180,'Costs - SR - LEO'!$AH$4))</f>
        <v>31.306893713737452</v>
      </c>
      <c r="K51" s="21">
        <v>4</v>
      </c>
      <c r="L51" s="175">
        <f>G51*(1+(Future_Cost!$B$66/100))</f>
        <v>31.306893713737452</v>
      </c>
      <c r="M51" s="175">
        <f>H51*(1+(Future_Cost!$B$66/100))</f>
        <v>31.306893713737452</v>
      </c>
      <c r="N51" s="175">
        <f>I51*(1+(Future_Cost!$B$66/100))</f>
        <v>31.306893713737452</v>
      </c>
      <c r="P51" s="75" t="s">
        <v>384</v>
      </c>
      <c r="Q51" s="175">
        <f>ROUND((L53+L53+L53+L64+L64+L64)/$K$53,0)*(1+(Current_Cost!$B$44/100))</f>
        <v>52</v>
      </c>
      <c r="R51" s="175">
        <f>ROUND((M53+M53+M53+M64+M64+M64)/$K$53,0)*(1+(Current_Cost!$B$44/100))</f>
        <v>52</v>
      </c>
      <c r="S51" s="176">
        <f>ROUND((N53+N53+N53+N64+N64+N64)/$K$53,0)*(1+(Current_Cost!$B$44/100))</f>
        <v>52</v>
      </c>
    </row>
    <row r="52" spans="1:19">
      <c r="A52" s="21">
        <v>5</v>
      </c>
      <c r="B52" s="175">
        <f t="shared" si="6"/>
        <v>853940.8939729922</v>
      </c>
      <c r="C52" s="175">
        <f t="shared" si="7"/>
        <v>2029845.3485785357</v>
      </c>
      <c r="D52" s="175">
        <f>($J$27)/A52</f>
        <v>3574177.0784221748</v>
      </c>
      <c r="F52" s="21">
        <v>5</v>
      </c>
      <c r="G52" s="175" cm="1">
        <f t="array" ref="G52">MIN(IF('Costs - SR - LEO'!$AA$4:$AA$180&lt;B52,'Costs - SR - LEO'!$AH$4:$AH$180,'Costs - SR - LEO'!$AH$4))</f>
        <v>31.306893713737452</v>
      </c>
      <c r="H52" s="175" cm="1">
        <f t="array" ref="H52">MIN(IF('Costs - SR - LEO'!$AA$4:$AA$180&lt;C52,'Costs - SR - LEO'!$AH$4:$AH$180,'Costs - SR - LEO'!$AH$4))</f>
        <v>31.306893713737452</v>
      </c>
      <c r="I52" s="175" cm="1">
        <f t="array" ref="I52">MIN(IF('Costs - SR - LEO'!$AA$4:$AA$180&lt;D52,'Costs - SR - LEO'!$AH$4:$AH$180,'Costs - SR - LEO'!$AH$4))</f>
        <v>31.306893713737452</v>
      </c>
      <c r="K52" s="21">
        <v>5</v>
      </c>
      <c r="L52" s="175">
        <f>G52*(1+(Future_Cost!$B$66/100))</f>
        <v>31.306893713737452</v>
      </c>
      <c r="M52" s="175">
        <f>H52*(1+(Future_Cost!$B$66/100))</f>
        <v>31.306893713737452</v>
      </c>
      <c r="N52" s="175">
        <f>I52*(1+(Future_Cost!$B$66/100))</f>
        <v>31.306893713737452</v>
      </c>
      <c r="P52" s="75" t="s">
        <v>385</v>
      </c>
      <c r="Q52" s="175">
        <f>ROUND((L53+L53+L53+L53+L64+L64)/$K$53,0)*(1+(Current_Cost!$B$44/100))</f>
        <v>45</v>
      </c>
      <c r="R52" s="175">
        <f>ROUND((M53+M53+M53+M53+M64+M64)/$K$53,0)*(1+(Current_Cost!$B$44/100))</f>
        <v>45</v>
      </c>
      <c r="S52" s="176">
        <f>ROUND((N53+N53+N53+N53+N64+N64)/$K$53,0)*(1+(Current_Cost!$B$44/100))</f>
        <v>45</v>
      </c>
    </row>
    <row r="53" spans="1:19" ht="15" thickBot="1">
      <c r="A53" s="21">
        <v>6</v>
      </c>
      <c r="B53" s="175">
        <f t="shared" si="6"/>
        <v>711617.41164416017</v>
      </c>
      <c r="C53" s="175">
        <f t="shared" si="7"/>
        <v>1691537.7904821131</v>
      </c>
      <c r="D53" s="175">
        <f t="shared" si="8"/>
        <v>2978480.8986851457</v>
      </c>
      <c r="F53" s="21">
        <v>6</v>
      </c>
      <c r="G53" s="175" cm="1">
        <f t="array" ref="G53">MIN(IF('Costs - SR - LEO'!$AA$4:$AA$180&lt;B53,'Costs - SR - LEO'!$AH$4:$AH$180,'Costs - SR - LEO'!$AH$4))</f>
        <v>31.306893713737452</v>
      </c>
      <c r="H53" s="175" cm="1">
        <f t="array" ref="H53">MIN(IF('Costs - SR - LEO'!$AA$4:$AA$180&lt;C53,'Costs - SR - LEO'!$AH$4:$AH$180,'Costs - SR - LEO'!$AH$4))</f>
        <v>31.306893713737452</v>
      </c>
      <c r="I53" s="175" cm="1">
        <f t="array" ref="I53">MIN(IF('Costs - SR - LEO'!$AA$4:$AA$180&lt;D53,'Costs - SR - LEO'!$AH$4:$AH$180,'Costs - SR - LEO'!$AH$4))</f>
        <v>31.306893713737452</v>
      </c>
      <c r="K53" s="21">
        <v>6</v>
      </c>
      <c r="L53" s="175">
        <f>G53*(1+(Future_Cost!$B$66/100))</f>
        <v>31.306893713737452</v>
      </c>
      <c r="M53" s="175">
        <f>H53*(1+(Future_Cost!$B$66/100))</f>
        <v>31.306893713737452</v>
      </c>
      <c r="N53" s="175">
        <f>I53*(1+(Future_Cost!$B$66/100))</f>
        <v>31.306893713737452</v>
      </c>
      <c r="P53" s="80" t="s">
        <v>386</v>
      </c>
      <c r="Q53" s="177">
        <f>ROUND((L53+L53+L64+L64+L64+L64)/$K$53,0)*(1+(Current_Cost!$B$44/100))</f>
        <v>59</v>
      </c>
      <c r="R53" s="177">
        <f>ROUND((M53+M53+M64+M64+M64+M64)/$K$53,0)*(1+(Current_Cost!$B$44/100))</f>
        <v>59</v>
      </c>
      <c r="S53" s="178">
        <f>ROUND((N53+N53+N64+N64+N64+N64)/$K$53,0)*(1+(Current_Cost!$B$44/100))</f>
        <v>59</v>
      </c>
    </row>
    <row r="54" spans="1:19">
      <c r="A54" s="21">
        <v>7</v>
      </c>
      <c r="B54" s="175">
        <f>($H$27)/A54</f>
        <v>609957.78140928014</v>
      </c>
      <c r="C54" s="175">
        <f t="shared" si="7"/>
        <v>1449889.5346989541</v>
      </c>
      <c r="D54" s="175">
        <f t="shared" si="8"/>
        <v>2552983.6274444102</v>
      </c>
      <c r="F54" s="21">
        <v>7</v>
      </c>
      <c r="G54" s="175" cm="1">
        <f t="array" ref="G54">MIN(IF('Costs - SR - LEO'!$AA$4:$AA$180&lt;B54,'Costs - SR - LEO'!$AH$4:$AH$180,'Costs - SR - LEO'!$AH$4))</f>
        <v>31.306893713737452</v>
      </c>
      <c r="H54" s="175" cm="1">
        <f t="array" ref="H54">MIN(IF('Costs - SR - LEO'!$AA$4:$AA$180&lt;C54,'Costs - SR - LEO'!$AH$4:$AH$180,'Costs - SR - LEO'!$AH$4))</f>
        <v>31.306893713737452</v>
      </c>
      <c r="I54" s="175" cm="1">
        <f t="array" ref="I54">MIN(IF('Costs - SR - LEO'!$AA$4:$AA$180&lt;D54,'Costs - SR - LEO'!$AH$4:$AH$180,'Costs - SR - LEO'!$AH$4))</f>
        <v>31.306893713737452</v>
      </c>
      <c r="K54" s="21">
        <v>7</v>
      </c>
      <c r="L54" s="175">
        <f>G54*(1+(Future_Cost!$B$66/100))</f>
        <v>31.306893713737452</v>
      </c>
      <c r="M54" s="175">
        <f>H54*(1+(Future_Cost!$B$66/100))</f>
        <v>31.306893713737452</v>
      </c>
      <c r="N54" s="175">
        <f>I54*(1+(Future_Cost!$B$66/100))</f>
        <v>31.306893713737452</v>
      </c>
    </row>
    <row r="55" spans="1:19">
      <c r="A55" s="21">
        <v>8</v>
      </c>
      <c r="B55" s="175">
        <f t="shared" si="6"/>
        <v>533713.05873312009</v>
      </c>
      <c r="C55" s="175">
        <f t="shared" si="7"/>
        <v>1268653.3428615849</v>
      </c>
      <c r="D55" s="175">
        <f t="shared" si="8"/>
        <v>2233860.6740138591</v>
      </c>
      <c r="F55" s="21">
        <v>8</v>
      </c>
      <c r="G55" s="175" cm="1">
        <f t="array" ref="G55">MIN(IF('Costs - SR - LEO'!$AA$4:$AA$180&lt;B55,'Costs - SR - LEO'!$AH$4:$AH$180,'Costs - SR - LEO'!$AH$4))</f>
        <v>31.306893713737452</v>
      </c>
      <c r="H55" s="175" cm="1">
        <f t="array" ref="H55">MIN(IF('Costs - SR - LEO'!$AA$4:$AA$180&lt;C55,'Costs - SR - LEO'!$AH$4:$AH$180,'Costs - SR - LEO'!$AH$4))</f>
        <v>31.306893713737452</v>
      </c>
      <c r="I55" s="175" cm="1">
        <f t="array" ref="I55">MIN(IF('Costs - SR - LEO'!$AA$4:$AA$180&lt;D55,'Costs - SR - LEO'!$AH$4:$AH$180,'Costs - SR - LEO'!$AH$4))</f>
        <v>31.306893713737452</v>
      </c>
      <c r="K55" s="21">
        <v>8</v>
      </c>
      <c r="L55" s="175">
        <f>G55*(1+(Future_Cost!$B$66/100))</f>
        <v>31.306893713737452</v>
      </c>
      <c r="M55" s="175">
        <f>H55*(1+(Future_Cost!$B$66/100))</f>
        <v>31.306893713737452</v>
      </c>
      <c r="N55" s="175">
        <f>I55*(1+(Future_Cost!$B$66/100))</f>
        <v>31.306893713737452</v>
      </c>
    </row>
    <row r="57" spans="1:19">
      <c r="A57" s="483" t="s">
        <v>519</v>
      </c>
      <c r="B57" s="483"/>
      <c r="C57" s="483"/>
      <c r="D57" s="483"/>
      <c r="F57" s="483" t="s">
        <v>520</v>
      </c>
      <c r="G57" s="483"/>
      <c r="H57" s="483"/>
      <c r="I57" s="483"/>
      <c r="K57" s="483" t="s">
        <v>520</v>
      </c>
      <c r="L57" s="483"/>
      <c r="M57" s="483"/>
      <c r="N57" s="483"/>
    </row>
    <row r="58" spans="1:19">
      <c r="A58" s="266" t="s">
        <v>382</v>
      </c>
      <c r="B58" s="266" t="s">
        <v>7</v>
      </c>
      <c r="C58" s="411" t="s">
        <v>55</v>
      </c>
      <c r="D58" s="266" t="s">
        <v>6</v>
      </c>
      <c r="F58" s="266" t="s">
        <v>382</v>
      </c>
      <c r="G58" s="266" t="s">
        <v>7</v>
      </c>
      <c r="H58" s="225" t="s">
        <v>55</v>
      </c>
      <c r="I58" s="266" t="s">
        <v>6</v>
      </c>
      <c r="K58" s="266" t="s">
        <v>382</v>
      </c>
      <c r="L58" s="266" t="s">
        <v>7</v>
      </c>
      <c r="M58" s="225" t="s">
        <v>55</v>
      </c>
      <c r="N58" s="266" t="s">
        <v>6</v>
      </c>
    </row>
    <row r="59" spans="1:19">
      <c r="A59" s="21">
        <v>1</v>
      </c>
      <c r="B59" s="175">
        <f>($H$27+$H$28)/A59</f>
        <v>8539408.9397299215</v>
      </c>
      <c r="C59" s="175">
        <f>($I$27+$I$28)/A59</f>
        <v>20298453.485785358</v>
      </c>
      <c r="D59" s="175">
        <f>($J$27+$J$28)/A59</f>
        <v>35741770.784221746</v>
      </c>
      <c r="F59" s="21">
        <v>1</v>
      </c>
      <c r="G59" s="175" cm="1">
        <f t="array" ref="G59">MIN(IF('Costs - SR - GEO'!$AB$4:$AB$55&lt;B59,'Costs - SR - GEO'!$AI$4:$AI$55,'Costs - SR - GEO'!$AI$4))</f>
        <v>72.30605683726462</v>
      </c>
      <c r="H59" s="175" cm="1">
        <f t="array" ref="H59">MIN(IF('Costs - SR - GEO'!$AB$4:$AB$55&lt;C59,'Costs - SR - GEO'!$AI$4:$AI$55,'Costs - SR - GEO'!$AI$4))</f>
        <v>72.30605683726462</v>
      </c>
      <c r="I59" s="175" cm="1">
        <f t="array" ref="I59">MIN(IF('Costs - SR - GEO'!$AB$4:$AB$55&lt;D59,'Costs - SR - GEO'!$AI$4:$AI$55,'Costs - SR - GEO'!$AI$4))</f>
        <v>72.30605683726462</v>
      </c>
      <c r="K59" s="21">
        <v>1</v>
      </c>
      <c r="L59" s="175">
        <f>G59*(1+(Future_Cost!$B$66/100))</f>
        <v>72.30605683726462</v>
      </c>
      <c r="M59" s="175">
        <f>H59*(1+(Future_Cost!$B$66/100))</f>
        <v>72.30605683726462</v>
      </c>
      <c r="N59" s="175">
        <f>I59*(1+(Future_Cost!$B$66/100))</f>
        <v>72.30605683726462</v>
      </c>
    </row>
    <row r="60" spans="1:19">
      <c r="A60" s="21">
        <v>2</v>
      </c>
      <c r="B60" s="175">
        <f t="shared" ref="B60:B66" si="9">($H$27+$H$28)/A60</f>
        <v>4269704.4698649608</v>
      </c>
      <c r="C60" s="175">
        <f t="shared" ref="C60:C66" si="10">($I$27+$I$28)/A60</f>
        <v>10149226.742892679</v>
      </c>
      <c r="D60" s="175">
        <f t="shared" ref="D60:D66" si="11">($J$27+$J$28)/A60</f>
        <v>17870885.392110873</v>
      </c>
      <c r="F60" s="21">
        <v>2</v>
      </c>
      <c r="G60" s="175" cm="1">
        <f t="array" ref="G60">MIN(IF('Costs - SR - GEO'!$AB$4:$AB$55&lt;B60,'Costs - SR - GEO'!$AI$4:$AI$55,'Costs - SR - GEO'!$AI$4))</f>
        <v>72.30605683726462</v>
      </c>
      <c r="H60" s="175" cm="1">
        <f t="array" ref="H60">MIN(IF('Costs - SR - GEO'!$AB$4:$AB$55&lt;C60,'Costs - SR - GEO'!$AI$4:$AI$55,'Costs - SR - GEO'!$AI$4))</f>
        <v>72.30605683726462</v>
      </c>
      <c r="I60" s="175" cm="1">
        <f t="array" ref="I60">MIN(IF('Costs - SR - GEO'!$AB$4:$AB$55&lt;D60,'Costs - SR - GEO'!$AI$4:$AI$55,'Costs - SR - GEO'!$AI$4))</f>
        <v>72.30605683726462</v>
      </c>
      <c r="K60" s="21">
        <v>2</v>
      </c>
      <c r="L60" s="175">
        <f>G60*(1+(Future_Cost!$B$66/100))</f>
        <v>72.30605683726462</v>
      </c>
      <c r="M60" s="175">
        <f>H60*(1+(Future_Cost!$B$66/100))</f>
        <v>72.30605683726462</v>
      </c>
      <c r="N60" s="175">
        <f>I60*(1+(Future_Cost!$B$66/100))</f>
        <v>72.30605683726462</v>
      </c>
    </row>
    <row r="61" spans="1:19">
      <c r="A61" s="21">
        <v>3</v>
      </c>
      <c r="B61" s="175">
        <f t="shared" si="9"/>
        <v>2846469.6465766407</v>
      </c>
      <c r="C61" s="175">
        <f t="shared" si="10"/>
        <v>6766151.1619284526</v>
      </c>
      <c r="D61" s="175">
        <f t="shared" si="11"/>
        <v>11913923.594740583</v>
      </c>
      <c r="F61" s="21">
        <v>3</v>
      </c>
      <c r="G61" s="175" cm="1">
        <f t="array" ref="G61">MIN(IF('Costs - SR - GEO'!$AB$4:$AB$55&lt;B61,'Costs - SR - GEO'!$AI$4:$AI$55,'Costs - SR - GEO'!$AI$4))</f>
        <v>72.30605683726462</v>
      </c>
      <c r="H61" s="175" cm="1">
        <f t="array" ref="H61">MIN(IF('Costs - SR - GEO'!$AB$4:$AB$55&lt;C61,'Costs - SR - GEO'!$AI$4:$AI$55,'Costs - SR - GEO'!$AI$4))</f>
        <v>72.30605683726462</v>
      </c>
      <c r="I61" s="175" cm="1">
        <f t="array" ref="I61">MIN(IF('Costs - SR - GEO'!$AB$4:$AB$55&lt;D61,'Costs - SR - GEO'!$AI$4:$AI$55,'Costs - SR - GEO'!$AI$4))</f>
        <v>72.30605683726462</v>
      </c>
      <c r="K61" s="21">
        <v>3</v>
      </c>
      <c r="L61" s="175">
        <f>G61*(1+(Future_Cost!$B$66/100))</f>
        <v>72.30605683726462</v>
      </c>
      <c r="M61" s="175">
        <f>H61*(1+(Future_Cost!$B$66/100))</f>
        <v>72.30605683726462</v>
      </c>
      <c r="N61" s="175">
        <f>I61*(1+(Future_Cost!$B$66/100))</f>
        <v>72.30605683726462</v>
      </c>
    </row>
    <row r="62" spans="1:19">
      <c r="A62" s="21">
        <v>4</v>
      </c>
      <c r="B62" s="175">
        <f t="shared" si="9"/>
        <v>2134852.2349324804</v>
      </c>
      <c r="C62" s="175">
        <f t="shared" si="10"/>
        <v>5074613.3714463394</v>
      </c>
      <c r="D62" s="175">
        <f t="shared" si="11"/>
        <v>8935442.6960554365</v>
      </c>
      <c r="F62" s="21">
        <v>4</v>
      </c>
      <c r="G62" s="175" cm="1">
        <f t="array" ref="G62">MIN(IF('Costs - SR - GEO'!$AB$4:$AB$55&lt;B62,'Costs - SR - GEO'!$AI$4:$AI$55,'Costs - SR - GEO'!$AI$4))</f>
        <v>72.30605683726462</v>
      </c>
      <c r="H62" s="175" cm="1">
        <f t="array" ref="H62">MIN(IF('Costs - SR - GEO'!$AB$4:$AB$55&lt;C62,'Costs - SR - GEO'!$AI$4:$AI$55,'Costs - SR - GEO'!$AI$4))</f>
        <v>72.30605683726462</v>
      </c>
      <c r="I62" s="175" cm="1">
        <f t="array" ref="I62">MIN(IF('Costs - SR - GEO'!$AB$4:$AB$55&lt;D62,'Costs - SR - GEO'!$AI$4:$AI$55,'Costs - SR - GEO'!$AI$4))</f>
        <v>72.30605683726462</v>
      </c>
      <c r="K62" s="21">
        <v>4</v>
      </c>
      <c r="L62" s="175">
        <f>G62*(1+(Future_Cost!$B$66/100))</f>
        <v>72.30605683726462</v>
      </c>
      <c r="M62" s="175">
        <f>H62*(1+(Future_Cost!$B$66/100))</f>
        <v>72.30605683726462</v>
      </c>
      <c r="N62" s="175">
        <f>I62*(1+(Future_Cost!$B$66/100))</f>
        <v>72.30605683726462</v>
      </c>
    </row>
    <row r="63" spans="1:19">
      <c r="A63" s="21">
        <v>5</v>
      </c>
      <c r="B63" s="175">
        <f t="shared" si="9"/>
        <v>1707881.7879459844</v>
      </c>
      <c r="C63" s="175">
        <f t="shared" si="10"/>
        <v>4059690.6971570714</v>
      </c>
      <c r="D63" s="175">
        <f t="shared" si="11"/>
        <v>7148354.1568443496</v>
      </c>
      <c r="F63" s="21">
        <v>5</v>
      </c>
      <c r="G63" s="175" cm="1">
        <f t="array" ref="G63">MIN(IF('Costs - SR - GEO'!$AB$4:$AB$55&lt;B63,'Costs - SR - GEO'!$AI$4:$AI$55,'Costs - SR - GEO'!$AI$4))</f>
        <v>72.30605683726462</v>
      </c>
      <c r="H63" s="175" cm="1">
        <f t="array" ref="H63">MIN(IF('Costs - SR - GEO'!$AB$4:$AB$55&lt;C63,'Costs - SR - GEO'!$AI$4:$AI$55,'Costs - SR - GEO'!$AI$4))</f>
        <v>72.30605683726462</v>
      </c>
      <c r="I63" s="175" cm="1">
        <f t="array" ref="I63">MIN(IF('Costs - SR - GEO'!$AB$4:$AB$55&lt;D63,'Costs - SR - GEO'!$AI$4:$AI$55,'Costs - SR - GEO'!$AI$4))</f>
        <v>72.30605683726462</v>
      </c>
      <c r="K63" s="21">
        <v>5</v>
      </c>
      <c r="L63" s="175">
        <f>G63*(1+(Future_Cost!$B$66/100))</f>
        <v>72.30605683726462</v>
      </c>
      <c r="M63" s="175">
        <f>H63*(1+(Future_Cost!$B$66/100))</f>
        <v>72.30605683726462</v>
      </c>
      <c r="N63" s="175">
        <f>I63*(1+(Future_Cost!$B$66/100))</f>
        <v>72.30605683726462</v>
      </c>
    </row>
    <row r="64" spans="1:19">
      <c r="A64" s="21">
        <v>6</v>
      </c>
      <c r="B64" s="175">
        <f t="shared" si="9"/>
        <v>1423234.8232883203</v>
      </c>
      <c r="C64" s="175">
        <f t="shared" si="10"/>
        <v>3383075.5809642263</v>
      </c>
      <c r="D64" s="175">
        <f t="shared" si="11"/>
        <v>5956961.7973702913</v>
      </c>
      <c r="F64" s="21">
        <v>6</v>
      </c>
      <c r="G64" s="175" cm="1">
        <f t="array" ref="G64">MIN(IF('Costs - SR - GEO'!$AB$4:$AB$55&lt;B64,'Costs - SR - GEO'!$AI$4:$AI$55,'Costs - SR - GEO'!$AI$4))</f>
        <v>72.30605683726462</v>
      </c>
      <c r="H64" s="175" cm="1">
        <f t="array" ref="H64">MIN(IF('Costs - SR - GEO'!$AB$4:$AB$55&lt;C64,'Costs - SR - GEO'!$AI$4:$AI$55,'Costs - SR - GEO'!$AI$4))</f>
        <v>72.30605683726462</v>
      </c>
      <c r="I64" s="175" cm="1">
        <f t="array" ref="I64">MIN(IF('Costs - SR - GEO'!$AB$4:$AB$55&lt;D64,'Costs - SR - GEO'!$AI$4:$AI$55,'Costs - SR - GEO'!$AI$4))</f>
        <v>72.30605683726462</v>
      </c>
      <c r="K64" s="21">
        <v>6</v>
      </c>
      <c r="L64" s="175">
        <f>G64*(1+(Future_Cost!$B$66/100))</f>
        <v>72.30605683726462</v>
      </c>
      <c r="M64" s="175">
        <f>H64*(1+(Future_Cost!$B$66/100))</f>
        <v>72.30605683726462</v>
      </c>
      <c r="N64" s="175">
        <f>I64*(1+(Future_Cost!$B$66/100))</f>
        <v>72.30605683726462</v>
      </c>
    </row>
    <row r="65" spans="1:14">
      <c r="A65" s="21">
        <v>7</v>
      </c>
      <c r="B65" s="175">
        <f t="shared" si="9"/>
        <v>1219915.5628185603</v>
      </c>
      <c r="C65" s="175">
        <f t="shared" si="10"/>
        <v>2899779.0693979082</v>
      </c>
      <c r="D65" s="175">
        <f t="shared" si="11"/>
        <v>5105967.2548888205</v>
      </c>
      <c r="F65" s="21">
        <v>7</v>
      </c>
      <c r="G65" s="175" cm="1">
        <f t="array" ref="G65">MIN(IF('Costs - SR - GEO'!$AB$4:$AB$55&lt;B65,'Costs - SR - GEO'!$AI$4:$AI$55,'Costs - SR - GEO'!$AI$4))</f>
        <v>72.30605683726462</v>
      </c>
      <c r="H65" s="175" cm="1">
        <f t="array" ref="H65">MIN(IF('Costs - SR - GEO'!$AB$4:$AB$55&lt;C65,'Costs - SR - GEO'!$AI$4:$AI$55,'Costs - SR - GEO'!$AI$4))</f>
        <v>72.30605683726462</v>
      </c>
      <c r="I65" s="175" cm="1">
        <f t="array" ref="I65">MIN(IF('Costs - SR - GEO'!$AB$4:$AB$55&lt;D65,'Costs - SR - GEO'!$AI$4:$AI$55,'Costs - SR - GEO'!$AI$4))</f>
        <v>72.30605683726462</v>
      </c>
      <c r="K65" s="21">
        <v>7</v>
      </c>
      <c r="L65" s="175">
        <f>G65*(1+(Future_Cost!$B$66/100))</f>
        <v>72.30605683726462</v>
      </c>
      <c r="M65" s="175">
        <f>H65*(1+(Future_Cost!$B$66/100))</f>
        <v>72.30605683726462</v>
      </c>
      <c r="N65" s="175">
        <f>I65*(1+(Future_Cost!$B$66/100))</f>
        <v>72.30605683726462</v>
      </c>
    </row>
    <row r="66" spans="1:14">
      <c r="A66" s="21">
        <v>8</v>
      </c>
      <c r="B66" s="175">
        <f t="shared" si="9"/>
        <v>1067426.1174662402</v>
      </c>
      <c r="C66" s="175">
        <f t="shared" si="10"/>
        <v>2537306.6857231697</v>
      </c>
      <c r="D66" s="175">
        <f t="shared" si="11"/>
        <v>4467721.3480277183</v>
      </c>
      <c r="F66" s="21">
        <v>8</v>
      </c>
      <c r="G66" s="175" cm="1">
        <f t="array" ref="G66">MIN(IF('Costs - SR - GEO'!$AB$4:$AB$55&lt;B66,'Costs - SR - GEO'!$AI$4:$AI$55,'Costs - SR - GEO'!$AI$4))</f>
        <v>72.30605683726462</v>
      </c>
      <c r="H66" s="175" cm="1">
        <f t="array" ref="H66">MIN(IF('Costs - SR - GEO'!$AB$4:$AB$55&lt;C66,'Costs - SR - GEO'!$AI$4:$AI$55,'Costs - SR - GEO'!$AI$4))</f>
        <v>72.30605683726462</v>
      </c>
      <c r="I66" s="175" cm="1">
        <f t="array" ref="I66">MIN(IF('Costs - SR - GEO'!$AB$4:$AB$55&lt;D66,'Costs - SR - GEO'!$AI$4:$AI$55,'Costs - SR - GEO'!$AI$4))</f>
        <v>72.30605683726462</v>
      </c>
      <c r="K66" s="21">
        <v>8</v>
      </c>
      <c r="L66" s="175">
        <f>G66*(1+(Future_Cost!$B$66/100))</f>
        <v>72.30605683726462</v>
      </c>
      <c r="M66" s="175">
        <f>H66*(1+(Future_Cost!$B$66/100))</f>
        <v>72.30605683726462</v>
      </c>
      <c r="N66" s="175">
        <f>I66*(1+(Future_Cost!$B$66/100))</f>
        <v>72.30605683726462</v>
      </c>
    </row>
    <row r="83" spans="1:5">
      <c r="A83"/>
      <c r="B83"/>
      <c r="C83"/>
      <c r="D83"/>
      <c r="E83"/>
    </row>
    <row r="84" spans="1:5">
      <c r="A84"/>
      <c r="B84"/>
      <c r="C84"/>
      <c r="D84"/>
      <c r="E84"/>
    </row>
    <row r="85" spans="1:5">
      <c r="A85"/>
      <c r="B85"/>
      <c r="C85"/>
      <c r="D85"/>
      <c r="E85"/>
    </row>
    <row r="86" spans="1:5">
      <c r="A86"/>
      <c r="B86"/>
      <c r="C86"/>
      <c r="D86"/>
      <c r="E86"/>
    </row>
    <row r="87" spans="1:5">
      <c r="A87"/>
      <c r="B87"/>
      <c r="C87"/>
      <c r="D87"/>
      <c r="E87"/>
    </row>
    <row r="88" spans="1:5">
      <c r="A88"/>
      <c r="B88"/>
      <c r="C88"/>
      <c r="D88"/>
      <c r="E88"/>
    </row>
    <row r="89" spans="1:5">
      <c r="A89"/>
      <c r="B89"/>
      <c r="C89"/>
      <c r="D89"/>
      <c r="E89"/>
    </row>
    <row r="90" spans="1:5">
      <c r="A90"/>
      <c r="B90"/>
      <c r="C90"/>
      <c r="D90"/>
      <c r="E90"/>
    </row>
    <row r="91" spans="1:5">
      <c r="A91"/>
      <c r="B91"/>
      <c r="C91"/>
      <c r="D91"/>
      <c r="E91"/>
    </row>
    <row r="92" spans="1:5">
      <c r="A92"/>
      <c r="B92"/>
      <c r="C92"/>
      <c r="D92"/>
      <c r="E92"/>
    </row>
    <row r="93" spans="1:5">
      <c r="A93"/>
      <c r="B93"/>
      <c r="C93"/>
      <c r="D93"/>
      <c r="E93"/>
    </row>
    <row r="94" spans="1:5">
      <c r="A94"/>
      <c r="B94"/>
      <c r="C94"/>
      <c r="D94"/>
      <c r="E94"/>
    </row>
    <row r="95" spans="1:5">
      <c r="A95"/>
      <c r="B95"/>
      <c r="C95"/>
      <c r="D95"/>
      <c r="E95"/>
    </row>
    <row r="96" spans="1:5">
      <c r="A96"/>
      <c r="B96"/>
      <c r="C96"/>
      <c r="D96"/>
      <c r="E96"/>
    </row>
    <row r="97" spans="1:5">
      <c r="A97"/>
      <c r="B97"/>
      <c r="C97"/>
      <c r="D97"/>
      <c r="E97"/>
    </row>
    <row r="98" spans="1:5">
      <c r="A98"/>
      <c r="B98"/>
      <c r="C98"/>
      <c r="D98"/>
      <c r="E98"/>
    </row>
    <row r="99" spans="1:5">
      <c r="A99"/>
      <c r="B99"/>
      <c r="C99"/>
      <c r="D99"/>
      <c r="E99"/>
    </row>
    <row r="100" spans="1:5">
      <c r="A100"/>
      <c r="B100"/>
      <c r="C100"/>
      <c r="D100"/>
      <c r="E100"/>
    </row>
    <row r="101" spans="1:5">
      <c r="A101"/>
      <c r="B101"/>
      <c r="C101"/>
      <c r="D101"/>
      <c r="E101"/>
    </row>
    <row r="102" spans="1:5">
      <c r="A102"/>
      <c r="B102"/>
      <c r="C102"/>
      <c r="D102"/>
      <c r="E102"/>
    </row>
    <row r="103" spans="1:5">
      <c r="A103"/>
      <c r="B103"/>
      <c r="C103"/>
      <c r="D103"/>
      <c r="E103"/>
    </row>
    <row r="104" spans="1:5">
      <c r="A104"/>
      <c r="B104"/>
      <c r="C104"/>
      <c r="D104"/>
      <c r="E104"/>
    </row>
    <row r="105" spans="1:5">
      <c r="A105"/>
      <c r="B105"/>
      <c r="C105"/>
      <c r="D105"/>
      <c r="E105"/>
    </row>
    <row r="106" spans="1:5">
      <c r="A106"/>
      <c r="B106"/>
      <c r="C106"/>
      <c r="D106"/>
      <c r="E106"/>
    </row>
    <row r="107" spans="1:5">
      <c r="A107"/>
      <c r="B107"/>
      <c r="C107"/>
      <c r="D107"/>
      <c r="E107"/>
    </row>
    <row r="108" spans="1:5">
      <c r="A108"/>
      <c r="B108"/>
      <c r="C108"/>
      <c r="D108"/>
      <c r="E108"/>
    </row>
    <row r="109" spans="1:5">
      <c r="A109"/>
      <c r="B109"/>
      <c r="C109"/>
      <c r="D109"/>
      <c r="E109"/>
    </row>
    <row r="110" spans="1:5">
      <c r="A110"/>
      <c r="B110"/>
      <c r="C110"/>
      <c r="D110"/>
      <c r="E110"/>
    </row>
    <row r="111" spans="1:5">
      <c r="A111"/>
      <c r="B111"/>
      <c r="C111"/>
      <c r="D111"/>
      <c r="E111"/>
    </row>
    <row r="112" spans="1:5">
      <c r="A112"/>
      <c r="B112"/>
      <c r="C112"/>
      <c r="D112"/>
      <c r="E112"/>
    </row>
    <row r="113" spans="1:5">
      <c r="A113"/>
      <c r="B113"/>
      <c r="C113"/>
      <c r="D113"/>
      <c r="E113"/>
    </row>
    <row r="114" spans="1:5">
      <c r="A114"/>
      <c r="B114"/>
      <c r="C114"/>
      <c r="D114"/>
      <c r="E114"/>
    </row>
    <row r="115" spans="1:5">
      <c r="A115"/>
      <c r="B115"/>
      <c r="C115"/>
      <c r="D115"/>
      <c r="E115"/>
    </row>
  </sheetData>
  <mergeCells count="21">
    <mergeCell ref="G24:J24"/>
    <mergeCell ref="F35:I35"/>
    <mergeCell ref="A46:D46"/>
    <mergeCell ref="F46:I46"/>
    <mergeCell ref="K46:N46"/>
    <mergeCell ref="A1:L1"/>
    <mergeCell ref="A21:L21"/>
    <mergeCell ref="P35:S35"/>
    <mergeCell ref="F57:I57"/>
    <mergeCell ref="K57:N57"/>
    <mergeCell ref="P46:S46"/>
    <mergeCell ref="A9:C9"/>
    <mergeCell ref="F9:I9"/>
    <mergeCell ref="G3:J3"/>
    <mergeCell ref="A57:D57"/>
    <mergeCell ref="A3:E3"/>
    <mergeCell ref="K9:M9"/>
    <mergeCell ref="A25:E25"/>
    <mergeCell ref="A27:A29"/>
    <mergeCell ref="A30:A31"/>
    <mergeCell ref="A35:D35"/>
  </mergeCells>
  <phoneticPr fontId="35" type="noConversion"/>
  <conditionalFormatting sqref="C27:E3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{7658936D-297A-4284-A54F-9AE1ADE01C56}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658936D-297A-4284-A54F-9AE1ADE01C5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C27:E31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E294B-60BA-4FED-8465-44DC13ADF919}">
  <sheetPr>
    <tabColor rgb="FFFFFF00"/>
  </sheetPr>
  <dimension ref="A1:H201"/>
  <sheetViews>
    <sheetView zoomScaleNormal="100" workbookViewId="0">
      <selection activeCell="E21" sqref="E21"/>
    </sheetView>
  </sheetViews>
  <sheetFormatPr defaultRowHeight="14.4"/>
  <cols>
    <col min="1" max="1" width="25.5546875" style="2" customWidth="1"/>
    <col min="2" max="2" width="26.88671875" style="2" customWidth="1"/>
    <col min="3" max="5" width="8.88671875" style="2"/>
    <col min="6" max="6" width="14.33203125" style="2" bestFit="1" customWidth="1"/>
    <col min="7" max="7" width="15.5546875" style="22" bestFit="1" customWidth="1"/>
    <col min="8" max="8" width="15.5546875" style="189" bestFit="1" customWidth="1"/>
    <col min="9" max="16384" width="8.88671875" style="2"/>
  </cols>
  <sheetData>
    <row r="1" spans="1:8" ht="13.8">
      <c r="A1" s="2" t="s">
        <v>353</v>
      </c>
      <c r="B1" s="2" t="s">
        <v>354</v>
      </c>
      <c r="C1" s="2" t="s">
        <v>375</v>
      </c>
      <c r="D1" s="2">
        <v>0</v>
      </c>
      <c r="E1" s="2">
        <v>0</v>
      </c>
      <c r="F1" s="2">
        <v>0</v>
      </c>
      <c r="G1" s="22">
        <v>0</v>
      </c>
      <c r="H1" s="22">
        <v>0</v>
      </c>
    </row>
    <row r="2" spans="1:8" ht="13.8">
      <c r="A2" s="2" t="s">
        <v>368</v>
      </c>
      <c r="B2" s="2" t="s">
        <v>368</v>
      </c>
      <c r="C2" s="2" t="s">
        <v>377</v>
      </c>
      <c r="D2" s="2">
        <v>1</v>
      </c>
      <c r="E2" s="2">
        <v>5</v>
      </c>
      <c r="F2" s="13">
        <v>1000000</v>
      </c>
      <c r="G2" s="44">
        <v>50000000</v>
      </c>
      <c r="H2" s="44">
        <v>50000000</v>
      </c>
    </row>
    <row r="3" spans="1:8" ht="13.8">
      <c r="A3" s="2" t="s">
        <v>366</v>
      </c>
      <c r="B3" s="2" t="s">
        <v>367</v>
      </c>
      <c r="D3" s="2">
        <v>2</v>
      </c>
      <c r="E3" s="2">
        <v>10</v>
      </c>
      <c r="F3" s="13">
        <v>2000000</v>
      </c>
      <c r="G3" s="44">
        <v>100000000</v>
      </c>
      <c r="H3" s="44">
        <v>100000000</v>
      </c>
    </row>
    <row r="4" spans="1:8" ht="13.8">
      <c r="A4" s="2" t="s">
        <v>419</v>
      </c>
      <c r="B4" s="2" t="s">
        <v>425</v>
      </c>
      <c r="D4" s="2">
        <v>3</v>
      </c>
      <c r="E4" s="2">
        <v>15</v>
      </c>
      <c r="F4" s="13">
        <v>3000000</v>
      </c>
      <c r="G4" s="44">
        <v>150000000</v>
      </c>
      <c r="H4" s="44">
        <v>150000000</v>
      </c>
    </row>
    <row r="5" spans="1:8" ht="13.8">
      <c r="A5" s="2" t="s">
        <v>420</v>
      </c>
      <c r="B5" s="2" t="s">
        <v>426</v>
      </c>
      <c r="D5" s="2">
        <v>4</v>
      </c>
      <c r="E5" s="2">
        <v>20</v>
      </c>
      <c r="F5" s="13">
        <v>4000000</v>
      </c>
      <c r="G5" s="44">
        <v>200000000</v>
      </c>
      <c r="H5" s="44">
        <v>200000000</v>
      </c>
    </row>
    <row r="6" spans="1:8" ht="13.8">
      <c r="A6" s="2" t="s">
        <v>421</v>
      </c>
      <c r="B6" s="2" t="s">
        <v>430</v>
      </c>
      <c r="D6" s="2">
        <v>5</v>
      </c>
      <c r="E6" s="2">
        <v>25</v>
      </c>
      <c r="F6" s="13">
        <v>5000000</v>
      </c>
      <c r="G6" s="44">
        <v>250000000</v>
      </c>
      <c r="H6" s="44">
        <v>250000000</v>
      </c>
    </row>
    <row r="7" spans="1:8" ht="13.8">
      <c r="A7" s="2" t="s">
        <v>422</v>
      </c>
      <c r="B7" s="2" t="s">
        <v>427</v>
      </c>
      <c r="D7" s="2">
        <v>6</v>
      </c>
      <c r="E7" s="2">
        <v>30</v>
      </c>
      <c r="F7" s="13">
        <v>6000000</v>
      </c>
      <c r="G7" s="44">
        <v>300000000</v>
      </c>
      <c r="H7" s="44">
        <v>300000000</v>
      </c>
    </row>
    <row r="8" spans="1:8" ht="13.8">
      <c r="A8" s="2" t="s">
        <v>423</v>
      </c>
      <c r="B8" s="2" t="s">
        <v>428</v>
      </c>
      <c r="D8" s="2">
        <v>7</v>
      </c>
      <c r="E8" s="2">
        <v>35</v>
      </c>
      <c r="F8" s="13">
        <v>7000000</v>
      </c>
      <c r="G8" s="44">
        <v>350000000</v>
      </c>
      <c r="H8" s="44">
        <v>350000000</v>
      </c>
    </row>
    <row r="9" spans="1:8" ht="13.8">
      <c r="A9" s="2" t="s">
        <v>424</v>
      </c>
      <c r="B9" s="2" t="s">
        <v>429</v>
      </c>
      <c r="D9" s="2">
        <v>8</v>
      </c>
      <c r="E9" s="2">
        <v>40</v>
      </c>
      <c r="F9" s="13">
        <v>8000000</v>
      </c>
      <c r="G9" s="44">
        <v>400000000</v>
      </c>
      <c r="H9" s="44">
        <v>400000000</v>
      </c>
    </row>
    <row r="10" spans="1:8" ht="13.8">
      <c r="D10" s="2">
        <v>9</v>
      </c>
      <c r="E10" s="2">
        <v>45</v>
      </c>
      <c r="F10" s="13">
        <v>9000000</v>
      </c>
      <c r="G10" s="44">
        <v>450000000</v>
      </c>
      <c r="H10" s="44">
        <v>450000000</v>
      </c>
    </row>
    <row r="11" spans="1:8" ht="13.8">
      <c r="D11" s="2">
        <v>10</v>
      </c>
      <c r="E11" s="2">
        <v>50</v>
      </c>
      <c r="F11" s="13">
        <v>10000000</v>
      </c>
      <c r="G11" s="44">
        <v>500000000</v>
      </c>
      <c r="H11" s="44">
        <v>500000000</v>
      </c>
    </row>
    <row r="12" spans="1:8" ht="13.8">
      <c r="D12" s="2">
        <v>11</v>
      </c>
      <c r="E12" s="2">
        <v>55</v>
      </c>
      <c r="F12" s="13">
        <v>11000000</v>
      </c>
      <c r="G12" s="44">
        <v>550000000</v>
      </c>
      <c r="H12" s="44">
        <v>550000000</v>
      </c>
    </row>
    <row r="13" spans="1:8">
      <c r="A13"/>
      <c r="B13"/>
      <c r="D13" s="2">
        <v>12</v>
      </c>
      <c r="E13" s="2">
        <v>60</v>
      </c>
      <c r="F13" s="13">
        <v>12000000</v>
      </c>
      <c r="G13" s="44">
        <v>600000000</v>
      </c>
      <c r="H13" s="44">
        <v>600000000</v>
      </c>
    </row>
    <row r="14" spans="1:8">
      <c r="A14"/>
      <c r="B14"/>
      <c r="D14" s="2">
        <v>13</v>
      </c>
      <c r="E14" s="2">
        <v>65</v>
      </c>
      <c r="F14" s="13"/>
      <c r="G14" s="44">
        <v>650000000</v>
      </c>
      <c r="H14" s="44">
        <v>650000000</v>
      </c>
    </row>
    <row r="15" spans="1:8">
      <c r="A15"/>
      <c r="B15"/>
      <c r="D15" s="2">
        <v>14</v>
      </c>
      <c r="E15" s="2">
        <v>70</v>
      </c>
      <c r="F15" s="13"/>
      <c r="G15" s="44">
        <v>700000000</v>
      </c>
      <c r="H15" s="44">
        <v>700000000</v>
      </c>
    </row>
    <row r="16" spans="1:8">
      <c r="A16"/>
      <c r="B16"/>
      <c r="D16" s="2">
        <v>15</v>
      </c>
      <c r="E16" s="2">
        <v>75</v>
      </c>
      <c r="F16" s="13"/>
      <c r="G16" s="44">
        <v>750000000</v>
      </c>
      <c r="H16" s="44">
        <v>750000000</v>
      </c>
    </row>
    <row r="17" spans="1:8">
      <c r="A17"/>
      <c r="B17"/>
      <c r="D17" s="2">
        <v>16</v>
      </c>
      <c r="E17" s="2">
        <v>80</v>
      </c>
      <c r="G17" s="44">
        <v>800000000</v>
      </c>
      <c r="H17" s="44">
        <v>800000000</v>
      </c>
    </row>
    <row r="18" spans="1:8">
      <c r="A18"/>
      <c r="B18"/>
      <c r="D18" s="2">
        <v>17</v>
      </c>
      <c r="E18" s="2">
        <v>85</v>
      </c>
      <c r="G18" s="44">
        <v>850000000</v>
      </c>
      <c r="H18" s="44">
        <v>850000000</v>
      </c>
    </row>
    <row r="19" spans="1:8">
      <c r="A19"/>
      <c r="B19"/>
      <c r="D19" s="2">
        <v>18</v>
      </c>
      <c r="E19" s="2">
        <v>90</v>
      </c>
      <c r="G19" s="44">
        <v>900000000</v>
      </c>
      <c r="H19" s="44">
        <v>900000000</v>
      </c>
    </row>
    <row r="20" spans="1:8" ht="13.8">
      <c r="D20" s="2">
        <v>19</v>
      </c>
      <c r="E20" s="2">
        <v>95</v>
      </c>
      <c r="G20" s="44">
        <v>950000000</v>
      </c>
      <c r="H20" s="44">
        <v>950000000</v>
      </c>
    </row>
    <row r="21" spans="1:8" ht="13.8">
      <c r="D21" s="2">
        <v>20</v>
      </c>
      <c r="E21" s="2">
        <v>100</v>
      </c>
      <c r="G21" s="44">
        <v>1000000000</v>
      </c>
      <c r="H21" s="44">
        <v>1000000000</v>
      </c>
    </row>
    <row r="22" spans="1:8">
      <c r="D22" s="2">
        <v>21</v>
      </c>
      <c r="G22" s="44">
        <v>1050000000</v>
      </c>
    </row>
    <row r="23" spans="1:8">
      <c r="D23" s="2">
        <v>22</v>
      </c>
      <c r="G23" s="44">
        <v>1100000000</v>
      </c>
    </row>
    <row r="24" spans="1:8">
      <c r="D24" s="2">
        <v>23</v>
      </c>
      <c r="G24" s="44">
        <v>1150000000</v>
      </c>
    </row>
    <row r="25" spans="1:8">
      <c r="D25" s="2">
        <v>24</v>
      </c>
      <c r="G25" s="44">
        <v>1200000000</v>
      </c>
    </row>
    <row r="26" spans="1:8">
      <c r="D26" s="2">
        <v>25</v>
      </c>
      <c r="G26" s="44">
        <v>1250000000</v>
      </c>
    </row>
    <row r="27" spans="1:8">
      <c r="D27" s="2">
        <v>26</v>
      </c>
      <c r="G27" s="44">
        <v>1300000000</v>
      </c>
    </row>
    <row r="28" spans="1:8">
      <c r="D28" s="2">
        <v>27</v>
      </c>
      <c r="G28" s="44">
        <v>1350000000</v>
      </c>
    </row>
    <row r="29" spans="1:8">
      <c r="D29" s="2">
        <v>28</v>
      </c>
      <c r="G29" s="44">
        <v>1400000000</v>
      </c>
    </row>
    <row r="30" spans="1:8">
      <c r="D30" s="2">
        <v>29</v>
      </c>
      <c r="G30" s="44">
        <v>1450000000</v>
      </c>
    </row>
    <row r="31" spans="1:8">
      <c r="D31" s="2">
        <v>30</v>
      </c>
      <c r="G31" s="44">
        <v>1500000000</v>
      </c>
    </row>
    <row r="32" spans="1:8">
      <c r="D32" s="2">
        <v>31</v>
      </c>
      <c r="G32" s="44">
        <v>1550000000</v>
      </c>
    </row>
    <row r="33" spans="4:7">
      <c r="D33" s="2">
        <v>32</v>
      </c>
      <c r="G33" s="44">
        <v>1600000000</v>
      </c>
    </row>
    <row r="34" spans="4:7">
      <c r="D34" s="2">
        <v>33</v>
      </c>
      <c r="G34" s="44">
        <v>1650000000</v>
      </c>
    </row>
    <row r="35" spans="4:7">
      <c r="D35" s="2">
        <v>34</v>
      </c>
      <c r="G35" s="44">
        <v>1700000000</v>
      </c>
    </row>
    <row r="36" spans="4:7">
      <c r="D36" s="2">
        <v>35</v>
      </c>
      <c r="G36" s="44">
        <v>1750000000</v>
      </c>
    </row>
    <row r="37" spans="4:7">
      <c r="D37" s="2">
        <v>36</v>
      </c>
      <c r="G37" s="44">
        <v>1800000000</v>
      </c>
    </row>
    <row r="38" spans="4:7">
      <c r="D38" s="2">
        <v>37</v>
      </c>
      <c r="G38" s="44">
        <v>1850000000</v>
      </c>
    </row>
    <row r="39" spans="4:7">
      <c r="D39" s="2">
        <v>38</v>
      </c>
      <c r="G39" s="44">
        <v>1900000000</v>
      </c>
    </row>
    <row r="40" spans="4:7">
      <c r="D40" s="2">
        <v>39</v>
      </c>
      <c r="G40" s="44">
        <v>1950000000</v>
      </c>
    </row>
    <row r="41" spans="4:7">
      <c r="D41" s="2">
        <v>40</v>
      </c>
      <c r="G41" s="44">
        <v>2000000000</v>
      </c>
    </row>
    <row r="42" spans="4:7">
      <c r="D42" s="2">
        <v>41</v>
      </c>
      <c r="G42" s="44">
        <v>2050000000</v>
      </c>
    </row>
    <row r="43" spans="4:7">
      <c r="D43" s="2">
        <v>42</v>
      </c>
      <c r="G43" s="44">
        <v>2100000000</v>
      </c>
    </row>
    <row r="44" spans="4:7">
      <c r="D44" s="2">
        <v>43</v>
      </c>
      <c r="G44" s="44">
        <v>2150000000</v>
      </c>
    </row>
    <row r="45" spans="4:7">
      <c r="D45" s="2">
        <v>44</v>
      </c>
      <c r="G45" s="44">
        <v>2200000000</v>
      </c>
    </row>
    <row r="46" spans="4:7">
      <c r="D46" s="2">
        <v>45</v>
      </c>
      <c r="G46" s="44">
        <v>2250000000</v>
      </c>
    </row>
    <row r="47" spans="4:7">
      <c r="D47" s="2">
        <v>46</v>
      </c>
      <c r="G47" s="44">
        <v>2300000000</v>
      </c>
    </row>
    <row r="48" spans="4:7">
      <c r="D48" s="2">
        <v>47</v>
      </c>
      <c r="G48" s="44">
        <v>2350000000</v>
      </c>
    </row>
    <row r="49" spans="1:8">
      <c r="D49" s="2">
        <v>48</v>
      </c>
      <c r="G49" s="44">
        <v>2400000000</v>
      </c>
    </row>
    <row r="50" spans="1:8">
      <c r="D50" s="2">
        <v>49</v>
      </c>
      <c r="G50" s="44">
        <v>2450000000</v>
      </c>
    </row>
    <row r="51" spans="1:8">
      <c r="D51" s="2">
        <v>50</v>
      </c>
      <c r="G51" s="44">
        <v>2500000000</v>
      </c>
    </row>
    <row r="52" spans="1:8">
      <c r="D52" s="2">
        <v>51</v>
      </c>
      <c r="G52" s="44">
        <v>2550000000</v>
      </c>
    </row>
    <row r="53" spans="1:8">
      <c r="D53" s="2">
        <v>52</v>
      </c>
      <c r="G53" s="44">
        <v>2600000000</v>
      </c>
    </row>
    <row r="54" spans="1:8">
      <c r="D54" s="2">
        <v>53</v>
      </c>
      <c r="G54" s="44">
        <v>2650000000</v>
      </c>
    </row>
    <row r="55" spans="1:8">
      <c r="D55" s="2">
        <v>54</v>
      </c>
      <c r="G55" s="44">
        <v>2700000000</v>
      </c>
    </row>
    <row r="56" spans="1:8">
      <c r="D56" s="2">
        <v>55</v>
      </c>
      <c r="G56" s="44">
        <v>2750000000</v>
      </c>
    </row>
    <row r="57" spans="1:8">
      <c r="D57" s="2">
        <v>56</v>
      </c>
      <c r="G57" s="44">
        <v>2800000000</v>
      </c>
    </row>
    <row r="58" spans="1:8">
      <c r="D58" s="2">
        <v>57</v>
      </c>
      <c r="G58" s="44">
        <v>2850000000</v>
      </c>
    </row>
    <row r="59" spans="1:8">
      <c r="D59" s="2">
        <v>58</v>
      </c>
      <c r="G59" s="44">
        <v>2900000000</v>
      </c>
    </row>
    <row r="60" spans="1:8">
      <c r="D60" s="2">
        <v>59</v>
      </c>
      <c r="G60" s="44">
        <v>2950000000</v>
      </c>
    </row>
    <row r="61" spans="1:8">
      <c r="D61" s="2">
        <v>60</v>
      </c>
      <c r="G61" s="44">
        <v>3000000000</v>
      </c>
    </row>
    <row r="62" spans="1:8" customFormat="1">
      <c r="A62" s="2"/>
      <c r="B62" s="2"/>
      <c r="C62" s="2"/>
      <c r="D62" s="2">
        <v>61</v>
      </c>
      <c r="E62" s="2"/>
      <c r="F62" s="2"/>
      <c r="G62" s="189"/>
      <c r="H62" s="189"/>
    </row>
    <row r="63" spans="1:8" customFormat="1">
      <c r="A63" s="2"/>
      <c r="B63" s="2"/>
      <c r="C63" s="2"/>
      <c r="D63" s="2">
        <v>62</v>
      </c>
      <c r="E63" s="2"/>
      <c r="F63" s="2"/>
      <c r="G63" s="189"/>
      <c r="H63" s="189"/>
    </row>
    <row r="64" spans="1:8" customFormat="1">
      <c r="A64" s="2"/>
      <c r="B64" s="2"/>
      <c r="C64" s="2"/>
      <c r="D64" s="2">
        <v>63</v>
      </c>
      <c r="E64" s="2"/>
      <c r="F64" s="2"/>
      <c r="G64" s="189"/>
      <c r="H64" s="189"/>
    </row>
    <row r="65" spans="1:8" customFormat="1">
      <c r="A65" s="2"/>
      <c r="B65" s="2"/>
      <c r="C65" s="2"/>
      <c r="D65" s="2">
        <v>64</v>
      </c>
      <c r="E65" s="2"/>
      <c r="F65" s="2"/>
      <c r="G65" s="189"/>
      <c r="H65" s="189"/>
    </row>
    <row r="66" spans="1:8" customFormat="1">
      <c r="A66" s="2"/>
      <c r="B66" s="2"/>
      <c r="C66" s="2"/>
      <c r="D66" s="2">
        <v>65</v>
      </c>
      <c r="E66" s="2"/>
      <c r="F66" s="2"/>
      <c r="G66" s="189"/>
      <c r="H66" s="189"/>
    </row>
    <row r="67" spans="1:8" customFormat="1">
      <c r="A67" s="2"/>
      <c r="B67" s="2"/>
      <c r="C67" s="2"/>
      <c r="D67" s="2">
        <v>66</v>
      </c>
      <c r="E67" s="2"/>
      <c r="F67" s="2"/>
      <c r="G67" s="189"/>
      <c r="H67" s="189"/>
    </row>
    <row r="68" spans="1:8" customFormat="1">
      <c r="A68" s="2"/>
      <c r="B68" s="2"/>
      <c r="C68" s="2"/>
      <c r="D68" s="2">
        <v>67</v>
      </c>
      <c r="E68" s="2"/>
      <c r="F68" s="2"/>
      <c r="G68" s="189"/>
      <c r="H68" s="189"/>
    </row>
    <row r="69" spans="1:8" customFormat="1">
      <c r="A69" s="2"/>
      <c r="B69" s="2"/>
      <c r="C69" s="2"/>
      <c r="D69" s="2">
        <v>68</v>
      </c>
      <c r="E69" s="2"/>
      <c r="F69" s="2"/>
      <c r="G69" s="189"/>
      <c r="H69" s="189"/>
    </row>
    <row r="70" spans="1:8" customFormat="1">
      <c r="A70" s="2"/>
      <c r="B70" s="2"/>
      <c r="C70" s="2"/>
      <c r="D70" s="2">
        <v>69</v>
      </c>
      <c r="E70" s="2"/>
      <c r="F70" s="2"/>
      <c r="G70" s="189"/>
      <c r="H70" s="189"/>
    </row>
    <row r="71" spans="1:8" customFormat="1">
      <c r="A71" s="2"/>
      <c r="B71" s="2"/>
      <c r="C71" s="2"/>
      <c r="D71" s="2">
        <v>70</v>
      </c>
      <c r="E71" s="2"/>
      <c r="F71" s="2"/>
      <c r="G71" s="189"/>
      <c r="H71" s="189"/>
    </row>
    <row r="72" spans="1:8" customFormat="1">
      <c r="A72" s="2"/>
      <c r="B72" s="2"/>
      <c r="C72" s="2"/>
      <c r="D72" s="2">
        <v>71</v>
      </c>
      <c r="E72" s="2"/>
      <c r="F72" s="2"/>
      <c r="G72" s="189"/>
      <c r="H72" s="189"/>
    </row>
    <row r="73" spans="1:8" customFormat="1">
      <c r="A73" s="2"/>
      <c r="B73" s="2"/>
      <c r="C73" s="2"/>
      <c r="D73" s="2">
        <v>72</v>
      </c>
      <c r="E73" s="2"/>
      <c r="F73" s="2"/>
      <c r="G73" s="189"/>
      <c r="H73" s="189"/>
    </row>
    <row r="74" spans="1:8" customFormat="1">
      <c r="A74" s="2"/>
      <c r="B74" s="2"/>
      <c r="C74" s="2"/>
      <c r="D74" s="2">
        <v>73</v>
      </c>
      <c r="E74" s="2"/>
      <c r="F74" s="2"/>
      <c r="G74" s="189"/>
      <c r="H74" s="189"/>
    </row>
    <row r="75" spans="1:8" customFormat="1">
      <c r="A75" s="2"/>
      <c r="B75" s="2"/>
      <c r="C75" s="2"/>
      <c r="D75" s="2">
        <v>74</v>
      </c>
      <c r="E75" s="2"/>
      <c r="F75" s="2"/>
      <c r="G75" s="189"/>
      <c r="H75" s="189"/>
    </row>
    <row r="76" spans="1:8" customFormat="1">
      <c r="A76" s="2"/>
      <c r="B76" s="2"/>
      <c r="C76" s="2"/>
      <c r="D76" s="2">
        <v>75</v>
      </c>
      <c r="E76" s="2"/>
      <c r="F76" s="2"/>
      <c r="G76" s="189"/>
      <c r="H76" s="189"/>
    </row>
    <row r="77" spans="1:8" customFormat="1">
      <c r="A77" s="2"/>
      <c r="B77" s="2"/>
      <c r="C77" s="2"/>
      <c r="D77" s="2">
        <v>76</v>
      </c>
      <c r="E77" s="2"/>
      <c r="F77" s="2"/>
      <c r="G77" s="189"/>
      <c r="H77" s="189"/>
    </row>
    <row r="78" spans="1:8" customFormat="1">
      <c r="A78" s="2"/>
      <c r="B78" s="2"/>
      <c r="C78" s="2"/>
      <c r="D78" s="2">
        <v>77</v>
      </c>
      <c r="E78" s="2"/>
      <c r="F78" s="2"/>
      <c r="G78" s="189"/>
      <c r="H78" s="189"/>
    </row>
    <row r="79" spans="1:8" customFormat="1">
      <c r="A79" s="2"/>
      <c r="B79" s="2"/>
      <c r="C79" s="2"/>
      <c r="D79" s="2">
        <v>78</v>
      </c>
      <c r="E79" s="2"/>
      <c r="F79" s="2"/>
      <c r="G79" s="189"/>
      <c r="H79" s="189"/>
    </row>
    <row r="80" spans="1:8" customFormat="1">
      <c r="A80" s="2"/>
      <c r="B80" s="2"/>
      <c r="C80" s="2"/>
      <c r="D80" s="2">
        <v>79</v>
      </c>
      <c r="E80" s="2"/>
      <c r="F80" s="2"/>
      <c r="G80" s="189"/>
      <c r="H80" s="189"/>
    </row>
    <row r="81" spans="1:8" customFormat="1">
      <c r="A81" s="2"/>
      <c r="B81" s="2"/>
      <c r="C81" s="2"/>
      <c r="D81" s="2">
        <v>80</v>
      </c>
      <c r="E81" s="2"/>
      <c r="F81" s="2"/>
      <c r="G81" s="189"/>
      <c r="H81" s="189"/>
    </row>
    <row r="82" spans="1:8" customFormat="1">
      <c r="A82" s="2"/>
      <c r="B82" s="2"/>
      <c r="C82" s="2"/>
      <c r="D82" s="2">
        <v>81</v>
      </c>
      <c r="E82" s="2"/>
      <c r="F82" s="2"/>
      <c r="G82" s="189"/>
      <c r="H82" s="189"/>
    </row>
    <row r="83" spans="1:8" customFormat="1">
      <c r="A83" s="2"/>
      <c r="B83" s="2"/>
      <c r="C83" s="2"/>
      <c r="D83" s="2">
        <v>82</v>
      </c>
      <c r="E83" s="2"/>
      <c r="F83" s="2"/>
      <c r="G83" s="189"/>
      <c r="H83" s="189"/>
    </row>
    <row r="84" spans="1:8" customFormat="1">
      <c r="A84" s="2"/>
      <c r="B84" s="2"/>
      <c r="C84" s="2"/>
      <c r="D84" s="2">
        <v>83</v>
      </c>
      <c r="E84" s="2"/>
      <c r="F84" s="2"/>
      <c r="G84" s="189"/>
      <c r="H84" s="189"/>
    </row>
    <row r="85" spans="1:8" customFormat="1">
      <c r="A85" s="2"/>
      <c r="B85" s="2"/>
      <c r="C85" s="2"/>
      <c r="D85" s="2">
        <v>84</v>
      </c>
      <c r="E85" s="2"/>
      <c r="F85" s="2"/>
      <c r="G85" s="189"/>
      <c r="H85" s="189"/>
    </row>
    <row r="86" spans="1:8" customFormat="1">
      <c r="A86" s="2"/>
      <c r="B86" s="2"/>
      <c r="C86" s="2"/>
      <c r="D86" s="2">
        <v>85</v>
      </c>
      <c r="E86" s="2"/>
      <c r="F86" s="2"/>
      <c r="G86" s="189"/>
      <c r="H86" s="189"/>
    </row>
    <row r="87" spans="1:8" customFormat="1">
      <c r="A87" s="2"/>
      <c r="B87" s="2"/>
      <c r="C87" s="2"/>
      <c r="D87" s="2">
        <v>86</v>
      </c>
      <c r="E87" s="2"/>
      <c r="F87" s="2"/>
      <c r="G87" s="189"/>
      <c r="H87" s="189"/>
    </row>
    <row r="88" spans="1:8" customFormat="1">
      <c r="A88" s="2"/>
      <c r="B88" s="2"/>
      <c r="C88" s="2"/>
      <c r="D88" s="2">
        <v>87</v>
      </c>
      <c r="E88" s="2"/>
      <c r="F88" s="2"/>
      <c r="G88" s="189"/>
      <c r="H88" s="189"/>
    </row>
    <row r="89" spans="1:8" customFormat="1">
      <c r="A89" s="2"/>
      <c r="B89" s="2"/>
      <c r="C89" s="2"/>
      <c r="D89" s="2">
        <v>88</v>
      </c>
      <c r="E89" s="2"/>
      <c r="F89" s="2"/>
      <c r="G89" s="189"/>
      <c r="H89" s="189"/>
    </row>
    <row r="90" spans="1:8" customFormat="1">
      <c r="A90" s="2"/>
      <c r="B90" s="2"/>
      <c r="C90" s="2"/>
      <c r="D90" s="2">
        <v>89</v>
      </c>
      <c r="E90" s="2"/>
      <c r="F90" s="2"/>
      <c r="G90" s="189"/>
      <c r="H90" s="189"/>
    </row>
    <row r="91" spans="1:8" customFormat="1">
      <c r="A91" s="2"/>
      <c r="B91" s="2"/>
      <c r="C91" s="2"/>
      <c r="D91" s="2">
        <v>90</v>
      </c>
      <c r="E91" s="2"/>
      <c r="F91" s="2"/>
      <c r="G91" s="189"/>
      <c r="H91" s="189"/>
    </row>
    <row r="92" spans="1:8" customFormat="1">
      <c r="A92" s="2"/>
      <c r="B92" s="2"/>
      <c r="C92" s="2"/>
      <c r="D92" s="2">
        <v>91</v>
      </c>
      <c r="E92" s="2"/>
      <c r="F92" s="2"/>
      <c r="G92" s="189"/>
      <c r="H92" s="189"/>
    </row>
    <row r="93" spans="1:8" customFormat="1">
      <c r="A93" s="2"/>
      <c r="B93" s="2"/>
      <c r="C93" s="2"/>
      <c r="D93" s="2">
        <v>92</v>
      </c>
      <c r="E93" s="2"/>
      <c r="F93" s="2"/>
      <c r="G93" s="189"/>
      <c r="H93" s="189"/>
    </row>
    <row r="94" spans="1:8" customFormat="1">
      <c r="A94" s="2"/>
      <c r="B94" s="2"/>
      <c r="C94" s="2"/>
      <c r="D94" s="2">
        <v>93</v>
      </c>
      <c r="E94" s="2"/>
      <c r="F94" s="2"/>
      <c r="G94" s="189"/>
      <c r="H94" s="189"/>
    </row>
    <row r="95" spans="1:8" customFormat="1">
      <c r="A95" s="2"/>
      <c r="B95" s="2"/>
      <c r="C95" s="2"/>
      <c r="D95" s="2">
        <v>94</v>
      </c>
      <c r="E95" s="2"/>
      <c r="F95" s="2"/>
      <c r="G95" s="189"/>
      <c r="H95" s="189"/>
    </row>
    <row r="96" spans="1:8" customFormat="1">
      <c r="A96" s="2"/>
      <c r="B96" s="2"/>
      <c r="C96" s="2"/>
      <c r="D96" s="2">
        <v>95</v>
      </c>
      <c r="E96" s="2"/>
      <c r="F96" s="2"/>
      <c r="G96" s="189"/>
      <c r="H96" s="189"/>
    </row>
    <row r="97" spans="1:8" customFormat="1">
      <c r="A97" s="2"/>
      <c r="B97" s="2"/>
      <c r="C97" s="2"/>
      <c r="D97" s="2">
        <v>96</v>
      </c>
      <c r="E97" s="2"/>
      <c r="F97" s="2"/>
      <c r="G97" s="189"/>
      <c r="H97" s="189"/>
    </row>
    <row r="98" spans="1:8" customFormat="1">
      <c r="A98" s="2"/>
      <c r="B98" s="2"/>
      <c r="C98" s="2"/>
      <c r="D98" s="2">
        <v>97</v>
      </c>
      <c r="E98" s="2"/>
      <c r="F98" s="2"/>
      <c r="G98" s="189"/>
      <c r="H98" s="189"/>
    </row>
    <row r="99" spans="1:8" customFormat="1">
      <c r="A99" s="2"/>
      <c r="B99" s="2"/>
      <c r="C99" s="2"/>
      <c r="D99" s="2">
        <v>98</v>
      </c>
      <c r="E99" s="2"/>
      <c r="F99" s="2"/>
      <c r="G99" s="189"/>
      <c r="H99" s="189"/>
    </row>
    <row r="100" spans="1:8" customFormat="1">
      <c r="A100" s="2"/>
      <c r="B100" s="2"/>
      <c r="C100" s="2"/>
      <c r="D100" s="2">
        <v>99</v>
      </c>
      <c r="E100" s="2"/>
      <c r="F100" s="2"/>
      <c r="G100" s="189"/>
      <c r="H100" s="189"/>
    </row>
    <row r="101" spans="1:8" customFormat="1">
      <c r="A101" s="2"/>
      <c r="B101" s="2"/>
      <c r="C101" s="2"/>
      <c r="D101" s="2">
        <v>100</v>
      </c>
      <c r="E101" s="2"/>
      <c r="F101" s="2"/>
      <c r="G101" s="189"/>
      <c r="H101" s="189"/>
    </row>
    <row r="102" spans="1:8" customFormat="1">
      <c r="A102" s="2"/>
      <c r="B102" s="2"/>
      <c r="C102" s="2"/>
      <c r="D102" s="2"/>
      <c r="E102" s="2"/>
      <c r="F102" s="2"/>
      <c r="G102" s="189"/>
      <c r="H102" s="189"/>
    </row>
    <row r="103" spans="1:8" customFormat="1">
      <c r="A103" s="2"/>
      <c r="B103" s="2"/>
      <c r="C103" s="2"/>
      <c r="D103" s="2"/>
      <c r="E103" s="2"/>
      <c r="F103" s="2"/>
      <c r="G103" s="189"/>
      <c r="H103" s="189"/>
    </row>
    <row r="104" spans="1:8" customFormat="1">
      <c r="A104" s="2"/>
      <c r="B104" s="2"/>
      <c r="C104" s="2"/>
      <c r="D104" s="2"/>
      <c r="E104" s="2"/>
      <c r="F104" s="2"/>
      <c r="G104" s="189"/>
      <c r="H104" s="189"/>
    </row>
    <row r="105" spans="1:8" customFormat="1">
      <c r="A105" s="2"/>
      <c r="B105" s="2"/>
      <c r="C105" s="2"/>
      <c r="D105" s="2"/>
      <c r="E105" s="2"/>
      <c r="F105" s="2"/>
      <c r="G105" s="189"/>
      <c r="H105" s="189"/>
    </row>
    <row r="106" spans="1:8" customFormat="1">
      <c r="A106" s="2"/>
      <c r="B106" s="2"/>
      <c r="C106" s="2"/>
      <c r="D106" s="2"/>
      <c r="E106" s="2"/>
      <c r="F106" s="2"/>
      <c r="G106" s="189"/>
      <c r="H106" s="189"/>
    </row>
    <row r="107" spans="1:8" customFormat="1">
      <c r="A107" s="2"/>
      <c r="B107" s="2"/>
      <c r="C107" s="2"/>
      <c r="D107" s="2"/>
      <c r="E107" s="2"/>
      <c r="F107" s="2"/>
      <c r="G107" s="189"/>
      <c r="H107" s="189"/>
    </row>
    <row r="108" spans="1:8" customFormat="1">
      <c r="A108" s="2"/>
      <c r="B108" s="2"/>
      <c r="C108" s="2"/>
      <c r="D108" s="2"/>
      <c r="E108" s="2"/>
      <c r="F108" s="2"/>
      <c r="G108" s="189"/>
      <c r="H108" s="189"/>
    </row>
    <row r="109" spans="1:8" customFormat="1">
      <c r="A109" s="2"/>
      <c r="B109" s="2"/>
      <c r="C109" s="2"/>
      <c r="D109" s="2"/>
      <c r="E109" s="2"/>
      <c r="F109" s="2"/>
      <c r="G109" s="189"/>
      <c r="H109" s="189"/>
    </row>
    <row r="110" spans="1:8" customFormat="1">
      <c r="A110" s="2"/>
      <c r="B110" s="2"/>
      <c r="C110" s="2"/>
      <c r="D110" s="2"/>
      <c r="E110" s="2"/>
      <c r="F110" s="2"/>
      <c r="G110" s="189"/>
      <c r="H110" s="189"/>
    </row>
    <row r="111" spans="1:8" customFormat="1">
      <c r="A111" s="2"/>
      <c r="B111" s="2"/>
      <c r="C111" s="2"/>
      <c r="D111" s="2"/>
      <c r="E111" s="2"/>
      <c r="F111" s="2"/>
      <c r="G111" s="189"/>
      <c r="H111" s="189"/>
    </row>
    <row r="112" spans="1:8" customFormat="1">
      <c r="A112" s="2"/>
      <c r="B112" s="2"/>
      <c r="C112" s="2"/>
      <c r="D112" s="2"/>
      <c r="E112" s="2"/>
      <c r="F112" s="2"/>
      <c r="G112" s="189"/>
      <c r="H112" s="189"/>
    </row>
    <row r="113" spans="1:8" customFormat="1">
      <c r="A113" s="2"/>
      <c r="B113" s="2"/>
      <c r="C113" s="2"/>
      <c r="D113" s="2"/>
      <c r="E113" s="2"/>
      <c r="F113" s="2"/>
      <c r="G113" s="189"/>
      <c r="H113" s="189"/>
    </row>
    <row r="114" spans="1:8" customFormat="1">
      <c r="A114" s="2"/>
      <c r="B114" s="2"/>
      <c r="C114" s="2"/>
      <c r="D114" s="2"/>
      <c r="E114" s="2"/>
      <c r="F114" s="2"/>
      <c r="G114" s="189"/>
      <c r="H114" s="189"/>
    </row>
    <row r="115" spans="1:8" customFormat="1">
      <c r="A115" s="2"/>
      <c r="B115" s="2"/>
      <c r="C115" s="2"/>
      <c r="D115" s="2"/>
      <c r="E115" s="2"/>
      <c r="F115" s="2"/>
      <c r="G115" s="189"/>
      <c r="H115" s="189"/>
    </row>
    <row r="116" spans="1:8" customFormat="1">
      <c r="A116" s="2"/>
      <c r="B116" s="2"/>
      <c r="C116" s="2"/>
      <c r="D116" s="2"/>
      <c r="E116" s="2"/>
      <c r="F116" s="2"/>
      <c r="G116" s="189"/>
      <c r="H116" s="189"/>
    </row>
    <row r="117" spans="1:8" customFormat="1">
      <c r="A117" s="2"/>
      <c r="B117" s="2"/>
      <c r="C117" s="2"/>
      <c r="D117" s="2"/>
      <c r="E117" s="2"/>
      <c r="F117" s="2"/>
      <c r="G117" s="189"/>
      <c r="H117" s="189"/>
    </row>
    <row r="118" spans="1:8" customFormat="1">
      <c r="A118" s="2"/>
      <c r="B118" s="2"/>
      <c r="C118" s="2"/>
      <c r="D118" s="2"/>
      <c r="E118" s="2"/>
      <c r="F118" s="2"/>
      <c r="G118" s="189"/>
      <c r="H118" s="189"/>
    </row>
    <row r="119" spans="1:8" customFormat="1">
      <c r="A119" s="2"/>
      <c r="B119" s="2"/>
      <c r="C119" s="2"/>
      <c r="D119" s="2"/>
      <c r="E119" s="2"/>
      <c r="F119" s="2"/>
      <c r="G119" s="189"/>
      <c r="H119" s="189"/>
    </row>
    <row r="120" spans="1:8" customFormat="1">
      <c r="A120" s="2"/>
      <c r="B120" s="2"/>
      <c r="C120" s="2"/>
      <c r="D120" s="2"/>
      <c r="E120" s="2"/>
      <c r="F120" s="2"/>
      <c r="G120" s="189"/>
      <c r="H120" s="189"/>
    </row>
    <row r="121" spans="1:8" customFormat="1">
      <c r="A121" s="2"/>
      <c r="B121" s="2"/>
      <c r="C121" s="2"/>
      <c r="D121" s="2"/>
      <c r="E121" s="2"/>
      <c r="F121" s="2"/>
      <c r="G121" s="189"/>
      <c r="H121" s="189"/>
    </row>
    <row r="122" spans="1:8" customFormat="1">
      <c r="A122" s="2"/>
      <c r="B122" s="2"/>
      <c r="C122" s="2"/>
      <c r="D122" s="2"/>
      <c r="E122" s="2"/>
      <c r="F122" s="2"/>
      <c r="G122" s="189"/>
      <c r="H122" s="189"/>
    </row>
    <row r="123" spans="1:8" customFormat="1">
      <c r="A123" s="2"/>
      <c r="B123" s="2"/>
      <c r="C123" s="2"/>
      <c r="D123" s="2"/>
      <c r="E123" s="2"/>
      <c r="F123" s="2"/>
      <c r="G123" s="189"/>
      <c r="H123" s="189"/>
    </row>
    <row r="124" spans="1:8" customFormat="1">
      <c r="A124" s="2"/>
      <c r="B124" s="2"/>
      <c r="C124" s="2"/>
      <c r="D124" s="2"/>
      <c r="E124" s="2"/>
      <c r="F124" s="2"/>
      <c r="G124" s="189"/>
      <c r="H124" s="189"/>
    </row>
    <row r="125" spans="1:8" customFormat="1">
      <c r="A125" s="2"/>
      <c r="B125" s="2"/>
      <c r="C125" s="2"/>
      <c r="D125" s="2"/>
      <c r="E125" s="2"/>
      <c r="F125" s="2"/>
      <c r="G125" s="189"/>
      <c r="H125" s="189"/>
    </row>
    <row r="126" spans="1:8" customFormat="1">
      <c r="A126" s="2"/>
      <c r="B126" s="2"/>
      <c r="C126" s="2"/>
      <c r="D126" s="2"/>
      <c r="E126" s="2"/>
      <c r="F126" s="2"/>
      <c r="G126" s="189"/>
      <c r="H126" s="189"/>
    </row>
    <row r="127" spans="1:8" customFormat="1">
      <c r="A127" s="2"/>
      <c r="B127" s="2"/>
      <c r="C127" s="2"/>
      <c r="D127" s="2"/>
      <c r="E127" s="2"/>
      <c r="F127" s="2"/>
      <c r="G127" s="189"/>
      <c r="H127" s="189"/>
    </row>
    <row r="128" spans="1:8" customFormat="1">
      <c r="A128" s="2"/>
      <c r="B128" s="2"/>
      <c r="C128" s="2"/>
      <c r="D128" s="2"/>
      <c r="E128" s="2"/>
      <c r="F128" s="2"/>
      <c r="G128" s="189"/>
      <c r="H128" s="189"/>
    </row>
    <row r="129" spans="1:8" customFormat="1">
      <c r="A129" s="2"/>
      <c r="B129" s="2"/>
      <c r="C129" s="2"/>
      <c r="D129" s="2"/>
      <c r="E129" s="2"/>
      <c r="F129" s="2"/>
      <c r="G129" s="189"/>
      <c r="H129" s="189"/>
    </row>
    <row r="130" spans="1:8" customFormat="1">
      <c r="A130" s="2"/>
      <c r="B130" s="2"/>
      <c r="C130" s="2"/>
      <c r="D130" s="2"/>
      <c r="E130" s="2"/>
      <c r="F130" s="2"/>
      <c r="G130" s="189"/>
      <c r="H130" s="189"/>
    </row>
    <row r="131" spans="1:8" customFormat="1">
      <c r="A131" s="2"/>
      <c r="B131" s="2"/>
      <c r="C131" s="2"/>
      <c r="D131" s="2"/>
      <c r="E131" s="2"/>
      <c r="F131" s="2"/>
      <c r="G131" s="189"/>
      <c r="H131" s="189"/>
    </row>
    <row r="132" spans="1:8" customFormat="1">
      <c r="A132" s="2"/>
      <c r="B132" s="2"/>
      <c r="C132" s="2"/>
      <c r="D132" s="2"/>
      <c r="E132" s="2"/>
      <c r="F132" s="2"/>
      <c r="G132" s="189"/>
      <c r="H132" s="189"/>
    </row>
    <row r="133" spans="1:8" customFormat="1">
      <c r="A133" s="2"/>
      <c r="B133" s="2"/>
      <c r="C133" s="2"/>
      <c r="D133" s="2"/>
      <c r="E133" s="2"/>
      <c r="F133" s="2"/>
      <c r="G133" s="189"/>
      <c r="H133" s="189"/>
    </row>
    <row r="134" spans="1:8" customFormat="1">
      <c r="A134" s="2"/>
      <c r="B134" s="2"/>
      <c r="C134" s="2"/>
      <c r="D134" s="2"/>
      <c r="E134" s="2"/>
      <c r="F134" s="2"/>
      <c r="G134" s="189"/>
      <c r="H134" s="189"/>
    </row>
    <row r="135" spans="1:8" customFormat="1">
      <c r="A135" s="2"/>
      <c r="B135" s="2"/>
      <c r="C135" s="2"/>
      <c r="D135" s="2"/>
      <c r="E135" s="2"/>
      <c r="F135" s="2"/>
      <c r="G135" s="189"/>
      <c r="H135" s="189"/>
    </row>
    <row r="136" spans="1:8" customFormat="1">
      <c r="A136" s="2"/>
      <c r="B136" s="2"/>
      <c r="C136" s="2"/>
      <c r="D136" s="2"/>
      <c r="E136" s="2"/>
      <c r="F136" s="2"/>
      <c r="G136" s="189"/>
      <c r="H136" s="189"/>
    </row>
    <row r="137" spans="1:8" customFormat="1">
      <c r="A137" s="2"/>
      <c r="B137" s="2"/>
      <c r="C137" s="2"/>
      <c r="D137" s="2"/>
      <c r="E137" s="2"/>
      <c r="F137" s="2"/>
      <c r="G137" s="189"/>
      <c r="H137" s="189"/>
    </row>
    <row r="138" spans="1:8" customFormat="1">
      <c r="A138" s="2"/>
      <c r="B138" s="2"/>
      <c r="C138" s="2"/>
      <c r="D138" s="2"/>
      <c r="E138" s="2"/>
      <c r="F138" s="2"/>
      <c r="G138" s="189"/>
      <c r="H138" s="189"/>
    </row>
    <row r="139" spans="1:8" customFormat="1">
      <c r="A139" s="2"/>
      <c r="B139" s="2"/>
      <c r="C139" s="2"/>
      <c r="D139" s="2"/>
      <c r="E139" s="2"/>
      <c r="F139" s="2"/>
      <c r="G139" s="189"/>
      <c r="H139" s="189"/>
    </row>
    <row r="140" spans="1:8" customFormat="1">
      <c r="A140" s="2"/>
      <c r="B140" s="2"/>
      <c r="C140" s="2"/>
      <c r="D140" s="2"/>
      <c r="E140" s="2"/>
      <c r="F140" s="2"/>
      <c r="G140" s="189"/>
      <c r="H140" s="189"/>
    </row>
    <row r="141" spans="1:8" customFormat="1">
      <c r="A141" s="2"/>
      <c r="B141" s="2"/>
      <c r="C141" s="2"/>
      <c r="D141" s="2"/>
      <c r="E141" s="2"/>
      <c r="F141" s="2"/>
      <c r="G141" s="189"/>
      <c r="H141" s="189"/>
    </row>
    <row r="142" spans="1:8" customFormat="1">
      <c r="A142" s="2"/>
      <c r="B142" s="2"/>
      <c r="C142" s="2"/>
      <c r="D142" s="2"/>
      <c r="E142" s="2"/>
      <c r="F142" s="2"/>
      <c r="G142" s="189"/>
      <c r="H142" s="189"/>
    </row>
    <row r="143" spans="1:8" customFormat="1">
      <c r="A143" s="2"/>
      <c r="B143" s="2"/>
      <c r="C143" s="2"/>
      <c r="D143" s="2"/>
      <c r="E143" s="2"/>
      <c r="F143" s="2"/>
      <c r="G143" s="189"/>
      <c r="H143" s="189"/>
    </row>
    <row r="144" spans="1:8" customFormat="1">
      <c r="A144" s="2"/>
      <c r="B144" s="2"/>
      <c r="C144" s="2"/>
      <c r="D144" s="2"/>
      <c r="E144" s="2"/>
      <c r="F144" s="2"/>
      <c r="G144" s="189"/>
      <c r="H144" s="189"/>
    </row>
    <row r="145" spans="1:8" customFormat="1">
      <c r="A145" s="2"/>
      <c r="B145" s="2"/>
      <c r="C145" s="2"/>
      <c r="D145" s="2"/>
      <c r="E145" s="2"/>
      <c r="F145" s="2"/>
      <c r="G145" s="189"/>
      <c r="H145" s="189"/>
    </row>
    <row r="146" spans="1:8" customFormat="1">
      <c r="A146" s="2"/>
      <c r="B146" s="2"/>
      <c r="C146" s="2"/>
      <c r="D146" s="2"/>
      <c r="E146" s="2"/>
      <c r="F146" s="2"/>
      <c r="G146" s="189"/>
      <c r="H146" s="189"/>
    </row>
    <row r="147" spans="1:8" customFormat="1">
      <c r="A147" s="2"/>
      <c r="B147" s="2"/>
      <c r="C147" s="2"/>
      <c r="D147" s="2"/>
      <c r="E147" s="2"/>
      <c r="F147" s="2"/>
      <c r="G147" s="189"/>
      <c r="H147" s="189"/>
    </row>
    <row r="148" spans="1:8" customFormat="1">
      <c r="A148" s="2"/>
      <c r="B148" s="2"/>
      <c r="C148" s="2"/>
      <c r="D148" s="2"/>
      <c r="E148" s="2"/>
      <c r="F148" s="2"/>
      <c r="G148" s="189"/>
      <c r="H148" s="189"/>
    </row>
    <row r="149" spans="1:8" customFormat="1">
      <c r="A149" s="2"/>
      <c r="B149" s="2"/>
      <c r="C149" s="2"/>
      <c r="D149" s="2"/>
      <c r="E149" s="2"/>
      <c r="F149" s="2"/>
      <c r="G149" s="189"/>
      <c r="H149" s="189"/>
    </row>
    <row r="150" spans="1:8" customFormat="1">
      <c r="A150" s="2"/>
      <c r="B150" s="2"/>
      <c r="C150" s="2"/>
      <c r="D150" s="2"/>
      <c r="E150" s="2"/>
      <c r="F150" s="2"/>
      <c r="G150" s="189"/>
      <c r="H150" s="189"/>
    </row>
    <row r="151" spans="1:8" customFormat="1">
      <c r="A151" s="2"/>
      <c r="B151" s="2"/>
      <c r="C151" s="2"/>
      <c r="D151" s="2"/>
      <c r="E151" s="2"/>
      <c r="F151" s="2"/>
      <c r="G151" s="189"/>
      <c r="H151" s="189"/>
    </row>
    <row r="152" spans="1:8" customFormat="1">
      <c r="A152" s="2"/>
      <c r="B152" s="2"/>
      <c r="C152" s="2"/>
      <c r="D152" s="2"/>
      <c r="E152" s="2"/>
      <c r="F152" s="2"/>
      <c r="G152" s="189"/>
      <c r="H152" s="189"/>
    </row>
    <row r="153" spans="1:8" customFormat="1">
      <c r="A153" s="2"/>
      <c r="B153" s="2"/>
      <c r="C153" s="2"/>
      <c r="D153" s="2"/>
      <c r="E153" s="2"/>
      <c r="F153" s="2"/>
      <c r="G153" s="189"/>
      <c r="H153" s="189"/>
    </row>
    <row r="154" spans="1:8" customFormat="1">
      <c r="A154" s="2"/>
      <c r="B154" s="2"/>
      <c r="C154" s="2"/>
      <c r="D154" s="2"/>
      <c r="E154" s="2"/>
      <c r="F154" s="2"/>
      <c r="G154" s="189"/>
      <c r="H154" s="189"/>
    </row>
    <row r="155" spans="1:8" customFormat="1">
      <c r="A155" s="2"/>
      <c r="B155" s="2"/>
      <c r="C155" s="2"/>
      <c r="D155" s="2"/>
      <c r="E155" s="2"/>
      <c r="F155" s="2"/>
      <c r="G155" s="189"/>
      <c r="H155" s="189"/>
    </row>
    <row r="156" spans="1:8" customFormat="1">
      <c r="A156" s="2"/>
      <c r="B156" s="2"/>
      <c r="C156" s="2"/>
      <c r="D156" s="2"/>
      <c r="E156" s="2"/>
      <c r="F156" s="2"/>
      <c r="G156" s="189"/>
      <c r="H156" s="189"/>
    </row>
    <row r="157" spans="1:8" customFormat="1">
      <c r="A157" s="2"/>
      <c r="B157" s="2"/>
      <c r="C157" s="2"/>
      <c r="D157" s="2"/>
      <c r="E157" s="2"/>
      <c r="F157" s="2"/>
      <c r="G157" s="189"/>
      <c r="H157" s="189"/>
    </row>
    <row r="158" spans="1:8" customFormat="1">
      <c r="A158" s="2"/>
      <c r="B158" s="2"/>
      <c r="C158" s="2"/>
      <c r="D158" s="2"/>
      <c r="E158" s="2"/>
      <c r="F158" s="2"/>
      <c r="G158" s="189"/>
      <c r="H158" s="189"/>
    </row>
    <row r="159" spans="1:8" customFormat="1">
      <c r="A159" s="2"/>
      <c r="B159" s="2"/>
      <c r="C159" s="2"/>
      <c r="D159" s="2"/>
      <c r="E159" s="2"/>
      <c r="F159" s="2"/>
      <c r="G159" s="189"/>
      <c r="H159" s="189"/>
    </row>
    <row r="160" spans="1:8" customFormat="1">
      <c r="A160" s="2"/>
      <c r="B160" s="2"/>
      <c r="C160" s="2"/>
      <c r="D160" s="2"/>
      <c r="E160" s="2"/>
      <c r="F160" s="2"/>
      <c r="G160" s="189"/>
      <c r="H160" s="189"/>
    </row>
    <row r="161" spans="1:8" customFormat="1">
      <c r="A161" s="2"/>
      <c r="B161" s="2"/>
      <c r="C161" s="2"/>
      <c r="D161" s="2"/>
      <c r="E161" s="2"/>
      <c r="F161" s="2"/>
      <c r="G161" s="189"/>
      <c r="H161" s="189"/>
    </row>
    <row r="162" spans="1:8" customFormat="1">
      <c r="A162" s="2"/>
      <c r="B162" s="2"/>
      <c r="C162" s="2"/>
      <c r="D162" s="2"/>
      <c r="E162" s="2"/>
      <c r="F162" s="2"/>
      <c r="G162" s="189"/>
      <c r="H162" s="189"/>
    </row>
    <row r="163" spans="1:8" customFormat="1">
      <c r="A163" s="2"/>
      <c r="B163" s="2"/>
      <c r="C163" s="2"/>
      <c r="D163" s="2"/>
      <c r="E163" s="2"/>
      <c r="F163" s="2"/>
      <c r="G163" s="189"/>
      <c r="H163" s="189"/>
    </row>
    <row r="164" spans="1:8" customFormat="1">
      <c r="A164" s="2"/>
      <c r="B164" s="2"/>
      <c r="C164" s="2"/>
      <c r="D164" s="2"/>
      <c r="E164" s="2"/>
      <c r="F164" s="2"/>
      <c r="G164" s="189"/>
      <c r="H164" s="189"/>
    </row>
    <row r="165" spans="1:8" customFormat="1">
      <c r="A165" s="2"/>
      <c r="B165" s="2"/>
      <c r="C165" s="2"/>
      <c r="D165" s="2"/>
      <c r="E165" s="2"/>
      <c r="F165" s="2"/>
      <c r="G165" s="189"/>
      <c r="H165" s="189"/>
    </row>
    <row r="166" spans="1:8" customFormat="1">
      <c r="A166" s="2"/>
      <c r="B166" s="2"/>
      <c r="C166" s="2"/>
      <c r="D166" s="2"/>
      <c r="E166" s="2"/>
      <c r="F166" s="2"/>
      <c r="G166" s="189"/>
      <c r="H166" s="189"/>
    </row>
    <row r="167" spans="1:8" customFormat="1">
      <c r="A167" s="2"/>
      <c r="B167" s="2"/>
      <c r="C167" s="2"/>
      <c r="D167" s="2"/>
      <c r="E167" s="2"/>
      <c r="F167" s="2"/>
      <c r="G167" s="189"/>
      <c r="H167" s="189"/>
    </row>
    <row r="168" spans="1:8" customFormat="1">
      <c r="A168" s="2"/>
      <c r="B168" s="2"/>
      <c r="C168" s="2"/>
      <c r="D168" s="2"/>
      <c r="E168" s="2"/>
      <c r="F168" s="2"/>
      <c r="G168" s="189"/>
      <c r="H168" s="189"/>
    </row>
    <row r="169" spans="1:8" customFormat="1">
      <c r="A169" s="2"/>
      <c r="B169" s="2"/>
      <c r="C169" s="2"/>
      <c r="D169" s="2"/>
      <c r="E169" s="2"/>
      <c r="F169" s="2"/>
      <c r="G169" s="189"/>
      <c r="H169" s="189"/>
    </row>
    <row r="170" spans="1:8" customFormat="1">
      <c r="A170" s="2"/>
      <c r="B170" s="2"/>
      <c r="C170" s="2"/>
      <c r="D170" s="2"/>
      <c r="E170" s="2"/>
      <c r="F170" s="2"/>
      <c r="G170" s="189"/>
      <c r="H170" s="189"/>
    </row>
    <row r="171" spans="1:8" customFormat="1">
      <c r="A171" s="2"/>
      <c r="B171" s="2"/>
      <c r="C171" s="2"/>
      <c r="D171" s="2"/>
      <c r="E171" s="2"/>
      <c r="F171" s="2"/>
      <c r="G171" s="189"/>
      <c r="H171" s="189"/>
    </row>
    <row r="172" spans="1:8" customFormat="1">
      <c r="A172" s="2"/>
      <c r="B172" s="2"/>
      <c r="C172" s="2"/>
      <c r="D172" s="2"/>
      <c r="E172" s="2"/>
      <c r="F172" s="2"/>
      <c r="G172" s="189"/>
      <c r="H172" s="189"/>
    </row>
    <row r="173" spans="1:8" customFormat="1">
      <c r="A173" s="2"/>
      <c r="B173" s="2"/>
      <c r="C173" s="2"/>
      <c r="D173" s="2"/>
      <c r="E173" s="2"/>
      <c r="F173" s="2"/>
      <c r="G173" s="189"/>
      <c r="H173" s="189"/>
    </row>
    <row r="174" spans="1:8" customFormat="1">
      <c r="A174" s="2"/>
      <c r="B174" s="2"/>
      <c r="C174" s="2"/>
      <c r="D174" s="2"/>
      <c r="E174" s="2"/>
      <c r="F174" s="2"/>
      <c r="G174" s="189"/>
      <c r="H174" s="189"/>
    </row>
    <row r="175" spans="1:8" customFormat="1">
      <c r="A175" s="2"/>
      <c r="B175" s="2"/>
      <c r="C175" s="2"/>
      <c r="D175" s="2"/>
      <c r="E175" s="2"/>
      <c r="F175" s="2"/>
      <c r="G175" s="189"/>
      <c r="H175" s="189"/>
    </row>
    <row r="176" spans="1:8" customFormat="1">
      <c r="A176" s="2"/>
      <c r="B176" s="2"/>
      <c r="C176" s="2"/>
      <c r="D176" s="2"/>
      <c r="E176" s="2"/>
      <c r="F176" s="2"/>
      <c r="G176" s="189"/>
      <c r="H176" s="189"/>
    </row>
    <row r="177" spans="1:8" customFormat="1">
      <c r="A177" s="2"/>
      <c r="B177" s="2"/>
      <c r="C177" s="2"/>
      <c r="D177" s="2"/>
      <c r="E177" s="2"/>
      <c r="F177" s="2"/>
      <c r="G177" s="189"/>
      <c r="H177" s="189"/>
    </row>
    <row r="178" spans="1:8" customFormat="1">
      <c r="A178" s="2"/>
      <c r="B178" s="2"/>
      <c r="C178" s="2"/>
      <c r="D178" s="2"/>
      <c r="E178" s="2"/>
      <c r="F178" s="2"/>
      <c r="G178" s="189"/>
      <c r="H178" s="189"/>
    </row>
    <row r="179" spans="1:8" customFormat="1">
      <c r="A179" s="2"/>
      <c r="B179" s="2"/>
      <c r="C179" s="2"/>
      <c r="D179" s="2"/>
      <c r="E179" s="2"/>
      <c r="F179" s="2"/>
      <c r="G179" s="189"/>
      <c r="H179" s="189"/>
    </row>
    <row r="180" spans="1:8" customFormat="1">
      <c r="A180" s="2"/>
      <c r="B180" s="2"/>
      <c r="C180" s="2"/>
      <c r="D180" s="2"/>
      <c r="E180" s="2"/>
      <c r="F180" s="2"/>
      <c r="G180" s="189"/>
      <c r="H180" s="189"/>
    </row>
    <row r="181" spans="1:8" customFormat="1">
      <c r="A181" s="2"/>
      <c r="B181" s="2"/>
      <c r="C181" s="2"/>
      <c r="D181" s="2"/>
      <c r="E181" s="2"/>
      <c r="F181" s="2"/>
      <c r="G181" s="189"/>
      <c r="H181" s="189"/>
    </row>
    <row r="182" spans="1:8" customFormat="1">
      <c r="A182" s="2"/>
      <c r="B182" s="2"/>
      <c r="C182" s="2"/>
      <c r="D182" s="2"/>
      <c r="E182" s="2"/>
      <c r="F182" s="2"/>
      <c r="G182" s="189"/>
      <c r="H182" s="189"/>
    </row>
    <row r="183" spans="1:8" customFormat="1">
      <c r="A183" s="2"/>
      <c r="B183" s="2"/>
      <c r="C183" s="2"/>
      <c r="D183" s="2"/>
      <c r="E183" s="2"/>
      <c r="F183" s="2"/>
      <c r="G183" s="189"/>
      <c r="H183" s="189"/>
    </row>
    <row r="184" spans="1:8" customFormat="1">
      <c r="A184" s="2"/>
      <c r="B184" s="2"/>
      <c r="C184" s="2"/>
      <c r="D184" s="2"/>
      <c r="E184" s="2"/>
      <c r="F184" s="2"/>
      <c r="G184" s="189"/>
      <c r="H184" s="189"/>
    </row>
    <row r="185" spans="1:8" customFormat="1">
      <c r="A185" s="2"/>
      <c r="B185" s="2"/>
      <c r="C185" s="2"/>
      <c r="D185" s="2"/>
      <c r="E185" s="2"/>
      <c r="F185" s="2"/>
      <c r="G185" s="189"/>
      <c r="H185" s="189"/>
    </row>
    <row r="186" spans="1:8" customFormat="1">
      <c r="A186" s="2"/>
      <c r="B186" s="2"/>
      <c r="C186" s="2"/>
      <c r="D186" s="2"/>
      <c r="E186" s="2"/>
      <c r="F186" s="2"/>
      <c r="G186" s="189"/>
      <c r="H186" s="189"/>
    </row>
    <row r="187" spans="1:8" customFormat="1">
      <c r="A187" s="2"/>
      <c r="B187" s="2"/>
      <c r="C187" s="2"/>
      <c r="D187" s="2"/>
      <c r="E187" s="2"/>
      <c r="F187" s="2"/>
      <c r="G187" s="189"/>
      <c r="H187" s="189"/>
    </row>
    <row r="188" spans="1:8" customFormat="1">
      <c r="A188" s="2"/>
      <c r="B188" s="2"/>
      <c r="C188" s="2"/>
      <c r="D188" s="2"/>
      <c r="E188" s="2"/>
      <c r="F188" s="2"/>
      <c r="G188" s="189"/>
      <c r="H188" s="189"/>
    </row>
    <row r="189" spans="1:8" customFormat="1">
      <c r="A189" s="2"/>
      <c r="B189" s="2"/>
      <c r="C189" s="2"/>
      <c r="D189" s="2"/>
      <c r="E189" s="2"/>
      <c r="F189" s="2"/>
      <c r="G189" s="189"/>
      <c r="H189" s="189"/>
    </row>
    <row r="190" spans="1:8" customFormat="1">
      <c r="A190" s="2"/>
      <c r="B190" s="2"/>
      <c r="C190" s="2"/>
      <c r="D190" s="2"/>
      <c r="E190" s="2"/>
      <c r="F190" s="2"/>
      <c r="G190" s="189"/>
      <c r="H190" s="189"/>
    </row>
    <row r="191" spans="1:8" customFormat="1">
      <c r="A191" s="2"/>
      <c r="B191" s="2"/>
      <c r="C191" s="2"/>
      <c r="D191" s="2"/>
      <c r="E191" s="2"/>
      <c r="F191" s="2"/>
      <c r="G191" s="189"/>
      <c r="H191" s="189"/>
    </row>
    <row r="192" spans="1:8" customFormat="1">
      <c r="A192" s="2"/>
      <c r="B192" s="2"/>
      <c r="C192" s="2"/>
      <c r="D192" s="2"/>
      <c r="E192" s="2"/>
      <c r="F192" s="2"/>
      <c r="G192" s="189"/>
      <c r="H192" s="189"/>
    </row>
    <row r="193" spans="1:8" customFormat="1">
      <c r="A193" s="2"/>
      <c r="B193" s="2"/>
      <c r="C193" s="2"/>
      <c r="D193" s="2"/>
      <c r="E193" s="2"/>
      <c r="F193" s="2"/>
      <c r="G193" s="189"/>
      <c r="H193" s="189"/>
    </row>
    <row r="194" spans="1:8" customFormat="1">
      <c r="A194" s="2"/>
      <c r="B194" s="2"/>
      <c r="C194" s="2"/>
      <c r="D194" s="2"/>
      <c r="E194" s="2"/>
      <c r="F194" s="2"/>
      <c r="G194" s="189"/>
      <c r="H194" s="189"/>
    </row>
    <row r="195" spans="1:8" customFormat="1">
      <c r="A195" s="2"/>
      <c r="B195" s="2"/>
      <c r="C195" s="2"/>
      <c r="D195" s="2"/>
      <c r="E195" s="2"/>
      <c r="F195" s="2"/>
      <c r="G195" s="189"/>
      <c r="H195" s="189"/>
    </row>
    <row r="196" spans="1:8" customFormat="1">
      <c r="A196" s="2"/>
      <c r="B196" s="2"/>
      <c r="C196" s="2"/>
      <c r="D196" s="2"/>
      <c r="E196" s="2"/>
      <c r="F196" s="2"/>
      <c r="G196" s="189"/>
      <c r="H196" s="189"/>
    </row>
    <row r="197" spans="1:8" customFormat="1">
      <c r="A197" s="2"/>
      <c r="B197" s="2"/>
      <c r="C197" s="2"/>
      <c r="D197" s="2"/>
      <c r="E197" s="2"/>
      <c r="F197" s="2"/>
      <c r="G197" s="189"/>
      <c r="H197" s="189"/>
    </row>
    <row r="198" spans="1:8" customFormat="1">
      <c r="A198" s="2"/>
      <c r="B198" s="2"/>
      <c r="C198" s="2"/>
      <c r="D198" s="2"/>
      <c r="E198" s="2"/>
      <c r="F198" s="2"/>
      <c r="G198" s="189"/>
      <c r="H198" s="189"/>
    </row>
    <row r="199" spans="1:8" customFormat="1">
      <c r="A199" s="2"/>
      <c r="B199" s="2"/>
      <c r="C199" s="2"/>
      <c r="D199" s="2"/>
      <c r="E199" s="2"/>
      <c r="F199" s="2"/>
      <c r="G199" s="189"/>
      <c r="H199" s="189"/>
    </row>
    <row r="200" spans="1:8" customFormat="1">
      <c r="A200" s="2"/>
      <c r="B200" s="2"/>
      <c r="C200" s="2"/>
      <c r="D200" s="2"/>
      <c r="E200" s="2"/>
      <c r="F200" s="2"/>
      <c r="G200" s="189"/>
      <c r="H200" s="189"/>
    </row>
    <row r="201" spans="1:8" customFormat="1">
      <c r="A201" s="2"/>
      <c r="B201" s="2"/>
      <c r="C201" s="2"/>
      <c r="D201" s="2"/>
      <c r="E201" s="2"/>
      <c r="F201" s="2"/>
      <c r="G201" s="189"/>
      <c r="H201" s="18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Index</vt:lpstr>
      <vt:lpstr>Read_Me</vt:lpstr>
      <vt:lpstr>Current_Cost</vt:lpstr>
      <vt:lpstr>Future_Cost</vt:lpstr>
      <vt:lpstr>Current</vt:lpstr>
      <vt:lpstr>Costs - DTE</vt:lpstr>
      <vt:lpstr>Costs - SR - LEO</vt:lpstr>
      <vt:lpstr>Costs - SR - GEO</vt:lpstr>
      <vt:lpstr>Lookups</vt:lpstr>
      <vt:lpstr>Scenarios_Future</vt:lpstr>
      <vt:lpstr>List_Options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Edward John Oughton</cp:lastModifiedBy>
  <dcterms:created xsi:type="dcterms:W3CDTF">2022-05-02T00:57:27Z</dcterms:created>
  <dcterms:modified xsi:type="dcterms:W3CDTF">2024-03-13T13:56:56Z</dcterms:modified>
</cp:coreProperties>
</file>