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11A88EF2-B02C-4E41-AFD8-DEF07312DC59}" xr6:coauthVersionLast="47" xr6:coauthVersionMax="47" xr10:uidLastSave="{00000000-0000-0000-0000-000000000000}"/>
  <bookViews>
    <workbookView xWindow="-30828" yWindow="-108" windowWidth="30936" windowHeight="16896" tabRatio="780" activeTab="2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65" l="1"/>
  <c r="D22" i="165" s="1"/>
  <c r="C19" i="165"/>
  <c r="C22" i="165" s="1"/>
  <c r="B19" i="165"/>
  <c r="B22" i="165" s="1"/>
  <c r="C10" i="165"/>
  <c r="C13" i="165" s="1"/>
  <c r="B10" i="165"/>
  <c r="Y5" i="135"/>
  <c r="D94" i="155" s="1"/>
  <c r="Y15" i="135"/>
  <c r="L15" i="135"/>
  <c r="D129" i="155"/>
  <c r="D130" i="155"/>
  <c r="D131" i="155"/>
  <c r="D132" i="155"/>
  <c r="D133" i="155"/>
  <c r="D134" i="155"/>
  <c r="D128" i="155"/>
  <c r="D117" i="155"/>
  <c r="D118" i="155"/>
  <c r="D119" i="155"/>
  <c r="D120" i="155"/>
  <c r="D121" i="155"/>
  <c r="D122" i="155"/>
  <c r="D116" i="155"/>
  <c r="D107" i="155"/>
  <c r="D106" i="155"/>
  <c r="D95" i="155"/>
  <c r="D96" i="155"/>
  <c r="D97" i="155"/>
  <c r="D98" i="155"/>
  <c r="D99" i="155"/>
  <c r="D100" i="155"/>
  <c r="D83" i="155"/>
  <c r="D88" i="155"/>
  <c r="D87" i="155"/>
  <c r="D86" i="155"/>
  <c r="D85" i="155"/>
  <c r="D84" i="155"/>
  <c r="D82" i="155"/>
  <c r="G105" i="154"/>
  <c r="H50" i="154"/>
  <c r="L5" i="135"/>
  <c r="B13" i="165" l="1"/>
  <c r="F13" i="165" s="1"/>
  <c r="F22" i="165"/>
  <c r="Y17" i="135"/>
  <c r="J7" i="163" l="1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AC67" i="158" l="1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Y11" i="135" s="1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AA16" i="162" l="1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Y12" i="135" s="1"/>
  <c r="W8" i="135"/>
  <c r="W10" i="135"/>
  <c r="W6" i="135"/>
  <c r="W7" i="135"/>
  <c r="AJ17" i="129" l="1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J17" i="162"/>
  <c r="AH17" i="162" s="1"/>
  <c r="E16" i="164" s="1"/>
  <c r="AE17" i="162"/>
  <c r="AK17" i="162" s="1"/>
  <c r="AF11" i="129"/>
  <c r="B134" i="155"/>
  <c r="B100" i="155"/>
  <c r="B130" i="155"/>
  <c r="B96" i="155"/>
  <c r="B128" i="155"/>
  <c r="B94" i="155"/>
  <c r="B95" i="155"/>
  <c r="B129" i="155"/>
  <c r="B132" i="155"/>
  <c r="B98" i="155"/>
  <c r="B130" i="154"/>
  <c r="B107" i="155"/>
  <c r="B97" i="155"/>
  <c r="B131" i="155"/>
  <c r="B99" i="155"/>
  <c r="B133" i="155"/>
  <c r="B116" i="155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E157" i="154" l="1"/>
  <c r="H157" i="154" s="1"/>
  <c r="E120" i="154"/>
  <c r="F120" i="154"/>
  <c r="D120" i="154"/>
  <c r="D154" i="154"/>
  <c r="G154" i="154" s="1"/>
  <c r="F154" i="154"/>
  <c r="I154" i="154" s="1"/>
  <c r="E154" i="154"/>
  <c r="H154" i="154" s="1"/>
  <c r="D117" i="154"/>
  <c r="E117" i="154"/>
  <c r="F117" i="154"/>
  <c r="D151" i="154"/>
  <c r="G151" i="154" s="1"/>
  <c r="E151" i="154"/>
  <c r="H151" i="154" s="1"/>
  <c r="F151" i="154"/>
  <c r="I151" i="154" s="1"/>
  <c r="E118" i="154"/>
  <c r="D118" i="154"/>
  <c r="F118" i="154"/>
  <c r="F152" i="154"/>
  <c r="I152" i="154" s="1"/>
  <c r="E152" i="154"/>
  <c r="H152" i="154" s="1"/>
  <c r="D156" i="154"/>
  <c r="G156" i="154" s="1"/>
  <c r="F156" i="154"/>
  <c r="I156" i="154" s="1"/>
  <c r="E156" i="154"/>
  <c r="H156" i="154" s="1"/>
  <c r="D153" i="154"/>
  <c r="G153" i="154" s="1"/>
  <c r="F153" i="154"/>
  <c r="I153" i="154" s="1"/>
  <c r="E153" i="154"/>
  <c r="H153" i="154" s="1"/>
  <c r="E119" i="154"/>
  <c r="D119" i="154"/>
  <c r="F119" i="154"/>
  <c r="E121" i="154"/>
  <c r="F121" i="154"/>
  <c r="D121" i="154"/>
  <c r="D155" i="154"/>
  <c r="G155" i="154" s="1"/>
  <c r="E155" i="154"/>
  <c r="H155" i="154" s="1"/>
  <c r="F155" i="154"/>
  <c r="I155" i="154" s="1"/>
  <c r="E123" i="154"/>
  <c r="E122" i="154"/>
  <c r="D122" i="154"/>
  <c r="F122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101" i="155"/>
  <c r="C94" i="155" s="1"/>
  <c r="B135" i="155"/>
  <c r="D101" i="155"/>
  <c r="B57" i="155" s="1"/>
  <c r="D135" i="155"/>
  <c r="B60" i="155" s="1"/>
  <c r="B84" i="155"/>
  <c r="B118" i="155"/>
  <c r="B88" i="155"/>
  <c r="B122" i="155"/>
  <c r="B86" i="155"/>
  <c r="B120" i="155"/>
  <c r="B117" i="155"/>
  <c r="B83" i="155"/>
  <c r="B129" i="154"/>
  <c r="B106" i="155"/>
  <c r="B87" i="155"/>
  <c r="B121" i="155"/>
  <c r="B119" i="155"/>
  <c r="B85" i="155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G157" i="154" s="1"/>
  <c r="X7" i="135"/>
  <c r="X11" i="135"/>
  <c r="X9" i="135"/>
  <c r="X6" i="135"/>
  <c r="X8" i="135"/>
  <c r="X10" i="135"/>
  <c r="X12" i="135"/>
  <c r="F124" i="154" l="1"/>
  <c r="B131" i="154"/>
  <c r="F129" i="154"/>
  <c r="E129" i="154"/>
  <c r="D129" i="154"/>
  <c r="F123" i="154"/>
  <c r="F157" i="154"/>
  <c r="I157" i="154" s="1"/>
  <c r="F110" i="154"/>
  <c r="D110" i="154"/>
  <c r="E109" i="154"/>
  <c r="F109" i="154"/>
  <c r="D109" i="154"/>
  <c r="D123" i="154"/>
  <c r="D152" i="154"/>
  <c r="G152" i="154" s="1"/>
  <c r="B123" i="155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J19" i="162"/>
  <c r="AH19" i="162" s="1"/>
  <c r="E18" i="164" s="1"/>
  <c r="AE19" i="162"/>
  <c r="AK19" i="162" s="1"/>
  <c r="C129" i="154"/>
  <c r="C129" i="155"/>
  <c r="C96" i="155"/>
  <c r="C128" i="155"/>
  <c r="C134" i="155"/>
  <c r="C98" i="155"/>
  <c r="C132" i="155"/>
  <c r="D123" i="155"/>
  <c r="B59" i="155" s="1"/>
  <c r="C130" i="154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D144" i="154" l="1"/>
  <c r="G144" i="154" s="1"/>
  <c r="E140" i="154"/>
  <c r="H140" i="154" s="1"/>
  <c r="C111" i="154"/>
  <c r="F105" i="154"/>
  <c r="E105" i="154"/>
  <c r="D105" i="154"/>
  <c r="F143" i="154"/>
  <c r="I143" i="154" s="1"/>
  <c r="E143" i="154"/>
  <c r="H143" i="154" s="1"/>
  <c r="F142" i="154"/>
  <c r="I142" i="154" s="1"/>
  <c r="D142" i="154"/>
  <c r="G142" i="154" s="1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G139" i="154" s="1"/>
  <c r="F145" i="154"/>
  <c r="I145" i="154" s="1"/>
  <c r="E144" i="154"/>
  <c r="H144" i="154" s="1"/>
  <c r="D143" i="154"/>
  <c r="G143" i="154" s="1"/>
  <c r="E142" i="154"/>
  <c r="H142" i="154" s="1"/>
  <c r="F140" i="154"/>
  <c r="I140" i="154" s="1"/>
  <c r="D140" i="154"/>
  <c r="G140" i="154" s="1"/>
  <c r="D108" i="154"/>
  <c r="F107" i="154"/>
  <c r="D111" i="154"/>
  <c r="E141" i="154"/>
  <c r="H141" i="154" s="1"/>
  <c r="E139" i="154"/>
  <c r="H139" i="154" s="1"/>
  <c r="D141" i="154"/>
  <c r="G141" i="154" s="1"/>
  <c r="D145" i="154"/>
  <c r="G145" i="154" s="1"/>
  <c r="E145" i="154"/>
  <c r="H145" i="154" s="1"/>
  <c r="E110" i="154"/>
  <c r="H110" i="154" s="1"/>
  <c r="F144" i="154"/>
  <c r="I144" i="154" s="1"/>
  <c r="E107" i="154"/>
  <c r="E106" i="154"/>
  <c r="E111" i="154"/>
  <c r="F141" i="154"/>
  <c r="I141" i="154" s="1"/>
  <c r="F139" i="154"/>
  <c r="I139" i="154" s="1"/>
  <c r="G129" i="154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K15" i="135"/>
  <c r="C5" i="163"/>
  <c r="I7" i="163" s="1"/>
  <c r="A5" i="163"/>
  <c r="D5" i="163"/>
  <c r="AF14" i="129"/>
  <c r="AL14" i="129" s="1"/>
  <c r="AG21" i="162"/>
  <c r="AJ20" i="162"/>
  <c r="AH20" i="162" s="1"/>
  <c r="E19" i="164" s="1"/>
  <c r="AE20" i="162"/>
  <c r="AK20" i="162" s="1"/>
  <c r="C131" i="154"/>
  <c r="B61" i="155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I108" i="154"/>
  <c r="C107" i="154"/>
  <c r="C105" i="154"/>
  <c r="C106" i="154"/>
  <c r="C109" i="154"/>
  <c r="C139" i="154"/>
  <c r="C144" i="154"/>
  <c r="C143" i="154"/>
  <c r="C142" i="154"/>
  <c r="C124" i="154"/>
  <c r="C158" i="154"/>
  <c r="D13" i="163" l="1"/>
  <c r="I13" i="163" s="1" a="1"/>
  <c r="I13" i="163" s="1"/>
  <c r="D18" i="163"/>
  <c r="I18" i="163" s="1" a="1"/>
  <c r="I18" i="163" s="1"/>
  <c r="D12" i="163"/>
  <c r="I12" i="163" s="1" a="1"/>
  <c r="I12" i="163" s="1"/>
  <c r="D11" i="163"/>
  <c r="I11" i="163" s="1" a="1"/>
  <c r="I11" i="163" s="1"/>
  <c r="D16" i="163"/>
  <c r="I16" i="163" s="1" a="1"/>
  <c r="I16" i="163" s="1"/>
  <c r="D17" i="163"/>
  <c r="I17" i="163" s="1" a="1"/>
  <c r="I17" i="163" s="1"/>
  <c r="D14" i="163"/>
  <c r="I14" i="163" s="1" a="1"/>
  <c r="I14" i="163" s="1"/>
  <c r="D15" i="163"/>
  <c r="I15" i="163" s="1" a="1"/>
  <c r="I15" i="163" s="1"/>
  <c r="I6" i="163"/>
  <c r="I5" i="163"/>
  <c r="H123" i="154"/>
  <c r="I118" i="154"/>
  <c r="H120" i="154"/>
  <c r="H122" i="154"/>
  <c r="H121" i="154"/>
  <c r="I123" i="154"/>
  <c r="I120" i="154"/>
  <c r="I119" i="154"/>
  <c r="I122" i="154"/>
  <c r="I121" i="154"/>
  <c r="I117" i="154"/>
  <c r="G121" i="154"/>
  <c r="G118" i="154"/>
  <c r="G120" i="154"/>
  <c r="G122" i="154"/>
  <c r="G130" i="154"/>
  <c r="G117" i="154"/>
  <c r="G119" i="154"/>
  <c r="I129" i="154"/>
  <c r="G123" i="154"/>
  <c r="H119" i="154"/>
  <c r="H117" i="154"/>
  <c r="H118" i="154"/>
  <c r="AJ21" i="129"/>
  <c r="G20" i="164"/>
  <c r="D25" i="164"/>
  <c r="AA208" i="162"/>
  <c r="AA390" i="162" s="1"/>
  <c r="AA27" i="162"/>
  <c r="AI26" i="162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AF15" i="129"/>
  <c r="AL15" i="129" s="1"/>
  <c r="AJ21" i="162"/>
  <c r="AH21" i="162" s="1"/>
  <c r="E20" i="164" s="1"/>
  <c r="AG22" i="162"/>
  <c r="AE21" i="162"/>
  <c r="AK21" i="162" s="1"/>
  <c r="G109" i="154"/>
  <c r="E131" i="154"/>
  <c r="C123" i="155"/>
  <c r="F131" i="154"/>
  <c r="D131" i="154"/>
  <c r="C108" i="155"/>
  <c r="C89" i="155"/>
  <c r="H107" i="154"/>
  <c r="H106" i="154"/>
  <c r="H105" i="154"/>
  <c r="H108" i="154"/>
  <c r="G108" i="154"/>
  <c r="G110" i="154"/>
  <c r="G111" i="154"/>
  <c r="H111" i="154"/>
  <c r="H109" i="154"/>
  <c r="C112" i="154"/>
  <c r="I110" i="154"/>
  <c r="I111" i="154"/>
  <c r="G107" i="154"/>
  <c r="G106" i="154"/>
  <c r="I109" i="154"/>
  <c r="I105" i="154"/>
  <c r="I106" i="154"/>
  <c r="I107" i="154"/>
  <c r="C146" i="154"/>
  <c r="D124" i="154"/>
  <c r="E124" i="154"/>
  <c r="B15" i="163" l="1"/>
  <c r="G15" i="163" s="1" a="1"/>
  <c r="G15" i="163" s="1"/>
  <c r="L15" i="163" s="1"/>
  <c r="B18" i="163"/>
  <c r="G18" i="163" s="1" a="1"/>
  <c r="G18" i="163" s="1"/>
  <c r="B16" i="163"/>
  <c r="G16" i="163" s="1" a="1"/>
  <c r="G16" i="163" s="1"/>
  <c r="L16" i="163" s="1"/>
  <c r="B14" i="163"/>
  <c r="B13" i="163"/>
  <c r="G13" i="163" s="1" a="1"/>
  <c r="G13" i="163" s="1"/>
  <c r="L13" i="163" s="1"/>
  <c r="B11" i="163"/>
  <c r="B17" i="163"/>
  <c r="G17" i="163" s="1" a="1"/>
  <c r="G17" i="163" s="1"/>
  <c r="B12" i="163"/>
  <c r="G12" i="163" s="1" a="1"/>
  <c r="G12" i="163" s="1"/>
  <c r="L12" i="163" s="1"/>
  <c r="C15" i="163"/>
  <c r="H15" i="163" s="1" a="1"/>
  <c r="H15" i="163" s="1"/>
  <c r="C17" i="163"/>
  <c r="H17" i="163" s="1" a="1"/>
  <c r="H17" i="163" s="1"/>
  <c r="C14" i="163"/>
  <c r="H14" i="163" s="1" a="1"/>
  <c r="H14" i="163" s="1"/>
  <c r="M13" i="163" s="1"/>
  <c r="C11" i="163"/>
  <c r="H11" i="163" s="1" a="1"/>
  <c r="H11" i="163" s="1"/>
  <c r="C16" i="163"/>
  <c r="H16" i="163" s="1" a="1"/>
  <c r="H16" i="163" s="1"/>
  <c r="C18" i="163"/>
  <c r="H18" i="163" s="1" a="1"/>
  <c r="H18" i="163" s="1"/>
  <c r="C13" i="163"/>
  <c r="H13" i="163" s="1" a="1"/>
  <c r="H13" i="163" s="1"/>
  <c r="C12" i="163"/>
  <c r="H12" i="163" s="1" a="1"/>
  <c r="H12" i="163" s="1"/>
  <c r="M11" i="163" s="1"/>
  <c r="I131" i="154"/>
  <c r="D81" i="154" s="1"/>
  <c r="E29" i="163" s="1"/>
  <c r="G131" i="154"/>
  <c r="B81" i="154" s="1"/>
  <c r="C29" i="163" s="1"/>
  <c r="AJ22" i="129"/>
  <c r="G21" i="164"/>
  <c r="D26" i="164"/>
  <c r="AA209" i="162"/>
  <c r="AA391" i="162" s="1"/>
  <c r="AA28" i="162"/>
  <c r="AI27" i="162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G14" i="163" a="1"/>
  <c r="G14" i="163" s="1"/>
  <c r="L14" i="163" s="1"/>
  <c r="B47" i="155" s="1"/>
  <c r="E82" i="155" s="1"/>
  <c r="AF16" i="129"/>
  <c r="AL16" i="129" s="1"/>
  <c r="AG23" i="162"/>
  <c r="AG24" i="162" s="1"/>
  <c r="AJ22" i="162"/>
  <c r="AH22" i="162" s="1"/>
  <c r="E21" i="164" s="1"/>
  <c r="AE22" i="162"/>
  <c r="AK22" i="162" s="1"/>
  <c r="H131" i="154"/>
  <c r="C81" i="154" s="1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C79" i="154" s="1"/>
  <c r="H124" i="154"/>
  <c r="C80" i="154" s="1"/>
  <c r="H146" i="154"/>
  <c r="C82" i="154" s="1"/>
  <c r="M16" i="163" l="1"/>
  <c r="M15" i="163"/>
  <c r="M14" i="163"/>
  <c r="G11" i="163" a="1"/>
  <c r="G11" i="163" s="1"/>
  <c r="L11" i="163" s="1"/>
  <c r="M12" i="163"/>
  <c r="H158" i="154"/>
  <c r="C83" i="154" s="1"/>
  <c r="D31" i="163" s="1"/>
  <c r="G158" i="154"/>
  <c r="B83" i="154" s="1"/>
  <c r="C31" i="163" s="1"/>
  <c r="H28" i="163" s="1"/>
  <c r="D27" i="164"/>
  <c r="AA210" i="162"/>
  <c r="AA392" i="162" s="1"/>
  <c r="AA29" i="162"/>
  <c r="AI28" i="162"/>
  <c r="D30" i="163"/>
  <c r="D29" i="163"/>
  <c r="D28" i="163"/>
  <c r="D27" i="163"/>
  <c r="I26" i="163" s="1"/>
  <c r="C37" i="163" s="1"/>
  <c r="H37" i="163" s="1" a="1"/>
  <c r="H37" i="163" s="1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12" i="154"/>
  <c r="B79" i="154" s="1"/>
  <c r="C27" i="163" s="1"/>
  <c r="H26" i="163" s="1"/>
  <c r="B37" i="163" s="1"/>
  <c r="G37" i="163" s="1" a="1"/>
  <c r="G37" i="163" s="1"/>
  <c r="I146" i="154"/>
  <c r="D82" i="154" s="1"/>
  <c r="E30" i="163" s="1"/>
  <c r="I158" i="154"/>
  <c r="D83" i="154" s="1"/>
  <c r="E31" i="163" s="1"/>
  <c r="J28" i="163" s="1"/>
  <c r="I112" i="154"/>
  <c r="D79" i="154" s="1"/>
  <c r="E27" i="163" s="1"/>
  <c r="J26" i="163" l="1"/>
  <c r="D37" i="163" s="1"/>
  <c r="I27" i="163"/>
  <c r="I28" i="163"/>
  <c r="J27" i="163"/>
  <c r="H27" i="163"/>
  <c r="C84" i="154"/>
  <c r="D28" i="164"/>
  <c r="AA211" i="162"/>
  <c r="AA393" i="162" s="1"/>
  <c r="AA30" i="162"/>
  <c r="AI29" i="162"/>
  <c r="C32" i="163"/>
  <c r="E32" i="163"/>
  <c r="D32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84" i="154"/>
  <c r="D84" i="154"/>
  <c r="B54" i="163" l="1"/>
  <c r="B61" i="163"/>
  <c r="G61" i="163" s="1" a="1"/>
  <c r="G61" i="163" s="1"/>
  <c r="L61" i="163" s="1"/>
  <c r="B62" i="163"/>
  <c r="G62" i="163" s="1" a="1"/>
  <c r="G62" i="163" s="1"/>
  <c r="B65" i="163"/>
  <c r="G65" i="163" s="1" a="1"/>
  <c r="G65" i="163" s="1"/>
  <c r="B55" i="163"/>
  <c r="B52" i="163"/>
  <c r="B51" i="163"/>
  <c r="B53" i="163"/>
  <c r="B49" i="163"/>
  <c r="B64" i="163"/>
  <c r="G64" i="163" s="1" a="1"/>
  <c r="G64" i="163" s="1"/>
  <c r="B59" i="163"/>
  <c r="G59" i="163" s="1" a="1"/>
  <c r="G59" i="163" s="1"/>
  <c r="L59" i="163" s="1"/>
  <c r="B50" i="163"/>
  <c r="B66" i="163"/>
  <c r="G66" i="163" s="1" a="1"/>
  <c r="G66" i="163" s="1"/>
  <c r="B60" i="163"/>
  <c r="G60" i="163" s="1" a="1"/>
  <c r="G60" i="163" s="1"/>
  <c r="L60" i="163" s="1"/>
  <c r="B63" i="163"/>
  <c r="G63" i="163" s="1" a="1"/>
  <c r="G63" i="163" s="1"/>
  <c r="L63" i="163" s="1"/>
  <c r="B48" i="163"/>
  <c r="G48" i="163" s="1" a="1"/>
  <c r="G48" i="163" s="1"/>
  <c r="D52" i="163"/>
  <c r="D55" i="163"/>
  <c r="D60" i="163"/>
  <c r="I60" i="163" s="1" a="1"/>
  <c r="I60" i="163" s="1"/>
  <c r="D59" i="163"/>
  <c r="I59" i="163" s="1" a="1"/>
  <c r="I59" i="163" s="1"/>
  <c r="D53" i="163"/>
  <c r="D62" i="163"/>
  <c r="I62" i="163" s="1" a="1"/>
  <c r="I62" i="163" s="1"/>
  <c r="N62" i="163" s="1"/>
  <c r="D54" i="163"/>
  <c r="D50" i="163"/>
  <c r="D51" i="163"/>
  <c r="D63" i="163"/>
  <c r="I63" i="163" s="1" a="1"/>
  <c r="I63" i="163" s="1"/>
  <c r="D65" i="163"/>
  <c r="I65" i="163" s="1" a="1"/>
  <c r="I65" i="163" s="1"/>
  <c r="D49" i="163"/>
  <c r="D61" i="163"/>
  <c r="I61" i="163" s="1" a="1"/>
  <c r="I61" i="163" s="1"/>
  <c r="D48" i="163"/>
  <c r="D66" i="163"/>
  <c r="I66" i="163" s="1" a="1"/>
  <c r="I66" i="163" s="1"/>
  <c r="D64" i="163"/>
  <c r="I64" i="163" s="1" a="1"/>
  <c r="I64" i="163" s="1"/>
  <c r="N64" i="163" s="1"/>
  <c r="C51" i="163"/>
  <c r="C59" i="163"/>
  <c r="H59" i="163" s="1" a="1"/>
  <c r="H59" i="163" s="1"/>
  <c r="C64" i="163"/>
  <c r="H64" i="163" s="1" a="1"/>
  <c r="H64" i="163" s="1"/>
  <c r="C61" i="163"/>
  <c r="H61" i="163" s="1" a="1"/>
  <c r="H61" i="163" s="1"/>
  <c r="C54" i="163"/>
  <c r="C48" i="163"/>
  <c r="C55" i="163"/>
  <c r="C53" i="163"/>
  <c r="C62" i="163"/>
  <c r="H62" i="163" s="1" a="1"/>
  <c r="H62" i="163" s="1"/>
  <c r="C60" i="163"/>
  <c r="H60" i="163" s="1" a="1"/>
  <c r="H60" i="163" s="1"/>
  <c r="C52" i="163"/>
  <c r="C50" i="163"/>
  <c r="C63" i="163"/>
  <c r="H63" i="163" s="1" a="1"/>
  <c r="H63" i="163" s="1"/>
  <c r="M63" i="163" s="1"/>
  <c r="C49" i="163"/>
  <c r="C66" i="163"/>
  <c r="H66" i="163" s="1" a="1"/>
  <c r="H66" i="163" s="1"/>
  <c r="C65" i="163"/>
  <c r="H65" i="163" s="1" a="1"/>
  <c r="H65" i="163" s="1"/>
  <c r="D29" i="164"/>
  <c r="AA212" i="162"/>
  <c r="AA394" i="162" s="1"/>
  <c r="AA31" i="162"/>
  <c r="AI30" i="162"/>
  <c r="D38" i="163"/>
  <c r="I38" i="163" s="1" a="1"/>
  <c r="I38" i="163" s="1"/>
  <c r="S37" i="163" s="1"/>
  <c r="D43" i="163"/>
  <c r="I43" i="163" s="1" a="1"/>
  <c r="I43" i="163" s="1"/>
  <c r="S42" i="163" s="1"/>
  <c r="D71" i="154" s="1"/>
  <c r="D41" i="163"/>
  <c r="I41" i="163" s="1" a="1"/>
  <c r="I41" i="163" s="1"/>
  <c r="S40" i="163" s="1"/>
  <c r="D44" i="163"/>
  <c r="I44" i="163" s="1" a="1"/>
  <c r="I44" i="163" s="1"/>
  <c r="D40" i="163"/>
  <c r="I40" i="163" s="1" a="1"/>
  <c r="I40" i="163" s="1"/>
  <c r="S39" i="163" s="1"/>
  <c r="D42" i="163"/>
  <c r="I42" i="163" s="1" a="1"/>
  <c r="I42" i="163" s="1"/>
  <c r="S41" i="163" s="1"/>
  <c r="D39" i="163"/>
  <c r="I39" i="163" s="1" a="1"/>
  <c r="I39" i="163" s="1"/>
  <c r="S38" i="163" s="1"/>
  <c r="I37" i="163" a="1"/>
  <c r="I37" i="163" s="1"/>
  <c r="B44" i="163"/>
  <c r="G44" i="163" s="1" a="1"/>
  <c r="G44" i="163" s="1"/>
  <c r="B42" i="163"/>
  <c r="G42" i="163" s="1" a="1"/>
  <c r="G42" i="163" s="1"/>
  <c r="Q41" i="163" s="1"/>
  <c r="B41" i="163"/>
  <c r="G41" i="163" s="1" a="1"/>
  <c r="G41" i="163" s="1"/>
  <c r="Q40" i="163" s="1"/>
  <c r="B43" i="163"/>
  <c r="G43" i="163" s="1" a="1"/>
  <c r="G43" i="163" s="1"/>
  <c r="Q42" i="163" s="1"/>
  <c r="B71" i="154" s="1"/>
  <c r="B38" i="163"/>
  <c r="G38" i="163" s="1" a="1"/>
  <c r="G38" i="163" s="1"/>
  <c r="Q37" i="163" s="1"/>
  <c r="B40" i="163"/>
  <c r="G40" i="163" s="1" a="1"/>
  <c r="G40" i="163" s="1"/>
  <c r="Q39" i="163" s="1"/>
  <c r="B39" i="163"/>
  <c r="G39" i="163" s="1" a="1"/>
  <c r="G39" i="163" s="1"/>
  <c r="Q38" i="163" s="1"/>
  <c r="C39" i="163"/>
  <c r="H39" i="163" s="1" a="1"/>
  <c r="H39" i="163" s="1"/>
  <c r="R38" i="163" s="1"/>
  <c r="C44" i="163"/>
  <c r="H44" i="163" s="1" a="1"/>
  <c r="H44" i="163" s="1"/>
  <c r="C41" i="163"/>
  <c r="H41" i="163" s="1" a="1"/>
  <c r="H41" i="163" s="1"/>
  <c r="R40" i="163" s="1"/>
  <c r="C40" i="163"/>
  <c r="H40" i="163" s="1" a="1"/>
  <c r="H40" i="163" s="1"/>
  <c r="R39" i="163" s="1"/>
  <c r="C43" i="163"/>
  <c r="H43" i="163" s="1" a="1"/>
  <c r="H43" i="163" s="1"/>
  <c r="R42" i="163" s="1"/>
  <c r="C71" i="154" s="1"/>
  <c r="C42" i="163"/>
  <c r="H42" i="163" s="1" a="1"/>
  <c r="H42" i="163" s="1"/>
  <c r="R41" i="163" s="1"/>
  <c r="C38" i="163"/>
  <c r="H38" i="163" s="1" a="1"/>
  <c r="H38" i="163" s="1"/>
  <c r="R37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AF19" i="129"/>
  <c r="AL19" i="129" s="1"/>
  <c r="J105" i="154" l="1"/>
  <c r="L139" i="154"/>
  <c r="J144" i="154"/>
  <c r="K143" i="154"/>
  <c r="L145" i="154"/>
  <c r="L144" i="154"/>
  <c r="L142" i="154"/>
  <c r="L143" i="154"/>
  <c r="J145" i="154"/>
  <c r="J141" i="154"/>
  <c r="K145" i="154"/>
  <c r="K142" i="154"/>
  <c r="K140" i="154"/>
  <c r="J139" i="154"/>
  <c r="K141" i="154"/>
  <c r="K139" i="154"/>
  <c r="L141" i="154"/>
  <c r="J143" i="154"/>
  <c r="J140" i="154"/>
  <c r="J142" i="154"/>
  <c r="L140" i="154"/>
  <c r="K144" i="154"/>
  <c r="H18" i="164"/>
  <c r="E25" i="164"/>
  <c r="D30" i="164"/>
  <c r="AA213" i="162"/>
  <c r="AA395" i="162" s="1"/>
  <c r="AA32" i="162"/>
  <c r="AI31" i="162"/>
  <c r="K110" i="154"/>
  <c r="L108" i="154"/>
  <c r="K108" i="154"/>
  <c r="J107" i="154"/>
  <c r="L111" i="154"/>
  <c r="K111" i="154"/>
  <c r="L109" i="154"/>
  <c r="J111" i="154"/>
  <c r="L105" i="154"/>
  <c r="K105" i="154"/>
  <c r="K106" i="154"/>
  <c r="L107" i="154"/>
  <c r="J106" i="154"/>
  <c r="K107" i="154"/>
  <c r="L110" i="154"/>
  <c r="K109" i="154"/>
  <c r="J109" i="154"/>
  <c r="J110" i="154"/>
  <c r="J108" i="154"/>
  <c r="L106" i="154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H19" i="164" l="1"/>
  <c r="E26" i="164"/>
  <c r="D31" i="164"/>
  <c r="AA214" i="162"/>
  <c r="AA396" i="162" s="1"/>
  <c r="AA33" i="162"/>
  <c r="AI32" i="162"/>
  <c r="L146" i="154"/>
  <c r="D94" i="154" s="1"/>
  <c r="K146" i="154"/>
  <c r="C94" i="154" s="1"/>
  <c r="J146" i="154"/>
  <c r="B94" i="154" s="1"/>
  <c r="K112" i="154"/>
  <c r="C91" i="154" s="1"/>
  <c r="L112" i="154"/>
  <c r="D91" i="154" s="1"/>
  <c r="J112" i="154"/>
  <c r="B91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H20" i="164" l="1"/>
  <c r="D32" i="164"/>
  <c r="AA215" i="162"/>
  <c r="AA397" i="162" s="1"/>
  <c r="AA34" i="162"/>
  <c r="AI33" i="162"/>
  <c r="E27" i="16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AJ33" i="162"/>
  <c r="AH33" i="162" s="1"/>
  <c r="AE33" i="162"/>
  <c r="AK33" i="162" s="1"/>
  <c r="AG34" i="162"/>
  <c r="B16" i="1"/>
  <c r="H25" i="164" l="1"/>
  <c r="E32" i="164"/>
  <c r="D37" i="164"/>
  <c r="AA220" i="162"/>
  <c r="AA402" i="162" s="1"/>
  <c r="AA39" i="162"/>
  <c r="AI38" i="162"/>
  <c r="E85" i="155"/>
  <c r="E122" i="155"/>
  <c r="E119" i="155"/>
  <c r="E120" i="155"/>
  <c r="E88" i="155"/>
  <c r="E117" i="155"/>
  <c r="E86" i="155"/>
  <c r="E84" i="155"/>
  <c r="E116" i="155"/>
  <c r="E83" i="155"/>
  <c r="E118" i="155"/>
  <c r="E121" i="155"/>
  <c r="E87" i="155"/>
  <c r="AB93" i="129"/>
  <c r="AB149" i="129"/>
  <c r="AJ34" i="129"/>
  <c r="AH28" i="129"/>
  <c r="AK27" i="129"/>
  <c r="AI27" i="129" s="1"/>
  <c r="AF28" i="129"/>
  <c r="AL28" i="129" s="1"/>
  <c r="AB35" i="129"/>
  <c r="G34" i="164" s="1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E89" i="155"/>
  <c r="B68" i="155" s="1"/>
  <c r="E123" i="155"/>
  <c r="B71" i="155" s="1"/>
  <c r="AH29" i="129"/>
  <c r="AK28" i="129"/>
  <c r="AI28" i="129" s="1"/>
  <c r="AB94" i="129"/>
  <c r="AB150" i="129"/>
  <c r="AJ35" i="129"/>
  <c r="AF29" i="129"/>
  <c r="AL29" i="129" s="1"/>
  <c r="AB36" i="129"/>
  <c r="G35" i="164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N61" i="163"/>
  <c r="L66" i="163"/>
  <c r="M60" i="163"/>
  <c r="L62" i="163"/>
  <c r="M66" i="163"/>
  <c r="N65" i="163"/>
  <c r="N59" i="163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M64" i="163"/>
  <c r="M61" i="163"/>
  <c r="N60" i="163"/>
  <c r="M65" i="163"/>
  <c r="L65" i="163"/>
  <c r="N66" i="163"/>
  <c r="M59" i="163"/>
  <c r="L64" i="163"/>
  <c r="M62" i="163"/>
  <c r="N63" i="163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E62" i="164" l="1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50" i="163" a="1"/>
  <c r="I50" i="163" s="1"/>
  <c r="N50" i="163" s="1"/>
  <c r="I53" i="163" a="1"/>
  <c r="I53" i="163" s="1"/>
  <c r="N53" i="163" s="1"/>
  <c r="H48" i="163" a="1"/>
  <c r="H48" i="163" s="1"/>
  <c r="M48" i="163" s="1"/>
  <c r="H54" i="163" a="1"/>
  <c r="H54" i="163" s="1"/>
  <c r="M54" i="163" s="1"/>
  <c r="H55" i="163" a="1"/>
  <c r="H55" i="163" s="1"/>
  <c r="M55" i="163" s="1"/>
  <c r="G53" i="163" a="1"/>
  <c r="G53" i="163" s="1"/>
  <c r="L53" i="163" s="1"/>
  <c r="G49" i="163" a="1"/>
  <c r="G49" i="163" s="1"/>
  <c r="L49" i="163" s="1"/>
  <c r="I51" i="163" a="1"/>
  <c r="I51" i="163" s="1"/>
  <c r="N51" i="163" s="1"/>
  <c r="S50" i="163" s="1"/>
  <c r="AJ180" i="162"/>
  <c r="AH180" i="162" s="1"/>
  <c r="L48" i="163" s="1"/>
  <c r="AE180" i="162"/>
  <c r="AK180" i="162" s="1"/>
  <c r="S53" i="163" l="1"/>
  <c r="S52" i="163"/>
  <c r="S51" i="163"/>
  <c r="E179" i="164"/>
  <c r="I54" i="163" a="1"/>
  <c r="I54" i="163" s="1"/>
  <c r="N54" i="163" s="1"/>
  <c r="H51" i="163" a="1"/>
  <c r="H51" i="163" s="1"/>
  <c r="M51" i="163" s="1"/>
  <c r="R50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Q50" i="163" s="1"/>
  <c r="G55" i="163" a="1"/>
  <c r="G55" i="163" s="1"/>
  <c r="L55" i="163" s="1"/>
  <c r="H49" i="163" a="1"/>
  <c r="H49" i="163" s="1"/>
  <c r="M49" i="163" s="1"/>
  <c r="R49" i="163" s="1"/>
  <c r="H52" i="163" a="1"/>
  <c r="H52" i="163" s="1"/>
  <c r="M52" i="163" s="1"/>
  <c r="Q49" i="163"/>
  <c r="B72" i="154" s="1"/>
  <c r="Q48" i="163"/>
  <c r="I55" i="163" a="1"/>
  <c r="I55" i="163" s="1"/>
  <c r="N55" i="163" s="1"/>
  <c r="I49" i="163" a="1"/>
  <c r="I49" i="163" s="1"/>
  <c r="N49" i="163" s="1"/>
  <c r="G50" i="163" a="1"/>
  <c r="G50" i="163" s="1"/>
  <c r="L50" i="163" s="1"/>
  <c r="Q51" i="163"/>
  <c r="Q53" i="163"/>
  <c r="Q52" i="163"/>
  <c r="I48" i="163" a="1"/>
  <c r="I48" i="163" s="1"/>
  <c r="N48" i="163" s="1"/>
  <c r="J153" i="154" l="1"/>
  <c r="K156" i="154"/>
  <c r="K157" i="154"/>
  <c r="L151" i="154"/>
  <c r="J151" i="154"/>
  <c r="K153" i="154"/>
  <c r="L153" i="154"/>
  <c r="J154" i="154"/>
  <c r="K154" i="154"/>
  <c r="L154" i="154"/>
  <c r="J155" i="154"/>
  <c r="K155" i="154"/>
  <c r="L155" i="154"/>
  <c r="J156" i="154"/>
  <c r="L156" i="154"/>
  <c r="J157" i="154"/>
  <c r="L157" i="154"/>
  <c r="K151" i="154"/>
  <c r="J152" i="154"/>
  <c r="K152" i="154"/>
  <c r="L152" i="154"/>
  <c r="K130" i="154"/>
  <c r="L130" i="154"/>
  <c r="J129" i="154"/>
  <c r="K129" i="154"/>
  <c r="J120" i="154"/>
  <c r="J123" i="154"/>
  <c r="K123" i="154"/>
  <c r="J117" i="154"/>
  <c r="L121" i="154"/>
  <c r="K120" i="154"/>
  <c r="L119" i="154"/>
  <c r="L129" i="154"/>
  <c r="K117" i="154"/>
  <c r="K121" i="154"/>
  <c r="K122" i="154"/>
  <c r="J130" i="154"/>
  <c r="L120" i="154"/>
  <c r="L118" i="154"/>
  <c r="J118" i="154"/>
  <c r="J121" i="154"/>
  <c r="L117" i="154"/>
  <c r="L123" i="154"/>
  <c r="J119" i="154"/>
  <c r="J122" i="154"/>
  <c r="L122" i="154"/>
  <c r="K119" i="154"/>
  <c r="K118" i="154"/>
  <c r="B48" i="155"/>
  <c r="R52" i="163"/>
  <c r="R51" i="163"/>
  <c r="R53" i="163"/>
  <c r="S48" i="163"/>
  <c r="D72" i="154" s="1"/>
  <c r="S49" i="163"/>
  <c r="R48" i="163"/>
  <c r="C72" i="154" s="1"/>
  <c r="L158" i="154" l="1"/>
  <c r="D95" i="154" s="1"/>
  <c r="L131" i="154"/>
  <c r="D93" i="154" s="1"/>
  <c r="K131" i="154"/>
  <c r="C93" i="154" s="1"/>
  <c r="J124" i="154"/>
  <c r="B92" i="154" s="1"/>
  <c r="J131" i="154"/>
  <c r="B93" i="154" s="1"/>
  <c r="K124" i="154"/>
  <c r="C92" i="154" s="1"/>
  <c r="E107" i="155"/>
  <c r="E134" i="155"/>
  <c r="E132" i="155"/>
  <c r="E133" i="155"/>
  <c r="E98" i="155"/>
  <c r="E99" i="155"/>
  <c r="E97" i="155"/>
  <c r="E131" i="155"/>
  <c r="E95" i="155"/>
  <c r="E96" i="155"/>
  <c r="E106" i="155"/>
  <c r="E108" i="155" s="1"/>
  <c r="B70" i="155" s="1"/>
  <c r="E128" i="155"/>
  <c r="E94" i="155"/>
  <c r="E130" i="155"/>
  <c r="E129" i="155"/>
  <c r="E100" i="155"/>
  <c r="K158" i="154"/>
  <c r="C95" i="154" s="1"/>
  <c r="L124" i="154"/>
  <c r="D92" i="154" s="1"/>
  <c r="J158" i="154"/>
  <c r="B95" i="154" s="1"/>
  <c r="D96" i="154" l="1"/>
  <c r="E135" i="155"/>
  <c r="B72" i="155" s="1"/>
  <c r="E101" i="155"/>
  <c r="B69" i="155" s="1"/>
  <c r="C96" i="154"/>
  <c r="B96" i="154"/>
  <c r="B73" i="15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<sst xmlns="http://schemas.openxmlformats.org/spreadsheetml/2006/main" count="2009" uniqueCount="552">
  <si>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</si>
  <si>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</si>
  <si>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</si>
  <si>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</si>
  <si>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</si>
  <si>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</si>
  <si>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</si>
  <si>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</si>
  <si>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</si>
  <si>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</si>
  <si>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</si>
  <si>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</si>
  <si>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</si>
  <si>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</si>
  <si>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</si>
  <si>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</si>
  <si>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</si>
  <si>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</si>
  <si>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</si>
  <si>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</si>
  <si>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</si>
  <si>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</si>
  <si>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</si>
  <si>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</si>
  <si>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</si>
  <si>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</si>
  <si>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</si>
  <si>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</si>
  <si>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</si>
  <si>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</si>
  <si>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</si>
  <si>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</si>
  <si>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</si>
  <si>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</si>
  <si>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</si>
  <si>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</si>
  <si>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</si>
  <si>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</si>
  <si>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</si>
  <si>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</si>
  <si>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</si>
  <si>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</si>
  <si>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</si>
  <si>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</si>
  <si>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</si>
  <si>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</si>
  <si>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</si>
  <si>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</si>
  <si>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</si>
  <si>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</si>
  <si>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</si>
  <si>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</si>
  <si>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</si>
  <si>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</si>
  <si>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</si>
  <si>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</si>
  <si>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</si>
  <si>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</si>
  <si>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</si>
  <si>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</si>
  <si>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</si>
  <si>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</si>
  <si>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</si>
  <si>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</si>
  <si>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</si>
  <si>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</si>
  <si>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</si>
  <si>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</si>
  <si>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</si>
  <si>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</si>
  <si>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</si>
  <si>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</si>
  <si>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</si>
  <si>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</si>
  <si>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</si>
  <si>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</si>
  <si>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</si>
  <si>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</si>
  <si>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</si>
  <si>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</si>
  <si>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</si>
  <si>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</si>
  <si>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</si>
  <si>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</si>
  <si>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</si>
  <si>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</si>
  <si>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</si>
  <si>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</si>
  <si>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</si>
  <si>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</si>
  <si>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</si>
  <si>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</si>
  <si>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</si>
  <si>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</si>
  <si>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</si>
  <si>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</si>
  <si>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</si>
  <si>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</si>
  <si>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</si>
  <si>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</si>
  <si>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</si>
  <si>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</si>
  <si>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</si>
  <si>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</si>
  <si>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</si>
  <si>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</si>
  <si>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</si>
  <si>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</si>
  <si>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</si>
  <si>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</si>
  <si>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</si>
  <si>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</si>
  <si>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</si>
  <si>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</si>
  <si>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</si>
  <si>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</si>
  <si>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</si>
  <si>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</si>
  <si>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</si>
  <si>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</si>
  <si>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</si>
  <si>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</si>
  <si>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</si>
  <si>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</si>
  <si>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</si>
  <si>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</si>
  <si>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</si>
  <si>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</si>
  <si>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</si>
  <si>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</si>
  <si>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</si>
  <si>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</si>
  <si>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</si>
  <si>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</si>
  <si>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</si>
  <si>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</si>
  <si>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</si>
  <si>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</si>
  <si>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</si>
  <si>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</si>
  <si>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</si>
  <si>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</si>
  <si>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</si>
  <si>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</si>
  <si>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</si>
  <si>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</si>
  <si>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</si>
  <si>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</si>
  <si>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</si>
  <si>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</si>
  <si>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</si>
  <si>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</si>
  <si>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</si>
  <si>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</si>
  <si>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</si>
  <si>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</si>
  <si>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</si>
  <si>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</si>
  <si>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</si>
  <si>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</si>
  <si>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</si>
  <si>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</si>
  <si>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</si>
  <si>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</si>
  <si>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</si>
  <si>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</si>
  <si>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</si>
  <si>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</si>
  <si>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</si>
  <si>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</si>
  <si>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</si>
  <si>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</si>
  <si>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</si>
  <si>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</si>
  <si>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</si>
  <si>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</si>
  <si>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</si>
  <si>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</si>
  <si>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</si>
  <si>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</si>
  <si>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</si>
  <si>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</si>
  <si>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</si>
  <si>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</si>
  <si>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</si>
  <si>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</si>
  <si>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</si>
  <si>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</si>
  <si>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</si>
  <si>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</si>
  <si>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</si>
  <si>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</si>
  <si>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</si>
  <si>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</si>
  <si>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</si>
  <si>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</si>
  <si>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</si>
  <si>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</si>
  <si>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</si>
  <si>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</si>
  <si>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</si>
  <si>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</si>
  <si>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</si>
  <si>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</si>
  <si>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</si>
  <si>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</si>
  <si>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</si>
  <si>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</si>
  <si>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</si>
  <si>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</si>
  <si>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</si>
  <si>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</si>
  <si>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</si>
  <si>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</si>
  <si>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</si>
  <si>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</si>
  <si>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</si>
  <si>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</si>
  <si>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</si>
  <si>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</si>
  <si>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</si>
  <si>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</si>
  <si>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</si>
  <si>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</si>
  <si>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</si>
  <si>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</si>
  <si>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</si>
  <si>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</si>
  <si>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</si>
  <si>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</si>
  <si>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</si>
  <si>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</si>
  <si>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</si>
  <si>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</si>
  <si>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</si>
  <si>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</si>
  <si>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</si>
  <si>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</si>
  <si>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</si>
  <si>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</si>
  <si>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</si>
  <si>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</si>
  <si>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</si>
  <si>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</si>
  <si>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</si>
  <si>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</si>
  <si>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</si>
  <si>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</si>
  <si>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</si>
  <si>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</si>
  <si>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</si>
  <si>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</si>
  <si>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</si>
  <si>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</si>
  <si>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</si>
  <si>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</si>
  <si>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</si>
  <si>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</si>
  <si>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</si>
  <si>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</si>
  <si>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</si>
  <si>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</si>
  <si>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</si>
  <si>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</si>
  <si>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</si>
  <si>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</si>
  <si>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</si>
  <si>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</si>
  <si>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</si>
  <si>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</si>
  <si>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</si>
  <si>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</si>
  <si>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</si>
  <si>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</si>
  <si>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</si>
  <si>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</si>
  <si>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</si>
  <si>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</si>
  <si>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</si>
  <si>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</si>
  <si>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</si>
  <si>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</si>
  <si>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</si>
  <si>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</si>
  <si>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</si>
  <si>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</si>
  <si>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</si>
  <si>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</si>
  <si>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</si>
  <si>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</si>
  <si>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</si>
  <si>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</si>
  <si>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</si>
  <si>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</si>
  <si>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</si>
  <si>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</si>
  <si>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</si>
  <si>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</si>
  <si>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</si>
  <si>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</si>
  <si>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</si>
  <si>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</si>
  <si>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</si>
  <si>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</si>
  <si>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</si>
  <si>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</si>
  <si>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</si>
  <si>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</si>
  <si>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</si>
  <si>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</si>
  <si>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</si>
  <si>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</si>
  <si>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</si>
  <si>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</si>
  <si>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</si>
  <si>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</si>
  <si>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</si>
  <si>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</si>
  <si>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</si>
  <si>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</si>
  <si>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</si>
  <si>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</si>
  <si>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</si>
  <si>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</si>
  <si>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</si>
  <si>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</si>
  <si>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</si>
  <si>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</si>
  <si>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</si>
  <si>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</si>
  <si>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</si>
  <si>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</si>
  <si>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</si>
  <si>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</si>
  <si>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</si>
  <si>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Economic Metrics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</si>
  <si>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</si>
  <si>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</si>
  <si>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</si>
  <si>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</si>
  <si>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</si>
  <si>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</si>
  <si>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</si>
  <si>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</si>
  <si>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</si>
  <si>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</si>
  <si>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</si>
  <si>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</si>
  <si>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</si>
  <si>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</si>
  <si>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</si>
  <si>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</si>
  <si>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</si>
  <si>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</si>
  <si>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</si>
  <si>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</si>
  <si>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</si>
  <si>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</si>
  <si>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</si>
  <si>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</si>
  <si>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</si>
  <si>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</si>
  <si>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</si>
  <si>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</si>
  <si>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</si>
  <si>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</si>
  <si>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</si>
  <si>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</si>
  <si>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</si>
  <si>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</si>
  <si>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</si>
  <si>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</si>
  <si>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</si>
  <si>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</si>
  <si>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</si>
  <si>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</si>
  <si>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</si>
  <si>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</si>
  <si>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</si>
  <si>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</si>
  <si>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</si>
  <si>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</si>
  <si>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</si>
  <si>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</si>
  <si>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</si>
  <si>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</si>
  <si>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</si>
  <si>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</si>
  <si>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</si>
  <si>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</si>
  <si>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</si>
  <si>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</si>
  <si>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</si>
  <si>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</si>
  <si>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</si>
  <si>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</si>
  <si>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</si>
  <si>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</si>
  <si>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</si>
  <si>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</si>
  <si>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</si>
  <si>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</si>
  <si>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</si>
  <si>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</si>
  <si>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</si>
  <si>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</si>
  <si>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</si>
  <si>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</si>
  <si>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</si>
  <si>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</si>
  <si>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</si>
  <si>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</si>
  <si>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</si>
  <si>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</si>
  <si>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</si>
  <si>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</si>
  <si>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Total Future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</si>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</sst>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08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71" fontId="21" fillId="3" borderId="5" xfId="47" applyNumberFormat="1" applyFont="1" applyFill="1" applyBorder="1" applyAlignment="1">
      <alignment horizontal="center" vertical="center"/>
    </xf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171" fontId="29" fillId="3" borderId="39" xfId="47" applyNumberFormat="1" applyFont="1" applyFill="1" applyBorder="1"/>
    <xf numFmtId="171" fontId="21" fillId="3" borderId="7" xfId="47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5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4" xfId="0" applyFont="1" applyFill="1" applyBorder="1" applyAlignment="1">
      <alignment horizontal="center" vertical="center"/>
    </xf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0" fontId="36" fillId="0" borderId="29" xfId="0" applyFont="1" applyFill="1" applyBorder="1" applyAlignment="1">
      <alignment horizontal="center" wrapText="1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3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wrapText="1"/>
    </xf>
    <xf numFmtId="0" fontId="45" fillId="0" borderId="3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325876915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152152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325876915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788579.02201426018</c:v>
                </c:pt>
                <c:pt idx="1">
                  <c:v>1465546.4014705883</c:v>
                </c:pt>
                <c:pt idx="2">
                  <c:v>2567479.0987967914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2498438.7738095238</c:v>
                </c:pt>
                <c:pt idx="1">
                  <c:v>5496405.9023809517</c:v>
                </c:pt>
                <c:pt idx="2">
                  <c:v>9330795.2023809515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696362.06131907308</c:v>
                </c:pt>
                <c:pt idx="1">
                  <c:v>1171587.4080213904</c:v>
                </c:pt>
                <c:pt idx="2">
                  <c:v>2273520.1053475933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1665724.0976190476</c:v>
                </c:pt>
                <c:pt idx="1">
                  <c:v>4494508.4428571425</c:v>
                </c:pt>
                <c:pt idx="2">
                  <c:v>8329006.9928571424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5754645.5531982947</c:v>
                </c:pt>
                <c:pt idx="1">
                  <c:v>12786360.552384658</c:v>
                </c:pt>
                <c:pt idx="2">
                  <c:v>22711884.596255258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14983001.418270944</c:v>
                </c:pt>
                <c:pt idx="1">
                  <c:v>27845381.627941176</c:v>
                </c:pt>
                <c:pt idx="2">
                  <c:v>48782102.877139039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227357928.41666666</c:v>
                </c:pt>
                <c:pt idx="1">
                  <c:v>500172937.11666667</c:v>
                </c:pt>
                <c:pt idx="2">
                  <c:v>849102363.41666663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9604285.4577114414</c:v>
                </c:pt>
                <c:pt idx="1">
                  <c:v>14406428.186567163</c:v>
                </c:pt>
                <c:pt idx="2">
                  <c:v>19208570.915422883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13230879.165062388</c:v>
                </c:pt>
                <c:pt idx="1">
                  <c:v>22260160.752406418</c:v>
                </c:pt>
                <c:pt idx="2">
                  <c:v>43196882.001604274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151580892.88333333</c:v>
                </c:pt>
                <c:pt idx="1">
                  <c:v>409000268.30000001</c:v>
                </c:pt>
                <c:pt idx="2">
                  <c:v>757939636.35000002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416756987.34104478</c:v>
                </c:pt>
                <c:pt idx="1">
                  <c:v>973685175.9835813</c:v>
                </c:pt>
                <c:pt idx="2">
                  <c:v>1718229555.560833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51</xdr:row>
      <xdr:rowOff>60960</xdr:rowOff>
    </xdr:from>
    <xdr:to>
      <xdr:col>6</xdr:col>
      <xdr:colOff>922020</xdr:colOff>
      <xdr:row>62</xdr:row>
      <xdr:rowOff>106679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329901</xdr:colOff>
      <xdr:row>64</xdr:row>
      <xdr:rowOff>80683</xdr:rowOff>
    </xdr:from>
    <xdr:to>
      <xdr:col>6</xdr:col>
      <xdr:colOff>893781</xdr:colOff>
      <xdr:row>75</xdr:row>
      <xdr:rowOff>23309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5" t="s">
        <v>373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6" t="s">
        <v>372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6" t="s">
        <v>374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341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526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E42" sqref="E42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34" t="s">
        <v>3</v>
      </c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434"/>
      <c r="P1" s="434"/>
      <c r="Q1" s="43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34"/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34"/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34"/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  <c r="P4" s="434"/>
      <c r="Q4" s="43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34"/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  <c r="P5" s="434"/>
      <c r="Q5" s="43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34"/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527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529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530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493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8" t="s">
        <v>533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461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347" t="s">
        <v>475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468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469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532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470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471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>
      <c r="A40" s="1"/>
      <c r="B40" s="347" t="s">
        <v>476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472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473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474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413" t="s">
        <v>523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81"/>
  <sheetViews>
    <sheetView showGridLines="0" tabSelected="1" topLeftCell="A49" zoomScale="85" zoomScaleNormal="85" workbookViewId="0">
      <selection activeCell="B61" sqref="A56:B61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9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85" customFormat="1">
      <c r="S1" s="286"/>
    </row>
    <row r="2" spans="1:25" s="144" customFormat="1">
      <c r="A2" s="141"/>
      <c r="B2" s="142"/>
      <c r="C2" s="141"/>
      <c r="D2" s="141"/>
      <c r="E2" s="141"/>
      <c r="F2" s="141"/>
      <c r="G2" s="143"/>
      <c r="H2" s="141"/>
      <c r="I2" s="141"/>
      <c r="J2" s="141"/>
      <c r="K2" s="141"/>
      <c r="M2" s="141"/>
      <c r="N2" s="141"/>
      <c r="O2" s="141"/>
      <c r="P2" s="141"/>
      <c r="Q2" s="141"/>
      <c r="R2" s="141"/>
      <c r="S2" s="145"/>
    </row>
    <row r="3" spans="1:25" s="288" customFormat="1" ht="14.4" customHeight="1">
      <c r="A3" s="462" t="s">
        <v>478</v>
      </c>
      <c r="B3" s="462"/>
      <c r="C3" s="462"/>
      <c r="D3" s="462"/>
      <c r="E3" s="462"/>
      <c r="F3" s="462"/>
      <c r="G3" s="462"/>
      <c r="H3" s="462"/>
      <c r="I3" s="462"/>
    </row>
    <row r="4" spans="1:25" s="289" customFormat="1" ht="15.6" customHeight="1">
      <c r="A4" s="463"/>
      <c r="B4" s="463"/>
      <c r="C4" s="463"/>
      <c r="D4" s="463"/>
      <c r="E4" s="463"/>
      <c r="F4" s="463"/>
      <c r="G4" s="463"/>
      <c r="H4" s="463"/>
      <c r="I4" s="463"/>
      <c r="J4" s="292"/>
      <c r="K4" s="292"/>
      <c r="L4" s="292"/>
      <c r="M4" s="292"/>
      <c r="N4" s="292"/>
      <c r="O4" s="292"/>
    </row>
    <row r="5" spans="1:25" s="289" customFormat="1" ht="15.6">
      <c r="A5" s="290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</row>
    <row r="6" spans="1:25" s="32" customFormat="1" ht="13.8" customHeight="1">
      <c r="D6" s="296"/>
      <c r="E6" s="295"/>
      <c r="F6" s="295"/>
    </row>
    <row r="7" spans="1:25" s="32" customFormat="1" ht="20.399999999999999">
      <c r="A7" s="293" t="s">
        <v>456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</row>
    <row r="8" spans="1:25">
      <c r="A8" s="291" t="s">
        <v>445</v>
      </c>
    </row>
    <row r="10" spans="1:25" ht="16.2" customHeight="1" thickBot="1">
      <c r="A10" s="447" t="s">
        <v>495</v>
      </c>
      <c r="B10" s="447"/>
      <c r="C10" s="447"/>
      <c r="D10" s="443" t="s">
        <v>444</v>
      </c>
      <c r="E10" s="443"/>
      <c r="S10" s="435" t="s">
        <v>224</v>
      </c>
      <c r="T10" s="436"/>
      <c r="U10" s="436"/>
      <c r="V10" s="436"/>
      <c r="W10" s="436"/>
      <c r="X10" s="436"/>
      <c r="Y10" s="437"/>
    </row>
    <row r="11" spans="1:25" ht="14.4">
      <c r="A11" s="137" t="s">
        <v>355</v>
      </c>
      <c r="B11" s="138" t="s">
        <v>245</v>
      </c>
      <c r="C11" s="37"/>
      <c r="D11" s="407" t="s">
        <v>355</v>
      </c>
      <c r="E11" s="228" t="s">
        <v>245</v>
      </c>
      <c r="S11" s="140" t="s">
        <v>266</v>
      </c>
      <c r="T11" s="444" t="s">
        <v>52</v>
      </c>
      <c r="U11" s="445"/>
      <c r="V11" s="446"/>
      <c r="W11" s="444" t="s">
        <v>53</v>
      </c>
      <c r="X11" s="445"/>
      <c r="Y11" s="446"/>
    </row>
    <row r="12" spans="1:25" ht="14.4">
      <c r="A12" s="139" t="s">
        <v>243</v>
      </c>
      <c r="B12" s="131" t="s">
        <v>366</v>
      </c>
      <c r="C12" s="37"/>
      <c r="D12" s="406" t="s">
        <v>243</v>
      </c>
      <c r="E12" s="129" t="s">
        <v>10</v>
      </c>
      <c r="S12" s="244"/>
      <c r="T12" s="246" t="s">
        <v>7</v>
      </c>
      <c r="U12" s="246" t="s">
        <v>55</v>
      </c>
      <c r="V12" s="246" t="s">
        <v>6</v>
      </c>
      <c r="W12" s="246" t="s">
        <v>7</v>
      </c>
      <c r="X12" s="246" t="s">
        <v>55</v>
      </c>
      <c r="Y12" s="246" t="s">
        <v>6</v>
      </c>
    </row>
    <row r="13" spans="1:25" ht="15" thickBot="1">
      <c r="A13" s="134" t="s">
        <v>244</v>
      </c>
      <c r="B13" s="132" t="s">
        <v>367</v>
      </c>
      <c r="C13" s="37"/>
      <c r="D13" s="134" t="s">
        <v>244</v>
      </c>
      <c r="E13" s="130" t="s">
        <v>10</v>
      </c>
      <c r="S13" s="150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6"/>
      <c r="C14" s="147"/>
      <c r="G14" s="148"/>
      <c r="S14" s="150" t="s">
        <v>268</v>
      </c>
      <c r="T14" s="151">
        <v>89840</v>
      </c>
      <c r="U14" s="151">
        <v>250000</v>
      </c>
      <c r="V14" s="151">
        <v>525600</v>
      </c>
      <c r="W14" s="151">
        <v>525600</v>
      </c>
      <c r="X14" s="151">
        <v>750000</v>
      </c>
      <c r="Y14" s="151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50" t="s">
        <v>264</v>
      </c>
      <c r="T15" s="152">
        <v>7.7533078571270795E-3</v>
      </c>
      <c r="U15" s="152">
        <v>0.5</v>
      </c>
      <c r="V15" s="152">
        <v>0.5</v>
      </c>
      <c r="W15" s="152">
        <v>0.5</v>
      </c>
      <c r="X15" s="152">
        <v>0.5</v>
      </c>
      <c r="Y15" s="152">
        <v>0.5</v>
      </c>
    </row>
    <row r="16" spans="1:25" s="31" customFormat="1" ht="20.399999999999999">
      <c r="A16" s="293" t="s">
        <v>477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50" t="s">
        <v>265</v>
      </c>
      <c r="T16" s="152">
        <v>0.99224669214287287</v>
      </c>
      <c r="U16" s="152">
        <v>0.5</v>
      </c>
      <c r="V16" s="152">
        <v>0.5</v>
      </c>
      <c r="W16" s="152">
        <v>0.5</v>
      </c>
      <c r="X16" s="152">
        <v>0.5</v>
      </c>
      <c r="Y16" s="152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>
      <c r="A18" s="442" t="s">
        <v>510</v>
      </c>
      <c r="B18" s="442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>
      <c r="A19" s="438" t="s">
        <v>59</v>
      </c>
      <c r="B19" s="440" t="s">
        <v>376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39"/>
      <c r="B20" s="441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>
      <c r="A21" s="171" t="s">
        <v>37</v>
      </c>
      <c r="B21" s="162" t="s">
        <v>375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>
      <c r="A22" s="171" t="s">
        <v>35</v>
      </c>
      <c r="B22" s="162" t="s">
        <v>375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1" t="s">
        <v>34</v>
      </c>
      <c r="B23" s="162" t="s">
        <v>375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>
      <c r="A24" s="171" t="s">
        <v>57</v>
      </c>
      <c r="B24" s="162" t="s">
        <v>375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"/>
      <c r="M24" s="1"/>
      <c r="N24" s="1"/>
      <c r="O24" s="1"/>
      <c r="P24" s="1"/>
      <c r="Q24" s="1"/>
    </row>
    <row r="25" spans="1:25">
      <c r="A25" s="171" t="s">
        <v>38</v>
      </c>
      <c r="B25" s="162" t="s">
        <v>375</v>
      </c>
    </row>
    <row r="26" spans="1:25" ht="14.4" customHeight="1">
      <c r="A26" s="171" t="s">
        <v>58</v>
      </c>
      <c r="B26" s="162" t="s">
        <v>375</v>
      </c>
    </row>
    <row r="27" spans="1:25" s="37" customFormat="1" ht="15" thickBot="1">
      <c r="A27" s="170" t="s">
        <v>39</v>
      </c>
      <c r="B27" s="163" t="s">
        <v>375</v>
      </c>
    </row>
    <row r="28" spans="1:25" s="37" customFormat="1" ht="14.4"/>
    <row r="30" spans="1:25" s="31" customFormat="1" ht="20.399999999999999">
      <c r="A30" s="293" t="s">
        <v>508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>
      <c r="A32" s="461" t="s">
        <v>512</v>
      </c>
      <c r="B32" s="461"/>
    </row>
    <row r="33" spans="1:25">
      <c r="A33" s="405" t="s">
        <v>355</v>
      </c>
      <c r="B33" s="228" t="s">
        <v>511</v>
      </c>
    </row>
    <row r="34" spans="1:25">
      <c r="A34" s="404" t="s">
        <v>243</v>
      </c>
      <c r="B34" s="265">
        <v>0</v>
      </c>
    </row>
    <row r="35" spans="1:25">
      <c r="A35" s="404" t="s">
        <v>369</v>
      </c>
      <c r="B35" s="265">
        <v>0</v>
      </c>
    </row>
    <row r="36" spans="1:25" ht="14.4" thickBot="1">
      <c r="A36" s="134" t="s">
        <v>370</v>
      </c>
      <c r="B36" s="266">
        <v>0</v>
      </c>
    </row>
    <row r="37" spans="1:25" ht="14.4">
      <c r="B37" s="37"/>
    </row>
    <row r="38" spans="1:25" s="37" customFormat="1" ht="14.4"/>
    <row r="39" spans="1:25" s="31" customFormat="1" ht="20.399999999999999">
      <c r="A39" s="293" t="s">
        <v>509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/>
    <row r="41" spans="1:25" s="37" customFormat="1" ht="16.2" thickBot="1">
      <c r="A41" s="456" t="s">
        <v>513</v>
      </c>
      <c r="B41" s="456"/>
    </row>
    <row r="42" spans="1:25" s="37" customFormat="1" ht="14.4">
      <c r="A42" s="215" t="s">
        <v>355</v>
      </c>
      <c r="B42" s="228" t="s">
        <v>433</v>
      </c>
    </row>
    <row r="43" spans="1:25" s="37" customFormat="1" ht="14.4">
      <c r="A43" s="223" t="s">
        <v>243</v>
      </c>
      <c r="B43" s="265">
        <v>0</v>
      </c>
    </row>
    <row r="44" spans="1:25" s="37" customFormat="1" ht="15" thickBot="1">
      <c r="A44" s="134" t="s">
        <v>244</v>
      </c>
      <c r="B44" s="266">
        <v>0</v>
      </c>
    </row>
    <row r="45" spans="1:25" s="37" customFormat="1" ht="14.4"/>
    <row r="46" spans="1:25" s="37" customFormat="1" ht="14.4"/>
    <row r="47" spans="1:25" s="37" customFormat="1" ht="15" customHeight="1">
      <c r="A47" s="348" t="s">
        <v>491</v>
      </c>
      <c r="B47" s="349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>
      <c r="A48" s="348" t="s">
        <v>492</v>
      </c>
      <c r="B48" s="349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91</v>
      </c>
      <c r="E48"/>
      <c r="F48"/>
    </row>
    <row r="49" spans="1:9" ht="14.4">
      <c r="E49"/>
      <c r="F49"/>
    </row>
    <row r="51" spans="1:9" s="37" customFormat="1" ht="20.399999999999999">
      <c r="A51" s="293" t="s">
        <v>534</v>
      </c>
    </row>
    <row r="53" spans="1:9" ht="14.4" thickBot="1"/>
    <row r="54" spans="1:9" ht="14.4" customHeight="1">
      <c r="A54" s="457" t="s">
        <v>225</v>
      </c>
      <c r="B54" s="458"/>
      <c r="C54"/>
      <c r="D54"/>
    </row>
    <row r="55" spans="1:9" ht="14.4">
      <c r="A55" s="229" t="s">
        <v>236</v>
      </c>
      <c r="B55" s="47" t="s">
        <v>457</v>
      </c>
      <c r="H55"/>
      <c r="I55"/>
    </row>
    <row r="56" spans="1:9" ht="14.4">
      <c r="A56" s="245" t="s">
        <v>237</v>
      </c>
      <c r="B56" s="52">
        <f>D89</f>
        <v>742470.54166666663</v>
      </c>
      <c r="H56"/>
      <c r="I56"/>
    </row>
    <row r="57" spans="1:9" ht="14.4">
      <c r="A57" s="245" t="s">
        <v>238</v>
      </c>
      <c r="B57" s="52">
        <f>D101</f>
        <v>3581065</v>
      </c>
      <c r="H57"/>
      <c r="I57"/>
    </row>
    <row r="58" spans="1:9" ht="14.4">
      <c r="A58" s="245" t="s">
        <v>239</v>
      </c>
      <c r="B58" s="52">
        <f>D108</f>
        <v>1672</v>
      </c>
      <c r="H58"/>
      <c r="I58"/>
    </row>
    <row r="59" spans="1:9" ht="14.4">
      <c r="A59" s="245" t="s">
        <v>240</v>
      </c>
      <c r="B59" s="52">
        <f>D123</f>
        <v>742470.54166666663</v>
      </c>
      <c r="H59"/>
      <c r="I59"/>
    </row>
    <row r="60" spans="1:9">
      <c r="A60" s="245" t="s">
        <v>241</v>
      </c>
      <c r="B60" s="52">
        <f>D135</f>
        <v>3581065</v>
      </c>
    </row>
    <row r="61" spans="1:9" ht="14.4" thickBot="1">
      <c r="A61" s="231" t="s">
        <v>61</v>
      </c>
      <c r="B61" s="278">
        <f>SUM(B56:B60)</f>
        <v>8648743.083333334</v>
      </c>
    </row>
    <row r="64" spans="1:9" s="37" customFormat="1" ht="20.399999999999999">
      <c r="A64" s="293" t="s">
        <v>535</v>
      </c>
    </row>
    <row r="65" spans="1:23" ht="14.4" thickBot="1"/>
    <row r="66" spans="1:23">
      <c r="A66" s="457" t="s">
        <v>226</v>
      </c>
      <c r="B66" s="458"/>
    </row>
    <row r="67" spans="1:23">
      <c r="A67" s="229" t="s">
        <v>236</v>
      </c>
      <c r="B67" s="47" t="s">
        <v>458</v>
      </c>
    </row>
    <row r="68" spans="1:23">
      <c r="A68" s="245" t="s">
        <v>237</v>
      </c>
      <c r="B68" s="109">
        <f>E89</f>
        <v>14106940.291666666</v>
      </c>
    </row>
    <row r="69" spans="1:23">
      <c r="A69" s="245" t="s">
        <v>238</v>
      </c>
      <c r="B69" s="109">
        <f>E101</f>
        <v>325876915</v>
      </c>
    </row>
    <row r="70" spans="1:23">
      <c r="A70" s="245" t="s">
        <v>239</v>
      </c>
      <c r="B70" s="109">
        <f>E108</f>
        <v>152152</v>
      </c>
    </row>
    <row r="71" spans="1:23">
      <c r="A71" s="245" t="s">
        <v>240</v>
      </c>
      <c r="B71" s="109">
        <f>E123</f>
        <v>14106940.291666666</v>
      </c>
    </row>
    <row r="72" spans="1:23" ht="14.4" thickBot="1">
      <c r="A72" s="245" t="s">
        <v>241</v>
      </c>
      <c r="B72" s="208">
        <f>E135</f>
        <v>325876915</v>
      </c>
    </row>
    <row r="73" spans="1:23" ht="14.4" thickBot="1">
      <c r="A73" s="231" t="s">
        <v>61</v>
      </c>
      <c r="B73" s="207">
        <f>SUM(B68:B72)</f>
        <v>680119862.58333337</v>
      </c>
    </row>
    <row r="76" spans="1:23" s="32" customFormat="1" ht="20.399999999999999">
      <c r="A76" s="293" t="s">
        <v>536</v>
      </c>
    </row>
    <row r="78" spans="1:23" s="61" customFormat="1">
      <c r="S78" s="160"/>
    </row>
    <row r="79" spans="1:23" ht="16.2" thickBot="1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38" t="str">
        <f>Current!I4</f>
        <v>Use Case</v>
      </c>
      <c r="B80" s="450" t="str">
        <f>Current!J4</f>
        <v>Count</v>
      </c>
      <c r="C80" s="450" t="s">
        <v>62</v>
      </c>
      <c r="D80" s="452" t="s">
        <v>225</v>
      </c>
      <c r="E80" s="454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439"/>
      <c r="B81" s="451"/>
      <c r="C81" s="451"/>
      <c r="D81" s="453"/>
      <c r="E81" s="455"/>
      <c r="F81"/>
      <c r="G81"/>
      <c r="I81"/>
      <c r="J81"/>
      <c r="L81"/>
      <c r="M81" s="1"/>
      <c r="N81" s="1"/>
      <c r="O81" s="1"/>
      <c r="P81" s="1"/>
      <c r="Q81" s="1"/>
      <c r="R81" s="1"/>
      <c r="S81" s="156"/>
      <c r="T81" s="1"/>
      <c r="U81" s="1"/>
      <c r="V81" s="1"/>
      <c r="W81" s="1"/>
    </row>
    <row r="82" spans="1:23" ht="15.6">
      <c r="A82" s="417" t="str">
        <f>Current!I5</f>
        <v>Human Space Flight</v>
      </c>
      <c r="B82" s="360">
        <f>Current!J5</f>
        <v>4</v>
      </c>
      <c r="C82" s="421">
        <f t="shared" ref="C82:C88" si="0">B82/$B$89</f>
        <v>0.08</v>
      </c>
      <c r="D82" s="363">
        <f>IFERROR(IF(B21="Yes",INDEX(Current!L5:L12,MATCH($A82,Current!I5:I12,0))*B82*$U$15,"-"),"-")</f>
        <v>231720.41666666666</v>
      </c>
      <c r="E82" s="392">
        <f>IFERROR(D82*$B$47,"-")</f>
        <v>4402687.916666666</v>
      </c>
      <c r="F82"/>
      <c r="G82"/>
      <c r="I82"/>
      <c r="J82"/>
      <c r="L82"/>
      <c r="M82" s="1"/>
      <c r="N82" s="1"/>
      <c r="O82" s="1"/>
      <c r="P82" s="1"/>
      <c r="Q82" s="1"/>
      <c r="S82" s="157"/>
    </row>
    <row r="83" spans="1:23" ht="15.6">
      <c r="A83" s="417" t="str">
        <f>Current!I6</f>
        <v>Near Earth Robotic - LEO Science</v>
      </c>
      <c r="B83" s="360">
        <f>Current!J6</f>
        <v>34</v>
      </c>
      <c r="C83" s="421">
        <f t="shared" si="0"/>
        <v>0.68</v>
      </c>
      <c r="D83" s="363">
        <f>IFERROR(IF(B22="Yes",INDEX(Current!L6:L13,MATCH($A83,Current!I6:I13,0))*B83*$U$15,"-"),"-")</f>
        <v>329709.59166666667</v>
      </c>
      <c r="E83" s="392">
        <f t="shared" ref="E83:E88" si="1">IFERROR(D83*$B$47,"-")</f>
        <v>6264482.2416666672</v>
      </c>
      <c r="F83"/>
      <c r="G83"/>
      <c r="I83"/>
      <c r="J83"/>
      <c r="L83"/>
      <c r="M83" s="1"/>
      <c r="N83" s="1"/>
      <c r="O83" s="1"/>
      <c r="S83" s="157"/>
    </row>
    <row r="84" spans="1:23" ht="15.6">
      <c r="A84" s="417" t="str">
        <f>Current!I7</f>
        <v>Near Earth Robotic - GEO and Near Earth</v>
      </c>
      <c r="B84" s="360">
        <f>Current!J7</f>
        <v>11</v>
      </c>
      <c r="C84" s="421">
        <f t="shared" si="0"/>
        <v>0.22</v>
      </c>
      <c r="D84" s="363">
        <f>IFERROR(IF(B23="Yes",INDEX(Current!L7:L14,MATCH($A84,Current!I7:I14,0))*B84*$U$15,"-"),"-")</f>
        <v>169759.40833333333</v>
      </c>
      <c r="E84" s="392">
        <f t="shared" si="1"/>
        <v>3225428.7583333333</v>
      </c>
      <c r="F84"/>
      <c r="G84"/>
      <c r="I84"/>
      <c r="J84"/>
      <c r="L84"/>
      <c r="M84" s="1"/>
      <c r="N84" s="1"/>
      <c r="O84" s="1"/>
      <c r="S84" s="157"/>
    </row>
    <row r="85" spans="1:23" ht="15.6">
      <c r="A85" s="417" t="str">
        <f>Current!I8</f>
        <v>Deep Space Robotic</v>
      </c>
      <c r="B85" s="360">
        <f>Current!J8</f>
        <v>0</v>
      </c>
      <c r="C85" s="421">
        <f t="shared" si="0"/>
        <v>0</v>
      </c>
      <c r="D85" s="363" t="str">
        <f>IFERROR(IF(B24="Yes",INDEX(Current!L8:L15,MATCH($A85,Current!I8:I15,0))*B85*$U$15,"-"),"-")</f>
        <v>-</v>
      </c>
      <c r="E85" s="392" t="str">
        <f t="shared" si="1"/>
        <v>-</v>
      </c>
      <c r="F85"/>
      <c r="G85"/>
      <c r="I85"/>
      <c r="J85"/>
      <c r="L85"/>
      <c r="M85" s="1"/>
      <c r="N85" s="1"/>
      <c r="O85" s="1"/>
      <c r="S85" s="157"/>
    </row>
    <row r="86" spans="1:23" ht="15.6">
      <c r="A86" s="417" t="str">
        <f>Current!I9</f>
        <v>Near Earth Robotic - Low Latency &amp; Complex Needs</v>
      </c>
      <c r="B86" s="360">
        <f>Current!J9</f>
        <v>1</v>
      </c>
      <c r="C86" s="421">
        <f t="shared" si="0"/>
        <v>0.02</v>
      </c>
      <c r="D86" s="363">
        <f>IFERROR(IF(B25="Yes",INDEX(Current!L9:L16,MATCH($A86,Current!I9:I16,0))*B86*$U$15,"-"),"-")</f>
        <v>11281.125000000005</v>
      </c>
      <c r="E86" s="392">
        <f t="shared" si="1"/>
        <v>214341.37500000012</v>
      </c>
      <c r="F86"/>
      <c r="G86"/>
      <c r="I86"/>
      <c r="J86"/>
      <c r="L86"/>
      <c r="M86" s="1"/>
      <c r="N86" s="1"/>
      <c r="O86" s="1"/>
      <c r="S86" s="157"/>
    </row>
    <row r="87" spans="1:23" ht="15.6">
      <c r="A87" s="417" t="str">
        <f>Current!I10</f>
        <v>Mission Operations</v>
      </c>
      <c r="B87" s="360">
        <f>Current!J10</f>
        <v>0</v>
      </c>
      <c r="C87" s="421">
        <f t="shared" si="0"/>
        <v>0</v>
      </c>
      <c r="D87" s="363" t="str">
        <f>IFERROR(IF(B26="Yes",INDEX(Current!L10:L17,MATCH($A87,Current!I10:I17,0))*B87*$U$15,"-"),"-")</f>
        <v>-</v>
      </c>
      <c r="E87" s="392" t="str">
        <f t="shared" si="1"/>
        <v>-</v>
      </c>
      <c r="F87"/>
      <c r="G87"/>
      <c r="I87"/>
      <c r="J87"/>
      <c r="L87"/>
      <c r="M87" s="1"/>
      <c r="N87" s="1"/>
      <c r="O87" s="1"/>
      <c r="S87" s="157"/>
    </row>
    <row r="88" spans="1:23" ht="15.6">
      <c r="A88" s="417" t="str">
        <f>Current!I12</f>
        <v>Terrestrial &amp; Aerial</v>
      </c>
      <c r="B88" s="360">
        <f>Current!J12</f>
        <v>0</v>
      </c>
      <c r="C88" s="421">
        <f t="shared" si="0"/>
        <v>0</v>
      </c>
      <c r="D88" s="363" t="str">
        <f>IFERROR(IF(B27="Yes",INDEX(Current!L11:L18,MATCH($A88,Current!I11:I18,0))*B88*$U$15,"-"),"-")</f>
        <v>-</v>
      </c>
      <c r="E88" s="392" t="str">
        <f t="shared" si="1"/>
        <v>-</v>
      </c>
      <c r="F88"/>
      <c r="G88"/>
      <c r="I88"/>
      <c r="J88"/>
      <c r="L88"/>
      <c r="M88" s="1"/>
      <c r="N88" s="1"/>
      <c r="O88" s="1"/>
    </row>
    <row r="89" spans="1:23" ht="14.4" customHeight="1" thickBot="1">
      <c r="A89" s="419" t="s">
        <v>223</v>
      </c>
      <c r="B89" s="361">
        <f>SUM(B82:B87,B88)</f>
        <v>50</v>
      </c>
      <c r="C89" s="422">
        <f t="shared" ref="C89" si="2">SUM(C82:C88)</f>
        <v>1</v>
      </c>
      <c r="D89" s="362">
        <f>SUM(D82:D88)</f>
        <v>742470.54166666663</v>
      </c>
      <c r="E89" s="393">
        <f>SUM(E82:E88)</f>
        <v>14106940.291666666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9" t="s">
        <v>229</v>
      </c>
    </row>
    <row r="92" spans="1:23" ht="14.4" customHeight="1">
      <c r="A92" s="448" t="str">
        <f>Current!V4</f>
        <v>Use Case</v>
      </c>
      <c r="B92" s="459" t="str">
        <f>Current!W4</f>
        <v>Count</v>
      </c>
      <c r="C92" s="450" t="str">
        <f>Current!X4</f>
        <v>Share</v>
      </c>
      <c r="D92" s="452" t="s">
        <v>225</v>
      </c>
      <c r="E92" s="454" t="s">
        <v>227</v>
      </c>
      <c r="F92"/>
      <c r="G92"/>
      <c r="I92"/>
      <c r="J92"/>
      <c r="L92"/>
      <c r="M92" s="1"/>
      <c r="N92" s="1"/>
      <c r="O92" s="1"/>
    </row>
    <row r="93" spans="1:23" ht="14.4">
      <c r="A93" s="449"/>
      <c r="B93" s="460"/>
      <c r="C93" s="451"/>
      <c r="D93" s="453"/>
      <c r="E93" s="455"/>
      <c r="F93"/>
      <c r="G93"/>
      <c r="I93"/>
      <c r="J93"/>
      <c r="L93"/>
      <c r="M93" s="1"/>
      <c r="N93" s="1"/>
      <c r="O93" s="1"/>
    </row>
    <row r="94" spans="1:23" ht="15.6">
      <c r="A94" s="39" t="str">
        <f>Current!V5</f>
        <v>Human Space Flight</v>
      </c>
      <c r="B94" s="360">
        <f>Current!W5</f>
        <v>14</v>
      </c>
      <c r="C94" s="421">
        <f t="shared" ref="C94:C100" si="3">B94/$B$101</f>
        <v>0.2153846153846154</v>
      </c>
      <c r="D94" s="363">
        <f>IFERROR(IF(B21="Yes",INDEX(Current!Y5:Y12,MATCH($A94,Current!V5:V12,0))*B94*$U$15,"-"),"-")</f>
        <v>1246305</v>
      </c>
      <c r="E94" s="392">
        <f t="shared" ref="E94:E100" si="4">IFERROR(D94*$B$48,"-")</f>
        <v>113413755</v>
      </c>
      <c r="F94"/>
      <c r="G94"/>
      <c r="I94"/>
      <c r="J94"/>
      <c r="L94"/>
      <c r="M94" s="1"/>
      <c r="N94" s="1"/>
      <c r="O94" s="1"/>
    </row>
    <row r="95" spans="1:23" ht="15.6">
      <c r="A95" s="39" t="str">
        <f>Current!V6</f>
        <v>Near Earth Robotic - LEO Science</v>
      </c>
      <c r="B95" s="360">
        <f>Current!W6</f>
        <v>29</v>
      </c>
      <c r="C95" s="421">
        <f t="shared" si="3"/>
        <v>0.44615384615384618</v>
      </c>
      <c r="D95" s="363">
        <f>IFERROR(IF(B22="Yes",INDEX(Current!Y6:Y13,MATCH($A95,Current!V6:V13,0))*B95*$U$15,"-"),"-")</f>
        <v>2200085</v>
      </c>
      <c r="E95" s="392">
        <f t="shared" si="4"/>
        <v>200207735</v>
      </c>
      <c r="F95"/>
      <c r="G95"/>
      <c r="I95"/>
      <c r="J95"/>
      <c r="L95"/>
      <c r="M95" s="1"/>
      <c r="N95" s="1"/>
      <c r="O95" s="1"/>
    </row>
    <row r="96" spans="1:23" ht="15.6">
      <c r="A96" s="39" t="str">
        <f>Current!V7</f>
        <v>Near Earth Robotic - GEO and Near Earth</v>
      </c>
      <c r="B96" s="360">
        <f>Current!W7</f>
        <v>4</v>
      </c>
      <c r="C96" s="421">
        <f t="shared" si="3"/>
        <v>6.1538461538461542E-2</v>
      </c>
      <c r="D96" s="363">
        <f>IFERROR(IF(B23="Yes",INDEX(Current!Y7:Y14,MATCH($A96,Current!V7:V14,0))*B96*$U$15,"-"),"-")</f>
        <v>218.5</v>
      </c>
      <c r="E96" s="392">
        <f t="shared" si="4"/>
        <v>19883.5</v>
      </c>
      <c r="F96"/>
      <c r="G96"/>
      <c r="I96"/>
      <c r="J96"/>
      <c r="L96"/>
      <c r="M96" s="1"/>
      <c r="N96" s="1"/>
      <c r="O96" s="1"/>
    </row>
    <row r="97" spans="1:19" ht="15.6">
      <c r="A97" s="39" t="str">
        <f>Current!V8</f>
        <v>Deep Space Robotic</v>
      </c>
      <c r="B97" s="360">
        <f>Current!W8</f>
        <v>1</v>
      </c>
      <c r="C97" s="421">
        <f t="shared" si="3"/>
        <v>1.5384615384615385E-2</v>
      </c>
      <c r="D97" s="363">
        <f>IFERROR(IF(B24="Yes",INDEX(Current!Y8:Y15,MATCH($A97,Current!V8:V15,0))*B97*$U$15,"-"),"-")</f>
        <v>286</v>
      </c>
      <c r="E97" s="392">
        <f t="shared" si="4"/>
        <v>26026</v>
      </c>
      <c r="F97"/>
      <c r="G97"/>
      <c r="I97"/>
      <c r="J97"/>
      <c r="L97"/>
      <c r="M97" s="1"/>
      <c r="N97" s="1"/>
      <c r="O97" s="1"/>
    </row>
    <row r="98" spans="1:19" ht="15.6">
      <c r="A98" s="39" t="str">
        <f>Current!V9</f>
        <v>Near Earth Robotic - Low Latency &amp; Complex Needs</v>
      </c>
      <c r="B98" s="360">
        <f>Current!W9</f>
        <v>2</v>
      </c>
      <c r="C98" s="421">
        <f t="shared" si="3"/>
        <v>3.0769230769230771E-2</v>
      </c>
      <c r="D98" s="363">
        <f>IFERROR(IF(B25="Yes",INDEX(Current!Y9:Y16,MATCH($A98,Current!V9:V16,0))*B98*$U$15,"-"),"-")</f>
        <v>4094</v>
      </c>
      <c r="E98" s="392">
        <f t="shared" si="4"/>
        <v>372554</v>
      </c>
      <c r="F98"/>
      <c r="G98"/>
      <c r="I98"/>
      <c r="J98"/>
      <c r="L98"/>
      <c r="M98" s="1"/>
      <c r="N98" s="1"/>
      <c r="O98" s="1"/>
    </row>
    <row r="99" spans="1:19" ht="15.6">
      <c r="A99" s="39" t="str">
        <f>Current!V10</f>
        <v>Mission Operations</v>
      </c>
      <c r="B99" s="360">
        <f>Current!W10</f>
        <v>0</v>
      </c>
      <c r="C99" s="421">
        <f t="shared" si="3"/>
        <v>0</v>
      </c>
      <c r="D99" s="363" t="str">
        <f>IFERROR(IF(B26="Yes",INDEX(Current!Y10:Y17,MATCH($A99,Current!V10:V17,0))*B99*$U$15,"-"),"-")</f>
        <v>-</v>
      </c>
      <c r="E99" s="392" t="str">
        <f t="shared" si="4"/>
        <v>-</v>
      </c>
      <c r="F99"/>
      <c r="G99"/>
      <c r="I99"/>
      <c r="J99"/>
      <c r="L99"/>
      <c r="M99" s="1"/>
      <c r="N99" s="1"/>
      <c r="O99" s="1"/>
    </row>
    <row r="100" spans="1:19" ht="15.6">
      <c r="A100" s="39" t="str">
        <f>Current!V12</f>
        <v>Terrestrial &amp; Aerial</v>
      </c>
      <c r="B100" s="360">
        <f>Current!W12</f>
        <v>15</v>
      </c>
      <c r="C100" s="421">
        <f t="shared" si="3"/>
        <v>0.23076923076923078</v>
      </c>
      <c r="D100" s="363">
        <f>IFERROR(IF(B27="Yes",INDEX(Current!Y11:Y18,MATCH($A100,Current!V11:V18,0))*B100*$U$15,"-"),"-")</f>
        <v>130076.5</v>
      </c>
      <c r="E100" s="392">
        <f t="shared" si="4"/>
        <v>11836961.5</v>
      </c>
      <c r="F100"/>
      <c r="G100"/>
      <c r="I100"/>
      <c r="J100"/>
      <c r="L100"/>
      <c r="M100" s="1"/>
      <c r="N100" s="1"/>
      <c r="O100" s="1"/>
    </row>
    <row r="101" spans="1:19" ht="16.2" thickBot="1">
      <c r="A101" s="38" t="s">
        <v>223</v>
      </c>
      <c r="B101" s="361">
        <f>SUM(B94:B99,B100)</f>
        <v>65</v>
      </c>
      <c r="C101" s="422">
        <f t="shared" ref="C101" si="5">SUM(C94:C100)</f>
        <v>1</v>
      </c>
      <c r="D101" s="362">
        <f>SUM(D94:D100)</f>
        <v>3581065</v>
      </c>
      <c r="E101" s="393">
        <f>SUM(E94:E100)</f>
        <v>325876915</v>
      </c>
      <c r="F101"/>
      <c r="G101"/>
      <c r="I101"/>
      <c r="J101"/>
      <c r="L101"/>
      <c r="M101" s="1"/>
      <c r="N101" s="1"/>
      <c r="O101" s="1"/>
    </row>
    <row r="102" spans="1:19">
      <c r="J102" s="155"/>
    </row>
    <row r="103" spans="1:19" ht="16.2" thickBot="1">
      <c r="A103" s="49" t="s">
        <v>230</v>
      </c>
    </row>
    <row r="104" spans="1:19" ht="14.4">
      <c r="A104" s="438" t="s">
        <v>59</v>
      </c>
      <c r="B104" s="459" t="s">
        <v>60</v>
      </c>
      <c r="C104" s="450" t="s">
        <v>62</v>
      </c>
      <c r="D104" s="452" t="s">
        <v>225</v>
      </c>
      <c r="E104" s="454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439"/>
      <c r="B105" s="460"/>
      <c r="C105" s="451"/>
      <c r="D105" s="453"/>
      <c r="E105" s="455"/>
      <c r="F105"/>
      <c r="G105"/>
      <c r="I105"/>
      <c r="J105"/>
      <c r="L105"/>
      <c r="M105" s="1"/>
      <c r="N105" s="1"/>
      <c r="O105" s="1"/>
    </row>
    <row r="106" spans="1:19" ht="15.6">
      <c r="A106" s="39" t="s">
        <v>220</v>
      </c>
      <c r="B106" s="360">
        <f>Current!J11</f>
        <v>0</v>
      </c>
      <c r="C106" s="421">
        <f>B106/$B$108</f>
        <v>0</v>
      </c>
      <c r="D106" s="363" t="str">
        <f>IFERROR(Current!Y10*B106*U14,"-")</f>
        <v>-</v>
      </c>
      <c r="E106" s="392" t="str">
        <f>IFERROR(D106*$B$48,"-")</f>
        <v>-</v>
      </c>
      <c r="F106"/>
      <c r="G106"/>
      <c r="I106"/>
      <c r="J106"/>
      <c r="L106"/>
      <c r="M106" s="1"/>
      <c r="N106" s="1"/>
      <c r="O106" s="1"/>
    </row>
    <row r="107" spans="1:19" ht="15.6">
      <c r="A107" s="39" t="s">
        <v>221</v>
      </c>
      <c r="B107" s="358">
        <f>Current!W11</f>
        <v>2</v>
      </c>
      <c r="C107" s="421">
        <f>B107/$B$108</f>
        <v>1</v>
      </c>
      <c r="D107" s="363">
        <f>IFERROR(Current!Y11*B107*U15,"-")</f>
        <v>1672</v>
      </c>
      <c r="E107" s="392">
        <f>IFERROR(D107*$B$48,"-")</f>
        <v>152152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8" t="s">
        <v>61</v>
      </c>
      <c r="B108" s="361">
        <f>SUM(B106:B107)</f>
        <v>2</v>
      </c>
      <c r="C108" s="422">
        <f>SUM(C106:C107)</f>
        <v>1</v>
      </c>
      <c r="D108" s="364">
        <f>SUM(D106:D107)</f>
        <v>1672</v>
      </c>
      <c r="E108" s="425">
        <f>SUM(E106:E107)</f>
        <v>152152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8"/>
      <c r="C109" s="157"/>
      <c r="D109" s="159"/>
      <c r="E109" s="159"/>
      <c r="F109" s="37"/>
      <c r="G109" s="37"/>
      <c r="I109" s="37"/>
      <c r="J109" s="37"/>
      <c r="L109" s="37"/>
      <c r="M109" s="1"/>
      <c r="N109" s="1"/>
      <c r="O109" s="1"/>
    </row>
    <row r="110" spans="1:19">
      <c r="A110" s="45"/>
      <c r="B110" s="158"/>
      <c r="C110" s="157"/>
      <c r="D110" s="159"/>
      <c r="E110" s="159"/>
      <c r="F110" s="159"/>
    </row>
    <row r="111" spans="1:19" s="61" customFormat="1">
      <c r="A111" s="343"/>
      <c r="B111" s="344"/>
      <c r="C111" s="345"/>
      <c r="D111" s="346"/>
      <c r="E111" s="346"/>
      <c r="F111" s="346"/>
      <c r="S111" s="160"/>
    </row>
    <row r="112" spans="1:19" s="32" customFormat="1"/>
    <row r="113" spans="1:15" ht="14.4" thickBot="1">
      <c r="A113" s="60" t="s">
        <v>231</v>
      </c>
    </row>
    <row r="114" spans="1:15" ht="14.4" customHeight="1">
      <c r="A114" s="448" t="str">
        <f>Current!I4</f>
        <v>Use Case</v>
      </c>
      <c r="B114" s="468" t="str">
        <f>Current!J4</f>
        <v>Count</v>
      </c>
      <c r="C114" s="468" t="str">
        <f>Current!K4</f>
        <v>Share</v>
      </c>
      <c r="D114" s="452" t="s">
        <v>225</v>
      </c>
      <c r="E114" s="454" t="s">
        <v>227</v>
      </c>
      <c r="F114"/>
      <c r="G114"/>
      <c r="I114"/>
      <c r="J114"/>
      <c r="L114"/>
      <c r="M114" s="1"/>
      <c r="N114" s="1"/>
      <c r="O114" s="1"/>
    </row>
    <row r="115" spans="1:15" ht="14.4">
      <c r="A115" s="449"/>
      <c r="B115" s="469"/>
      <c r="C115" s="469"/>
      <c r="D115" s="453"/>
      <c r="E115" s="455"/>
      <c r="F115"/>
      <c r="G115"/>
      <c r="I115"/>
      <c r="J115"/>
      <c r="L115"/>
      <c r="M115" s="1"/>
      <c r="N115" s="1"/>
      <c r="O115" s="1"/>
    </row>
    <row r="116" spans="1:15" ht="15.6">
      <c r="A116" s="39" t="str">
        <f>Current!I5</f>
        <v>Human Space Flight</v>
      </c>
      <c r="B116" s="358">
        <f>Current!J5</f>
        <v>4</v>
      </c>
      <c r="C116" s="421">
        <f t="shared" ref="C116:C122" si="6">B116/$B$123</f>
        <v>0.08</v>
      </c>
      <c r="D116" s="363">
        <f>IFERROR(IF(B21="Yes",INDEX(Current!L5:L12,MATCH($A82,Current!I5:I12,0))*B116*$U$16,"-"),"-")</f>
        <v>231720.41666666666</v>
      </c>
      <c r="E116" s="392">
        <f t="shared" ref="E116:E122" si="7">IFERROR(D116*$B$47,"-")</f>
        <v>4402687.916666666</v>
      </c>
      <c r="F116"/>
      <c r="G116"/>
      <c r="I116"/>
      <c r="J116"/>
      <c r="L116"/>
      <c r="M116" s="1"/>
      <c r="N116" s="1"/>
      <c r="O116" s="1"/>
    </row>
    <row r="117" spans="1:15" ht="15.6">
      <c r="A117" s="39" t="str">
        <f>Current!I6</f>
        <v>Near Earth Robotic - LEO Science</v>
      </c>
      <c r="B117" s="358">
        <f>Current!J6</f>
        <v>34</v>
      </c>
      <c r="C117" s="421">
        <f t="shared" si="6"/>
        <v>0.68</v>
      </c>
      <c r="D117" s="363">
        <f>IFERROR(IF(B22="Yes",INDEX(Current!L6:L13,MATCH($A83,Current!I6:I13,0))*B117*$U$16,"-"),"-")</f>
        <v>329709.59166666667</v>
      </c>
      <c r="E117" s="392">
        <f t="shared" si="7"/>
        <v>6264482.2416666672</v>
      </c>
      <c r="F117"/>
      <c r="G117"/>
      <c r="I117"/>
      <c r="J117"/>
      <c r="L117"/>
      <c r="M117" s="1"/>
      <c r="N117" s="1"/>
      <c r="O117" s="1"/>
    </row>
    <row r="118" spans="1:15" ht="15.6">
      <c r="A118" s="39" t="str">
        <f>Current!I7</f>
        <v>Near Earth Robotic - GEO and Near Earth</v>
      </c>
      <c r="B118" s="358">
        <f>Current!J7</f>
        <v>11</v>
      </c>
      <c r="C118" s="421">
        <f t="shared" si="6"/>
        <v>0.22</v>
      </c>
      <c r="D118" s="363">
        <f>IFERROR(IF(B23="Yes",INDEX(Current!L7:L14,MATCH($A84,Current!I7:I14,0))*B118*$U$16,"-"),"-")</f>
        <v>169759.40833333333</v>
      </c>
      <c r="E118" s="392">
        <f t="shared" si="7"/>
        <v>3225428.7583333333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9" t="str">
        <f>Current!I8</f>
        <v>Deep Space Robotic</v>
      </c>
      <c r="B119" s="358">
        <f>Current!J8</f>
        <v>0</v>
      </c>
      <c r="C119" s="421">
        <f t="shared" si="6"/>
        <v>0</v>
      </c>
      <c r="D119" s="363" t="str">
        <f>IFERROR(IF(B24="Yes",INDEX(Current!L8:L15,MATCH($A85,Current!I8:I15,0))*B119*$U$16,"-"),"-")</f>
        <v>-</v>
      </c>
      <c r="E119" s="392" t="str">
        <f t="shared" si="7"/>
        <v>-</v>
      </c>
      <c r="F119"/>
      <c r="G119"/>
      <c r="I119"/>
      <c r="J119"/>
      <c r="L119"/>
      <c r="M119" s="1"/>
      <c r="N119" s="1"/>
      <c r="O119" s="1"/>
    </row>
    <row r="120" spans="1:15" ht="15.6">
      <c r="A120" s="39" t="str">
        <f>Current!I9</f>
        <v>Near Earth Robotic - Low Latency &amp; Complex Needs</v>
      </c>
      <c r="B120" s="358">
        <f>Current!J9</f>
        <v>1</v>
      </c>
      <c r="C120" s="421">
        <f t="shared" si="6"/>
        <v>0.02</v>
      </c>
      <c r="D120" s="363">
        <f>IFERROR(IF(B25="Yes",INDEX(Current!L9:L16,MATCH($A86,Current!I9:I16,0))*B120*$U$16,"-"),"-")</f>
        <v>11281.125000000005</v>
      </c>
      <c r="E120" s="392">
        <f t="shared" si="7"/>
        <v>214341.37500000012</v>
      </c>
      <c r="F120"/>
      <c r="G120"/>
      <c r="I120"/>
      <c r="J120"/>
      <c r="L120"/>
      <c r="M120" s="1"/>
      <c r="N120" s="1"/>
      <c r="O120" s="1"/>
    </row>
    <row r="121" spans="1:15" ht="15.6">
      <c r="A121" s="39" t="str">
        <f>Current!I10</f>
        <v>Mission Operations</v>
      </c>
      <c r="B121" s="358">
        <f>Current!J10</f>
        <v>0</v>
      </c>
      <c r="C121" s="421">
        <f t="shared" si="6"/>
        <v>0</v>
      </c>
      <c r="D121" s="363" t="str">
        <f>IFERROR(IF(B26="Yes",INDEX(Current!L10:L17,MATCH($A87,Current!I10:I17,0))*B121*$U$16,"-"),"-")</f>
        <v>-</v>
      </c>
      <c r="E121" s="392" t="str">
        <f t="shared" si="7"/>
        <v>-</v>
      </c>
      <c r="F121"/>
      <c r="G121"/>
      <c r="I121"/>
      <c r="J121"/>
      <c r="L121"/>
      <c r="M121" s="1"/>
      <c r="N121" s="1"/>
      <c r="O121" s="1"/>
    </row>
    <row r="122" spans="1:15" ht="15.6">
      <c r="A122" s="39" t="str">
        <f>Current!I12</f>
        <v>Terrestrial &amp; Aerial</v>
      </c>
      <c r="B122" s="358">
        <f>Current!J12</f>
        <v>0</v>
      </c>
      <c r="C122" s="421">
        <f t="shared" si="6"/>
        <v>0</v>
      </c>
      <c r="D122" s="363" t="str">
        <f>IFERROR(IF(B27="Yes",INDEX(Current!L11:L18,MATCH($A88,Current!I11:I18,0))*B122*$U$16,"-"),"-")</f>
        <v>-</v>
      </c>
      <c r="E122" s="392" t="str">
        <f t="shared" si="7"/>
        <v>-</v>
      </c>
      <c r="F122"/>
      <c r="G122"/>
      <c r="I122"/>
      <c r="J122"/>
      <c r="L122"/>
      <c r="M122" s="1"/>
      <c r="N122" s="1"/>
      <c r="O122" s="1"/>
    </row>
    <row r="123" spans="1:15" ht="16.2" thickBot="1">
      <c r="A123" s="419" t="s">
        <v>219</v>
      </c>
      <c r="B123" s="361">
        <f>SUM(B116:B121,B122)</f>
        <v>50</v>
      </c>
      <c r="C123" s="422">
        <f t="shared" ref="C123" si="8">SUM(C116:C122)</f>
        <v>1</v>
      </c>
      <c r="D123" s="362">
        <f>SUM(D116:D122)</f>
        <v>742470.54166666663</v>
      </c>
      <c r="E123" s="393">
        <f>SUM(E116:E122)</f>
        <v>14106940.291666666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60" t="s">
        <v>232</v>
      </c>
    </row>
    <row r="126" spans="1:15" ht="14.4">
      <c r="A126" s="466" t="str">
        <f>Current!I4</f>
        <v>Use Case</v>
      </c>
      <c r="B126" s="464" t="str">
        <f>Current!J4</f>
        <v>Count</v>
      </c>
      <c r="C126" s="464" t="str">
        <f>Current!K4</f>
        <v>Share</v>
      </c>
      <c r="D126" s="452" t="s">
        <v>225</v>
      </c>
      <c r="E126" s="454" t="s">
        <v>227</v>
      </c>
      <c r="F126"/>
      <c r="G126"/>
      <c r="I126"/>
      <c r="J126"/>
      <c r="L126"/>
      <c r="M126" s="1"/>
      <c r="N126" s="1"/>
      <c r="O126" s="1"/>
    </row>
    <row r="127" spans="1:15" ht="14.4">
      <c r="A127" s="467"/>
      <c r="B127" s="465"/>
      <c r="C127" s="465"/>
      <c r="D127" s="453"/>
      <c r="E127" s="455"/>
      <c r="F127"/>
      <c r="G127"/>
      <c r="I127"/>
      <c r="J127"/>
      <c r="L127"/>
      <c r="M127" s="1"/>
      <c r="N127" s="1"/>
      <c r="O127" s="1"/>
    </row>
    <row r="128" spans="1:15" ht="15.6">
      <c r="A128" s="39" t="str">
        <f>Current!I5</f>
        <v>Human Space Flight</v>
      </c>
      <c r="B128" s="360">
        <f>Current!W5</f>
        <v>14</v>
      </c>
      <c r="C128" s="421">
        <f t="shared" ref="C128:C134" si="9">B128/$B$101</f>
        <v>0.2153846153846154</v>
      </c>
      <c r="D128" s="363">
        <f>IFERROR(IF(B21="Yes",INDEX(Current!Y5:Y12,MATCH($A94,Current!V5:V12,0))*B128*$U$16,"-"),"-")</f>
        <v>1246305</v>
      </c>
      <c r="E128" s="392">
        <f t="shared" ref="E128:E134" si="10">IFERROR(D128*$B$48,"-")</f>
        <v>113413755</v>
      </c>
      <c r="F128"/>
      <c r="G128"/>
      <c r="I128"/>
      <c r="J128"/>
      <c r="L128"/>
      <c r="M128" s="1"/>
      <c r="N128" s="1"/>
      <c r="O128" s="1"/>
    </row>
    <row r="129" spans="1:15" ht="15.6">
      <c r="A129" s="39" t="str">
        <f>Current!I6</f>
        <v>Near Earth Robotic - LEO Science</v>
      </c>
      <c r="B129" s="360">
        <f>Current!W6</f>
        <v>29</v>
      </c>
      <c r="C129" s="421">
        <f t="shared" si="9"/>
        <v>0.44615384615384618</v>
      </c>
      <c r="D129" s="363">
        <f>IFERROR(IF(B22="Yes",INDEX(Current!Y6:Y13,MATCH($A95,Current!V6:V13,0))*B129*$U$16,"-"),"-")</f>
        <v>2200085</v>
      </c>
      <c r="E129" s="392">
        <f t="shared" si="10"/>
        <v>200207735</v>
      </c>
      <c r="F129"/>
      <c r="G129"/>
      <c r="I129"/>
      <c r="J129"/>
      <c r="L129"/>
      <c r="M129" s="1"/>
      <c r="N129" s="1"/>
      <c r="O129" s="1"/>
    </row>
    <row r="130" spans="1:15" ht="15.6">
      <c r="A130" s="39" t="str">
        <f>Current!I7</f>
        <v>Near Earth Robotic - GEO and Near Earth</v>
      </c>
      <c r="B130" s="360">
        <f>Current!W7</f>
        <v>4</v>
      </c>
      <c r="C130" s="421">
        <f t="shared" si="9"/>
        <v>6.1538461538461542E-2</v>
      </c>
      <c r="D130" s="363">
        <f>IFERROR(IF(B23="Yes",INDEX(Current!Y7:Y14,MATCH($A96,Current!V7:V14,0))*B130*$U$16,"-"),"-")</f>
        <v>218.5</v>
      </c>
      <c r="E130" s="392">
        <f t="shared" si="10"/>
        <v>19883.5</v>
      </c>
      <c r="F130"/>
      <c r="G130"/>
      <c r="I130"/>
      <c r="J130"/>
      <c r="L130"/>
      <c r="M130" s="1"/>
      <c r="N130" s="1"/>
      <c r="O130" s="1"/>
    </row>
    <row r="131" spans="1:15" ht="15.6">
      <c r="A131" s="39" t="str">
        <f>Current!I8</f>
        <v>Deep Space Robotic</v>
      </c>
      <c r="B131" s="360">
        <f>Current!W8</f>
        <v>1</v>
      </c>
      <c r="C131" s="421">
        <f t="shared" si="9"/>
        <v>1.5384615384615385E-2</v>
      </c>
      <c r="D131" s="363">
        <f>IFERROR(IF(B24="Yes",INDEX(Current!Y8:Y15,MATCH($A97,Current!V8:V15,0))*B131*$U$16,"-"),"-")</f>
        <v>286</v>
      </c>
      <c r="E131" s="392">
        <f t="shared" si="10"/>
        <v>26026</v>
      </c>
      <c r="F131"/>
      <c r="G131"/>
      <c r="I131"/>
      <c r="J131"/>
      <c r="L131"/>
      <c r="M131" s="1"/>
      <c r="N131" s="1"/>
      <c r="O131" s="1"/>
    </row>
    <row r="132" spans="1:15" ht="15.6">
      <c r="A132" s="39" t="str">
        <f>Current!I9</f>
        <v>Near Earth Robotic - Low Latency &amp; Complex Needs</v>
      </c>
      <c r="B132" s="360">
        <f>Current!W9</f>
        <v>2</v>
      </c>
      <c r="C132" s="421">
        <f t="shared" si="9"/>
        <v>3.0769230769230771E-2</v>
      </c>
      <c r="D132" s="363">
        <f>IFERROR(IF(B25="Yes",INDEX(Current!Y9:Y16,MATCH($A98,Current!V9:V16,0))*B132*$U$16,"-"),"-")</f>
        <v>4094</v>
      </c>
      <c r="E132" s="392">
        <f t="shared" si="10"/>
        <v>372554</v>
      </c>
      <c r="F132"/>
      <c r="G132"/>
      <c r="I132"/>
      <c r="J132"/>
      <c r="L132"/>
      <c r="M132" s="1"/>
      <c r="N132" s="1"/>
      <c r="O132" s="1"/>
    </row>
    <row r="133" spans="1:15" ht="15.6">
      <c r="A133" s="39" t="str">
        <f>Current!I10</f>
        <v>Mission Operations</v>
      </c>
      <c r="B133" s="360">
        <f>Current!W10</f>
        <v>0</v>
      </c>
      <c r="C133" s="421">
        <f t="shared" si="9"/>
        <v>0</v>
      </c>
      <c r="D133" s="363" t="str">
        <f>IFERROR(IF(B26="Yes",INDEX(Current!Y10:Y17,MATCH($A99,Current!V10:V17,0))*B133*$U$16,"-"),"-")</f>
        <v>-</v>
      </c>
      <c r="E133" s="392" t="str">
        <f t="shared" si="10"/>
        <v>-</v>
      </c>
      <c r="F133"/>
      <c r="G133"/>
      <c r="I133"/>
      <c r="J133"/>
      <c r="L133"/>
      <c r="M133" s="1"/>
      <c r="N133" s="1"/>
      <c r="O133" s="1"/>
    </row>
    <row r="134" spans="1:15" ht="15.6">
      <c r="A134" s="39" t="str">
        <f>Current!I12</f>
        <v>Terrestrial &amp; Aerial</v>
      </c>
      <c r="B134" s="360">
        <f>Current!W12</f>
        <v>15</v>
      </c>
      <c r="C134" s="421">
        <f t="shared" si="9"/>
        <v>0.23076923076923078</v>
      </c>
      <c r="D134" s="363">
        <f>IFERROR(IF(B27="Yes",INDEX(Current!Y11:Y18,MATCH($A100,Current!V11:V18,0))*B134*$U$16,"-"),"-")</f>
        <v>130076.5</v>
      </c>
      <c r="E134" s="392">
        <f t="shared" si="10"/>
        <v>11836961.5</v>
      </c>
      <c r="F134"/>
      <c r="G134"/>
      <c r="I134"/>
      <c r="J134"/>
      <c r="L134"/>
      <c r="M134" s="1"/>
      <c r="N134" s="1"/>
      <c r="O134" s="1"/>
    </row>
    <row r="135" spans="1:15" ht="16.2" thickBot="1">
      <c r="A135" s="38" t="s">
        <v>219</v>
      </c>
      <c r="B135" s="361">
        <f>SUM(B128:B133,B134)</f>
        <v>65</v>
      </c>
      <c r="C135" s="422">
        <f t="shared" ref="C135" si="11">SUM(C128:C134)</f>
        <v>1</v>
      </c>
      <c r="D135" s="362">
        <f>SUM(D128:D134)</f>
        <v>3581065</v>
      </c>
      <c r="E135" s="393">
        <f>SUM(E128:E134)</f>
        <v>325876915</v>
      </c>
      <c r="F135"/>
      <c r="G135"/>
      <c r="I135"/>
      <c r="J135"/>
      <c r="L135"/>
      <c r="M135" s="1"/>
      <c r="N135" s="1"/>
      <c r="O135" s="1"/>
    </row>
    <row r="138" spans="1:15">
      <c r="A138" s="57" t="s">
        <v>459</v>
      </c>
    </row>
    <row r="139" spans="1:15">
      <c r="A139" s="57" t="s">
        <v>496</v>
      </c>
    </row>
    <row r="140" spans="1:15" ht="14.4">
      <c r="A140"/>
      <c r="B140"/>
      <c r="C140"/>
      <c r="D140"/>
      <c r="E140"/>
      <c r="F140"/>
      <c r="G140"/>
    </row>
    <row r="141" spans="1:15" ht="14.4">
      <c r="A141"/>
      <c r="B141"/>
      <c r="C141"/>
      <c r="D141"/>
      <c r="E141"/>
      <c r="F141"/>
      <c r="G141"/>
    </row>
    <row r="142" spans="1:15" ht="14.4">
      <c r="A142"/>
      <c r="B142"/>
      <c r="C142"/>
      <c r="D142"/>
      <c r="E142"/>
      <c r="F142"/>
      <c r="G142"/>
    </row>
    <row r="143" spans="1:15" ht="14.4">
      <c r="A143"/>
      <c r="B143"/>
      <c r="C143"/>
      <c r="D143"/>
      <c r="E143"/>
      <c r="F143"/>
      <c r="G143"/>
    </row>
    <row r="144" spans="1:15" ht="14.4">
      <c r="A144"/>
      <c r="B144"/>
      <c r="C144"/>
      <c r="D144"/>
      <c r="E144"/>
      <c r="F144"/>
      <c r="G144"/>
    </row>
    <row r="145" spans="1:19" ht="14.4">
      <c r="A145"/>
      <c r="B145"/>
      <c r="C145"/>
      <c r="D145"/>
      <c r="E145"/>
      <c r="F145"/>
      <c r="G145"/>
    </row>
    <row r="146" spans="1:19" ht="14.4">
      <c r="A146"/>
      <c r="B146"/>
      <c r="C146"/>
      <c r="D146"/>
      <c r="E146"/>
      <c r="F146"/>
      <c r="G146"/>
    </row>
    <row r="151" spans="1:19" s="31" customFormat="1">
      <c r="B151" s="146"/>
      <c r="C151" s="147"/>
      <c r="G151" s="148"/>
      <c r="S151" s="133"/>
    </row>
    <row r="152" spans="1:19" ht="14.4">
      <c r="A152"/>
      <c r="B152"/>
      <c r="C152"/>
      <c r="D152"/>
      <c r="E152"/>
      <c r="F152"/>
      <c r="G152"/>
      <c r="H152"/>
      <c r="I152"/>
      <c r="J152"/>
      <c r="K152"/>
      <c r="N152"/>
      <c r="O152"/>
      <c r="P152" s="1"/>
      <c r="Q152" s="1"/>
    </row>
    <row r="153" spans="1:19" s="31" customFormat="1" ht="14.4" customHeight="1">
      <c r="A153"/>
      <c r="B153"/>
      <c r="C153"/>
      <c r="D153"/>
      <c r="E153"/>
      <c r="F153"/>
      <c r="G153"/>
      <c r="H153"/>
      <c r="I153"/>
      <c r="J153"/>
      <c r="K153"/>
      <c r="L153" s="1"/>
      <c r="M153" s="1"/>
      <c r="N153"/>
      <c r="O153"/>
      <c r="P153" s="1"/>
      <c r="Q153" s="1"/>
    </row>
    <row r="154" spans="1:19" s="31" customFormat="1" ht="14.4">
      <c r="A154"/>
      <c r="B154"/>
      <c r="C154"/>
      <c r="D154"/>
      <c r="E154"/>
      <c r="F154"/>
      <c r="G154"/>
      <c r="H154"/>
      <c r="I154"/>
      <c r="J154"/>
      <c r="K154"/>
      <c r="L154" s="1"/>
      <c r="M154" s="1"/>
      <c r="N154"/>
      <c r="O154"/>
      <c r="P154" s="1"/>
      <c r="Q154" s="1"/>
    </row>
    <row r="155" spans="1:19" ht="14.4">
      <c r="A155"/>
      <c r="B155"/>
      <c r="C155"/>
      <c r="D155"/>
      <c r="E155"/>
      <c r="F155"/>
      <c r="G155"/>
      <c r="H155"/>
      <c r="I155"/>
      <c r="J155"/>
      <c r="K155"/>
      <c r="L155" s="1"/>
      <c r="M155" s="1"/>
      <c r="N155"/>
      <c r="O155"/>
      <c r="P155" s="1"/>
      <c r="Q155" s="1"/>
      <c r="S155" s="57"/>
    </row>
    <row r="156" spans="1:19" ht="14.4">
      <c r="A156"/>
      <c r="B156"/>
      <c r="C156"/>
      <c r="D156"/>
      <c r="E156"/>
      <c r="F156"/>
      <c r="G156"/>
      <c r="H156"/>
      <c r="I156"/>
      <c r="J156"/>
      <c r="K156"/>
      <c r="L156" s="1"/>
      <c r="M156" s="1"/>
      <c r="N156" s="1"/>
      <c r="O156" s="1"/>
      <c r="P156" s="1"/>
      <c r="Q156" s="1"/>
      <c r="S156" s="57"/>
    </row>
    <row r="157" spans="1:19" ht="14.4">
      <c r="A157"/>
      <c r="B157"/>
      <c r="C157"/>
      <c r="D157"/>
      <c r="E157"/>
      <c r="F157"/>
      <c r="G157"/>
      <c r="H157"/>
      <c r="I157"/>
      <c r="J157"/>
      <c r="K157"/>
      <c r="L157" s="1"/>
      <c r="M157" s="1"/>
      <c r="N157" s="1"/>
      <c r="O157" s="1"/>
      <c r="P157" s="1"/>
      <c r="Q157" s="1"/>
      <c r="S157" s="57"/>
    </row>
    <row r="158" spans="1:19" ht="14.4">
      <c r="A158"/>
      <c r="B158"/>
      <c r="C158"/>
      <c r="D158"/>
      <c r="E158"/>
      <c r="F158"/>
      <c r="G158"/>
      <c r="H158"/>
      <c r="I158"/>
      <c r="J158"/>
      <c r="K158"/>
      <c r="L158" s="1"/>
      <c r="M158" s="1"/>
      <c r="N158" s="1"/>
      <c r="O158" s="1"/>
      <c r="P158" s="1"/>
      <c r="Q158" s="1"/>
      <c r="S158" s="57"/>
    </row>
    <row r="159" spans="1:19" ht="14.4">
      <c r="A159"/>
      <c r="B159"/>
      <c r="C159"/>
      <c r="D159"/>
      <c r="E159"/>
      <c r="F159"/>
      <c r="G159"/>
      <c r="H159"/>
      <c r="I159"/>
      <c r="J159"/>
      <c r="K159"/>
      <c r="L159" s="1"/>
      <c r="M159" s="1"/>
      <c r="N159" s="1"/>
      <c r="O159" s="1"/>
      <c r="P159" s="1"/>
      <c r="Q159" s="1"/>
      <c r="S159" s="57"/>
    </row>
    <row r="160" spans="1:19" ht="14.4">
      <c r="A160"/>
      <c r="B160"/>
      <c r="C160"/>
      <c r="D160"/>
      <c r="E160"/>
      <c r="F160"/>
      <c r="G160"/>
      <c r="H160"/>
      <c r="I160"/>
      <c r="J160"/>
      <c r="K160"/>
      <c r="L160" s="1"/>
      <c r="M160" s="1"/>
      <c r="N160" s="1"/>
      <c r="O160" s="1"/>
      <c r="P160" s="1"/>
      <c r="Q160" s="1"/>
    </row>
    <row r="161" spans="1:17" ht="14.4">
      <c r="A161"/>
      <c r="B161"/>
      <c r="C161"/>
      <c r="D161"/>
      <c r="E161"/>
      <c r="F161"/>
      <c r="G161"/>
      <c r="H161"/>
      <c r="I161"/>
      <c r="J161"/>
      <c r="K161"/>
      <c r="L161" s="1"/>
      <c r="M161" s="1"/>
      <c r="N161" s="1"/>
      <c r="O161" s="1"/>
      <c r="P161" s="1"/>
      <c r="Q161" s="1"/>
    </row>
    <row r="162" spans="1:17">
      <c r="A162" s="153"/>
      <c r="B162" s="153"/>
      <c r="C162" s="154"/>
      <c r="D162" s="154"/>
      <c r="E162" s="154"/>
      <c r="F162" s="154"/>
      <c r="G162" s="154"/>
      <c r="H162" s="154"/>
      <c r="I162" s="154"/>
      <c r="J162" s="154"/>
      <c r="K162" s="154"/>
      <c r="L162" s="1"/>
      <c r="M162" s="1"/>
      <c r="N162" s="1"/>
      <c r="O162" s="1"/>
      <c r="P162" s="1"/>
      <c r="Q162" s="1"/>
    </row>
    <row r="164" spans="1:17" ht="14.4" customHeight="1"/>
    <row r="165" spans="1:17" customFormat="1" ht="14.4"/>
    <row r="166" spans="1:17" customFormat="1" ht="14.4"/>
    <row r="167" spans="1:17" customFormat="1" ht="14.4"/>
    <row r="168" spans="1:17" customFormat="1" ht="14.4"/>
    <row r="169" spans="1:17" customFormat="1" ht="14.4"/>
    <row r="170" spans="1:17" customFormat="1" ht="14.4"/>
    <row r="171" spans="1:17" customFormat="1" ht="14.4"/>
    <row r="172" spans="1:17" customFormat="1" ht="14.4"/>
    <row r="173" spans="1:17" customFormat="1" ht="14.4"/>
    <row r="174" spans="1:17" customFormat="1" ht="14.4"/>
    <row r="175" spans="1:17" customFormat="1" ht="14.4"/>
    <row r="176" spans="1:17" customFormat="1" ht="14.4"/>
    <row r="177" customFormat="1" ht="14.4"/>
    <row r="178" customFormat="1" ht="14.4"/>
    <row r="179" customFormat="1" ht="14.4"/>
    <row r="180" customFormat="1" ht="14.4"/>
    <row r="181" customFormat="1" ht="14.4"/>
  </sheetData>
  <mergeCells count="38">
    <mergeCell ref="A32:B32"/>
    <mergeCell ref="A3:I4"/>
    <mergeCell ref="A54:B5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66:B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zoomScale="70" zoomScaleNormal="70" workbookViewId="0">
      <selection activeCell="I30" sqref="I30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87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88" customFormat="1" ht="14.4" customHeight="1">
      <c r="A3" s="462" t="s">
        <v>479</v>
      </c>
      <c r="B3" s="462"/>
      <c r="C3" s="462"/>
      <c r="D3" s="462"/>
      <c r="E3" s="462"/>
      <c r="F3" s="462"/>
      <c r="G3" s="462"/>
      <c r="H3" s="462"/>
      <c r="I3" s="462"/>
    </row>
    <row r="4" spans="1:26" s="289" customFormat="1" ht="15.6" customHeight="1">
      <c r="A4" s="463"/>
      <c r="B4" s="463"/>
      <c r="C4" s="463"/>
      <c r="D4" s="463"/>
      <c r="E4" s="463"/>
      <c r="F4" s="463"/>
      <c r="G4" s="463"/>
      <c r="H4" s="463"/>
      <c r="I4" s="463"/>
      <c r="J4" s="292"/>
      <c r="K4" s="292"/>
      <c r="L4" s="292"/>
      <c r="M4" s="292"/>
      <c r="N4" s="292"/>
      <c r="O4" s="292"/>
    </row>
    <row r="5" spans="1:26" s="289" customFormat="1" ht="15.6">
      <c r="A5" s="290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</row>
    <row r="6" spans="1:26" ht="13.8" customHeight="1">
      <c r="D6" s="296"/>
      <c r="E6" s="295"/>
      <c r="F6" s="295"/>
    </row>
    <row r="7" spans="1:26" ht="20.399999999999999">
      <c r="A7" s="293" t="s">
        <v>450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S7"/>
      <c r="T7"/>
      <c r="U7"/>
      <c r="V7"/>
      <c r="W7"/>
      <c r="X7"/>
      <c r="Y7"/>
      <c r="Z7"/>
    </row>
    <row r="8" spans="1:26" ht="14.4">
      <c r="A8" s="291" t="s">
        <v>445</v>
      </c>
      <c r="S8"/>
      <c r="T8"/>
      <c r="U8"/>
      <c r="V8"/>
      <c r="W8"/>
      <c r="X8"/>
      <c r="Y8"/>
      <c r="Z8"/>
    </row>
    <row r="9" spans="1:26" ht="14.4">
      <c r="A9" s="291"/>
      <c r="S9"/>
      <c r="T9"/>
      <c r="U9"/>
      <c r="V9"/>
      <c r="W9"/>
      <c r="X9"/>
      <c r="Y9"/>
      <c r="Z9"/>
    </row>
    <row r="10" spans="1:26" ht="15" customHeight="1" thickBot="1">
      <c r="A10" s="456" t="s">
        <v>521</v>
      </c>
      <c r="B10" s="456"/>
      <c r="C10" s="456"/>
      <c r="D10" s="456"/>
      <c r="F10" s="351" t="s">
        <v>522</v>
      </c>
      <c r="G10" s="300"/>
      <c r="H10" s="300"/>
      <c r="I10" s="300"/>
      <c r="S10"/>
      <c r="T10"/>
      <c r="U10"/>
      <c r="V10"/>
      <c r="W10"/>
      <c r="X10"/>
      <c r="Y10"/>
      <c r="Z10"/>
    </row>
    <row r="11" spans="1:26" ht="14.4">
      <c r="A11" s="215" t="s">
        <v>355</v>
      </c>
      <c r="B11" s="216" t="s">
        <v>7</v>
      </c>
      <c r="C11" s="216" t="s">
        <v>55</v>
      </c>
      <c r="D11" s="217" t="s">
        <v>6</v>
      </c>
      <c r="F11" s="414" t="s">
        <v>355</v>
      </c>
      <c r="G11" s="415" t="s">
        <v>7</v>
      </c>
      <c r="H11" s="415" t="s">
        <v>55</v>
      </c>
      <c r="I11" s="416" t="s">
        <v>6</v>
      </c>
      <c r="S11"/>
      <c r="T11"/>
      <c r="U11"/>
      <c r="V11"/>
      <c r="W11"/>
      <c r="X11"/>
      <c r="Y11"/>
      <c r="Z11"/>
    </row>
    <row r="12" spans="1:26" ht="14.4">
      <c r="A12" s="229" t="s">
        <v>54</v>
      </c>
      <c r="B12" s="161">
        <v>26</v>
      </c>
      <c r="C12" s="161">
        <v>49</v>
      </c>
      <c r="D12" s="297">
        <v>85</v>
      </c>
      <c r="F12" s="229" t="s">
        <v>54</v>
      </c>
      <c r="G12" s="161">
        <v>24</v>
      </c>
      <c r="H12" s="161">
        <v>40</v>
      </c>
      <c r="I12" s="297">
        <v>76</v>
      </c>
      <c r="S12"/>
      <c r="T12"/>
      <c r="U12"/>
      <c r="V12"/>
      <c r="W12"/>
      <c r="X12"/>
      <c r="Y12"/>
      <c r="Z12"/>
    </row>
    <row r="13" spans="1:26" ht="15" thickBot="1">
      <c r="A13" s="229" t="s">
        <v>56</v>
      </c>
      <c r="B13" s="161">
        <v>23</v>
      </c>
      <c r="C13" s="161">
        <v>49</v>
      </c>
      <c r="D13" s="297">
        <v>85</v>
      </c>
      <c r="F13" s="231" t="s">
        <v>56</v>
      </c>
      <c r="G13" s="282">
        <v>16</v>
      </c>
      <c r="H13" s="282">
        <v>40</v>
      </c>
      <c r="I13" s="298">
        <v>76</v>
      </c>
      <c r="S13"/>
      <c r="T13"/>
      <c r="U13"/>
      <c r="V13"/>
      <c r="W13"/>
      <c r="X13"/>
      <c r="Y13"/>
      <c r="Z13"/>
    </row>
    <row r="14" spans="1:26" ht="15" thickBot="1">
      <c r="A14" s="231" t="s">
        <v>222</v>
      </c>
      <c r="B14" s="282">
        <v>20</v>
      </c>
      <c r="C14" s="282">
        <v>30</v>
      </c>
      <c r="D14" s="298">
        <v>40</v>
      </c>
      <c r="F14"/>
      <c r="G14"/>
      <c r="H14"/>
      <c r="I14"/>
      <c r="S14"/>
      <c r="T14"/>
      <c r="U14"/>
      <c r="V14"/>
      <c r="W14"/>
      <c r="X14"/>
      <c r="Y14"/>
      <c r="Z14"/>
    </row>
    <row r="15" spans="1:26" ht="14.4">
      <c r="A15" s="299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4"/>
      <c r="E16" s="294"/>
      <c r="F16" s="294"/>
      <c r="S16"/>
      <c r="T16"/>
      <c r="U16"/>
      <c r="V16"/>
      <c r="W16"/>
      <c r="X16"/>
      <c r="Y16"/>
      <c r="Z16"/>
    </row>
    <row r="17" spans="1:26" ht="20.399999999999999">
      <c r="A17" s="293" t="s">
        <v>451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61" t="s">
        <v>497</v>
      </c>
      <c r="B19" s="456"/>
      <c r="C19" s="456"/>
      <c r="D19" s="456"/>
      <c r="E19" s="281" t="s">
        <v>484</v>
      </c>
      <c r="F19" s="461" t="s">
        <v>452</v>
      </c>
      <c r="G19" s="461"/>
      <c r="H19" s="461"/>
      <c r="I19" s="461"/>
      <c r="S19"/>
      <c r="T19"/>
      <c r="U19"/>
      <c r="V19"/>
      <c r="W19"/>
      <c r="X19"/>
      <c r="Y19"/>
      <c r="Z19"/>
    </row>
    <row r="20" spans="1:26" s="57" customFormat="1" ht="13.8" customHeight="1">
      <c r="A20" s="215" t="s">
        <v>355</v>
      </c>
      <c r="B20" s="216" t="s">
        <v>490</v>
      </c>
      <c r="C20" s="216" t="s">
        <v>489</v>
      </c>
      <c r="D20" s="217" t="s">
        <v>488</v>
      </c>
      <c r="F20" s="215" t="s">
        <v>355</v>
      </c>
      <c r="G20" s="216" t="s">
        <v>490</v>
      </c>
      <c r="H20" s="216" t="s">
        <v>489</v>
      </c>
      <c r="I20" s="217" t="s">
        <v>488</v>
      </c>
      <c r="S20"/>
      <c r="T20"/>
      <c r="U20"/>
      <c r="V20"/>
      <c r="W20"/>
      <c r="X20"/>
      <c r="Y20"/>
      <c r="Z20"/>
    </row>
    <row r="21" spans="1:26" s="57" customFormat="1" ht="14.4">
      <c r="A21" s="223" t="s">
        <v>243</v>
      </c>
      <c r="B21" s="283" t="s">
        <v>366</v>
      </c>
      <c r="C21" s="283" t="s">
        <v>366</v>
      </c>
      <c r="D21" s="131" t="s">
        <v>366</v>
      </c>
      <c r="F21" s="223" t="s">
        <v>243</v>
      </c>
      <c r="G21" s="371" t="s">
        <v>10</v>
      </c>
      <c r="H21" s="371" t="s">
        <v>10</v>
      </c>
      <c r="I21" s="372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4" t="s">
        <v>244</v>
      </c>
      <c r="B22" s="284" t="s">
        <v>367</v>
      </c>
      <c r="C22" s="284" t="s">
        <v>367</v>
      </c>
      <c r="D22" s="132" t="s">
        <v>367</v>
      </c>
      <c r="F22" s="134" t="s">
        <v>244</v>
      </c>
      <c r="G22" s="373" t="s">
        <v>10</v>
      </c>
      <c r="H22" s="373" t="s">
        <v>10</v>
      </c>
      <c r="I22" s="374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91" t="s">
        <v>485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91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93" t="s">
        <v>486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42" t="s">
        <v>481</v>
      </c>
      <c r="B27" s="442"/>
      <c r="C27" s="442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82" t="s">
        <v>442</v>
      </c>
      <c r="B28" s="483"/>
      <c r="C28" s="480" t="s">
        <v>376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84"/>
      <c r="B29" s="485"/>
      <c r="C29" s="481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>
      <c r="A30" s="470" t="s">
        <v>37</v>
      </c>
      <c r="B30" s="471"/>
      <c r="C30" s="162" t="s">
        <v>375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470" t="s">
        <v>35</v>
      </c>
      <c r="B31" s="471"/>
      <c r="C31" s="162" t="s">
        <v>375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470" t="s">
        <v>34</v>
      </c>
      <c r="B32" s="471"/>
      <c r="C32" s="162" t="s">
        <v>375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470" t="s">
        <v>57</v>
      </c>
      <c r="B33" s="471"/>
      <c r="C33" s="162" t="s">
        <v>375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70" t="s">
        <v>38</v>
      </c>
      <c r="B34" s="471"/>
      <c r="C34" s="162" t="s">
        <v>375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70" t="s">
        <v>58</v>
      </c>
      <c r="B35" s="471"/>
      <c r="C35" s="162" t="s">
        <v>375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75" t="s">
        <v>39</v>
      </c>
      <c r="B36" s="476"/>
      <c r="C36" s="163" t="s">
        <v>375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50"/>
      <c r="B37" s="350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50"/>
      <c r="B38" s="350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93" t="s">
        <v>487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86" t="s">
        <v>482</v>
      </c>
      <c r="B41" s="486"/>
      <c r="C41" s="486"/>
      <c r="D41" s="486"/>
      <c r="E41" s="57"/>
      <c r="F41" s="486" t="s">
        <v>483</v>
      </c>
      <c r="G41" s="486"/>
      <c r="H41" s="486"/>
      <c r="I41" s="486"/>
      <c r="K41" s="2"/>
      <c r="S41"/>
      <c r="T41"/>
      <c r="U41"/>
      <c r="V41"/>
      <c r="W41"/>
      <c r="X41"/>
      <c r="Y41"/>
      <c r="Z41"/>
    </row>
    <row r="42" spans="1:26" ht="14.4">
      <c r="A42" s="482" t="str">
        <f>Current!I4</f>
        <v>Use Case</v>
      </c>
      <c r="B42" s="483"/>
      <c r="C42" s="483" t="s">
        <v>446</v>
      </c>
      <c r="D42" s="480" t="s">
        <v>447</v>
      </c>
      <c r="E42" s="57"/>
      <c r="F42" s="482" t="str">
        <f>Current!N4</f>
        <v>Code</v>
      </c>
      <c r="G42" s="483"/>
      <c r="H42" s="483" t="s">
        <v>448</v>
      </c>
      <c r="I42" s="480" t="s">
        <v>449</v>
      </c>
      <c r="S42"/>
      <c r="T42"/>
      <c r="U42"/>
      <c r="V42"/>
      <c r="W42"/>
      <c r="X42"/>
      <c r="Y42"/>
      <c r="Z42"/>
    </row>
    <row r="43" spans="1:26" ht="14.4">
      <c r="A43" s="484"/>
      <c r="B43" s="485"/>
      <c r="C43" s="485"/>
      <c r="D43" s="481"/>
      <c r="E43" s="57"/>
      <c r="F43" s="484"/>
      <c r="G43" s="485"/>
      <c r="H43" s="485"/>
      <c r="I43" s="481"/>
      <c r="S43"/>
      <c r="T43"/>
      <c r="U43"/>
      <c r="V43"/>
      <c r="W43"/>
      <c r="X43"/>
      <c r="Y43"/>
      <c r="Z43"/>
    </row>
    <row r="44" spans="1:26" ht="14.4">
      <c r="A44" s="470" t="s">
        <v>37</v>
      </c>
      <c r="B44" s="471"/>
      <c r="C44" s="365">
        <f>Current!L5</f>
        <v>115860.20833333333</v>
      </c>
      <c r="D44" s="366">
        <f t="shared" ref="D44:D50" si="0">C44</f>
        <v>115860.20833333333</v>
      </c>
      <c r="E44" s="57"/>
      <c r="F44" s="470" t="s">
        <v>37</v>
      </c>
      <c r="G44" s="471"/>
      <c r="H44" s="365">
        <f>Current!Y5</f>
        <v>178043.57142857142</v>
      </c>
      <c r="I44" s="366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70" t="s">
        <v>35</v>
      </c>
      <c r="B45" s="471"/>
      <c r="C45" s="365">
        <f>Current!L6</f>
        <v>19394.681862745099</v>
      </c>
      <c r="D45" s="366">
        <f t="shared" si="0"/>
        <v>19394.681862745099</v>
      </c>
      <c r="E45" s="57"/>
      <c r="F45" s="470" t="s">
        <v>35</v>
      </c>
      <c r="G45" s="471"/>
      <c r="H45" s="365">
        <f>Current!Y6</f>
        <v>151730</v>
      </c>
      <c r="I45" s="366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70" t="s">
        <v>34</v>
      </c>
      <c r="B46" s="471"/>
      <c r="C46" s="365">
        <f>Current!L7</f>
        <v>30865.34696969697</v>
      </c>
      <c r="D46" s="366">
        <f t="shared" si="0"/>
        <v>30865.34696969697</v>
      </c>
      <c r="E46" s="57"/>
      <c r="F46" s="470" t="s">
        <v>34</v>
      </c>
      <c r="G46" s="471"/>
      <c r="H46" s="365">
        <f>Current!Y7</f>
        <v>109.25</v>
      </c>
      <c r="I46" s="366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70" t="s">
        <v>57</v>
      </c>
      <c r="B47" s="471"/>
      <c r="C47" s="365" t="str">
        <f>Current!L8</f>
        <v>-</v>
      </c>
      <c r="D47" s="366" t="str">
        <f t="shared" si="0"/>
        <v>-</v>
      </c>
      <c r="E47" s="57"/>
      <c r="F47" s="470" t="s">
        <v>57</v>
      </c>
      <c r="G47" s="471"/>
      <c r="H47" s="365">
        <f>Current!Y8</f>
        <v>572</v>
      </c>
      <c r="I47" s="366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70" t="s">
        <v>38</v>
      </c>
      <c r="B48" s="471"/>
      <c r="C48" s="365">
        <f>Current!L9</f>
        <v>22562.250000000011</v>
      </c>
      <c r="D48" s="366">
        <f t="shared" si="0"/>
        <v>22562.250000000011</v>
      </c>
      <c r="E48" s="57"/>
      <c r="F48" s="470" t="s">
        <v>38</v>
      </c>
      <c r="G48" s="471"/>
      <c r="H48" s="365">
        <f>Current!Y9</f>
        <v>4094</v>
      </c>
      <c r="I48" s="366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70" t="s">
        <v>58</v>
      </c>
      <c r="B49" s="471"/>
      <c r="C49" s="365" t="str">
        <f>Current!L10</f>
        <v>-</v>
      </c>
      <c r="D49" s="366" t="str">
        <f t="shared" si="0"/>
        <v>-</v>
      </c>
      <c r="E49" s="57"/>
      <c r="F49" s="470" t="s">
        <v>58</v>
      </c>
      <c r="G49" s="471"/>
      <c r="H49" s="365" t="str">
        <f>Current!Y10</f>
        <v>-</v>
      </c>
      <c r="I49" s="366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75" t="s">
        <v>39</v>
      </c>
      <c r="B50" s="476"/>
      <c r="C50" s="367" t="str">
        <f>Current!L11</f>
        <v>-</v>
      </c>
      <c r="D50" s="368" t="str">
        <f t="shared" si="0"/>
        <v>-</v>
      </c>
      <c r="E50" s="57"/>
      <c r="F50" s="475" t="s">
        <v>39</v>
      </c>
      <c r="G50" s="476"/>
      <c r="H50" s="367">
        <f>Current!Y12</f>
        <v>17343.533333333333</v>
      </c>
      <c r="I50" s="368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420"/>
      <c r="E51" s="37"/>
      <c r="I51" s="420"/>
      <c r="S51"/>
      <c r="T51"/>
      <c r="U51"/>
      <c r="V51"/>
      <c r="W51"/>
      <c r="X51"/>
      <c r="Y51"/>
      <c r="Z51"/>
    </row>
    <row r="52" spans="1:26" ht="14.4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>
      <c r="A53" s="293" t="s">
        <v>515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>
      <c r="S54" s="149"/>
    </row>
    <row r="55" spans="1:26" s="57" customFormat="1" ht="16.2" thickBot="1">
      <c r="A55" s="461" t="s">
        <v>514</v>
      </c>
      <c r="B55" s="461"/>
      <c r="S55" s="149"/>
    </row>
    <row r="56" spans="1:26" s="57" customFormat="1">
      <c r="A56" s="405" t="s">
        <v>355</v>
      </c>
      <c r="B56" s="228" t="s">
        <v>511</v>
      </c>
      <c r="S56" s="149"/>
    </row>
    <row r="57" spans="1:26" s="57" customFormat="1">
      <c r="A57" s="404" t="s">
        <v>243</v>
      </c>
      <c r="B57" s="265">
        <v>0</v>
      </c>
      <c r="S57" s="149"/>
    </row>
    <row r="58" spans="1:26" s="57" customFormat="1">
      <c r="A58" s="404" t="s">
        <v>369</v>
      </c>
      <c r="B58" s="265">
        <v>0</v>
      </c>
      <c r="S58" s="149"/>
    </row>
    <row r="59" spans="1:26" s="57" customFormat="1" ht="14.4" thickBot="1">
      <c r="A59" s="134" t="s">
        <v>370</v>
      </c>
      <c r="B59" s="266">
        <v>0</v>
      </c>
      <c r="S59" s="149"/>
    </row>
    <row r="60" spans="1:26" ht="14.4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>
      <c r="A62" s="293" t="s">
        <v>516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456" t="s">
        <v>517</v>
      </c>
      <c r="B64" s="456"/>
      <c r="C64" s="456"/>
      <c r="D64" s="456"/>
      <c r="F64" s="2"/>
      <c r="S64"/>
      <c r="T64"/>
      <c r="U64"/>
      <c r="V64"/>
      <c r="W64"/>
      <c r="X64"/>
      <c r="Y64"/>
      <c r="Z64"/>
    </row>
    <row r="65" spans="1:26" ht="14.4">
      <c r="A65" s="215" t="s">
        <v>355</v>
      </c>
      <c r="B65" s="225" t="s">
        <v>437</v>
      </c>
      <c r="C65" s="225" t="s">
        <v>438</v>
      </c>
      <c r="D65" s="228" t="s">
        <v>439</v>
      </c>
      <c r="F65" s="2"/>
      <c r="S65"/>
      <c r="T65"/>
      <c r="U65"/>
      <c r="V65"/>
      <c r="W65"/>
      <c r="X65"/>
      <c r="Y65"/>
      <c r="Z65"/>
    </row>
    <row r="66" spans="1:26" ht="14.4">
      <c r="A66" s="223" t="s">
        <v>243</v>
      </c>
      <c r="B66" s="369">
        <v>0</v>
      </c>
      <c r="C66" s="369">
        <v>0</v>
      </c>
      <c r="D66" s="369">
        <v>0</v>
      </c>
      <c r="F66" s="2"/>
      <c r="S66"/>
      <c r="T66"/>
      <c r="U66"/>
      <c r="V66"/>
      <c r="W66"/>
      <c r="X66"/>
      <c r="Y66"/>
      <c r="Z66"/>
    </row>
    <row r="67" spans="1:26" ht="15" thickBot="1">
      <c r="A67" s="134" t="s">
        <v>244</v>
      </c>
      <c r="B67" s="370">
        <v>0</v>
      </c>
      <c r="C67" s="370">
        <v>0</v>
      </c>
      <c r="D67" s="370">
        <v>0</v>
      </c>
      <c r="F67" s="2"/>
      <c r="S67"/>
      <c r="T67"/>
      <c r="U67"/>
      <c r="V67"/>
      <c r="W67"/>
      <c r="X67"/>
      <c r="Y67"/>
      <c r="Z67"/>
    </row>
    <row r="68" spans="1:26">
      <c r="F68" s="2"/>
    </row>
    <row r="69" spans="1:26" ht="15" thickBot="1">
      <c r="A69"/>
      <c r="B69"/>
      <c r="C69"/>
      <c r="D69"/>
    </row>
    <row r="70" spans="1:26" ht="14.4">
      <c r="A70"/>
      <c r="B70" s="339" t="s">
        <v>490</v>
      </c>
      <c r="C70" s="340" t="s">
        <v>489</v>
      </c>
      <c r="D70" s="341" t="s">
        <v>488</v>
      </c>
    </row>
    <row r="71" spans="1:26" s="37" customFormat="1" ht="15" customHeight="1">
      <c r="A71" s="348" t="s">
        <v>491</v>
      </c>
      <c r="B71" s="352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19</v>
      </c>
      <c r="C71" s="353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19</v>
      </c>
      <c r="D71" s="354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19</v>
      </c>
    </row>
    <row r="72" spans="1:26" s="37" customFormat="1" ht="16.2" thickBot="1">
      <c r="A72" s="348" t="s">
        <v>492</v>
      </c>
      <c r="B72" s="355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91</v>
      </c>
      <c r="C72" s="356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91</v>
      </c>
      <c r="D72" s="357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91</v>
      </c>
    </row>
    <row r="75" spans="1:26" ht="20.399999999999999">
      <c r="A75" s="293" t="s">
        <v>534</v>
      </c>
    </row>
    <row r="76" spans="1:26" customFormat="1" ht="15" thickBot="1">
      <c r="P76" s="37"/>
      <c r="Q76" s="37"/>
      <c r="R76" s="37"/>
    </row>
    <row r="77" spans="1:26" ht="14.4" customHeight="1">
      <c r="A77" s="472" t="s">
        <v>225</v>
      </c>
      <c r="B77" s="473"/>
      <c r="C77" s="473"/>
      <c r="D77" s="474"/>
      <c r="S77"/>
      <c r="T77"/>
    </row>
    <row r="78" spans="1:26" ht="13.8" customHeight="1">
      <c r="A78" s="229" t="s">
        <v>236</v>
      </c>
      <c r="B78" s="224" t="s">
        <v>7</v>
      </c>
      <c r="C78" s="224" t="s">
        <v>55</v>
      </c>
      <c r="D78" s="47" t="s">
        <v>6</v>
      </c>
      <c r="S78"/>
      <c r="T78"/>
    </row>
    <row r="79" spans="1:26" ht="14.4">
      <c r="A79" s="213" t="s">
        <v>237</v>
      </c>
      <c r="B79" s="375">
        <f>G112</f>
        <v>788579.02201426018</v>
      </c>
      <c r="C79" s="375">
        <f>H112</f>
        <v>1465546.4014705883</v>
      </c>
      <c r="D79" s="376">
        <f>I112</f>
        <v>2567479.0987967914</v>
      </c>
      <c r="S79"/>
      <c r="T79"/>
    </row>
    <row r="80" spans="1:26" ht="14.4">
      <c r="A80" s="213" t="s">
        <v>238</v>
      </c>
      <c r="B80" s="375">
        <f>G124</f>
        <v>2498438.7738095238</v>
      </c>
      <c r="C80" s="375">
        <f>H124</f>
        <v>5496405.9023809517</v>
      </c>
      <c r="D80" s="376">
        <f>I124</f>
        <v>9330795.2023809515</v>
      </c>
      <c r="S80"/>
      <c r="T80"/>
    </row>
    <row r="81" spans="1:20" ht="14.4">
      <c r="A81" s="213" t="s">
        <v>239</v>
      </c>
      <c r="B81" s="375">
        <f>G131</f>
        <v>105541.59843638947</v>
      </c>
      <c r="C81" s="375">
        <f>H131</f>
        <v>158312.3976545842</v>
      </c>
      <c r="D81" s="376">
        <f>I131</f>
        <v>211083.19687277894</v>
      </c>
      <c r="S81"/>
      <c r="T81"/>
    </row>
    <row r="82" spans="1:20" ht="14.4">
      <c r="A82" s="213" t="s">
        <v>240</v>
      </c>
      <c r="B82" s="375">
        <f>G146</f>
        <v>696362.06131907308</v>
      </c>
      <c r="C82" s="375">
        <f>H146</f>
        <v>1171587.4080213904</v>
      </c>
      <c r="D82" s="376">
        <f>I146</f>
        <v>2273520.1053475933</v>
      </c>
      <c r="S82"/>
      <c r="T82"/>
    </row>
    <row r="83" spans="1:20" ht="14.4">
      <c r="A83" s="213" t="s">
        <v>241</v>
      </c>
      <c r="B83" s="375">
        <f>G158</f>
        <v>1665724.0976190476</v>
      </c>
      <c r="C83" s="375">
        <f>H158</f>
        <v>4494508.4428571425</v>
      </c>
      <c r="D83" s="376">
        <f>I158</f>
        <v>8329006.9928571424</v>
      </c>
      <c r="S83"/>
      <c r="T83"/>
    </row>
    <row r="84" spans="1:20" ht="15" thickBot="1">
      <c r="A84" s="214" t="s">
        <v>61</v>
      </c>
      <c r="B84" s="377">
        <f>SUM(B79:B83)</f>
        <v>5754645.5531982947</v>
      </c>
      <c r="C84" s="377">
        <f>SUM(C79:C83)</f>
        <v>12786360.552384658</v>
      </c>
      <c r="D84" s="378">
        <f>SUM(D79:D83)</f>
        <v>22711884.596255258</v>
      </c>
      <c r="S84" s="37"/>
      <c r="T84" s="37"/>
    </row>
    <row r="85" spans="1:20" customFormat="1" ht="14.4">
      <c r="P85" s="37"/>
      <c r="Q85" s="37"/>
      <c r="R85" s="37"/>
    </row>
    <row r="86" spans="1:20" ht="14.4">
      <c r="B86" s="37"/>
      <c r="C86" s="37"/>
      <c r="D86" s="37"/>
      <c r="E86" s="37"/>
    </row>
    <row r="87" spans="1:20" ht="20.399999999999999">
      <c r="A87" s="293" t="s">
        <v>537</v>
      </c>
    </row>
    <row r="88" spans="1:20" ht="14.4" thickBot="1"/>
    <row r="89" spans="1:20" ht="14.4" customHeight="1">
      <c r="A89" s="472" t="s">
        <v>226</v>
      </c>
      <c r="B89" s="473"/>
      <c r="C89" s="473"/>
      <c r="D89" s="474"/>
    </row>
    <row r="90" spans="1:20">
      <c r="A90" s="229" t="s">
        <v>236</v>
      </c>
      <c r="B90" s="342" t="s">
        <v>7</v>
      </c>
      <c r="C90" s="342" t="s">
        <v>55</v>
      </c>
      <c r="D90" s="47" t="s">
        <v>6</v>
      </c>
    </row>
    <row r="91" spans="1:20">
      <c r="A91" s="338" t="s">
        <v>237</v>
      </c>
      <c r="B91" s="384">
        <f>J112</f>
        <v>14983001.418270944</v>
      </c>
      <c r="C91" s="384">
        <f>K112</f>
        <v>27845381.627941176</v>
      </c>
      <c r="D91" s="385">
        <f>L112</f>
        <v>48782102.877139039</v>
      </c>
    </row>
    <row r="92" spans="1:20">
      <c r="A92" s="338" t="s">
        <v>238</v>
      </c>
      <c r="B92" s="384">
        <f>J124</f>
        <v>227357928.41666666</v>
      </c>
      <c r="C92" s="384">
        <f>K124</f>
        <v>500172937.11666667</v>
      </c>
      <c r="D92" s="385">
        <f>L124</f>
        <v>849102363.41666663</v>
      </c>
    </row>
    <row r="93" spans="1:20">
      <c r="A93" s="338" t="s">
        <v>239</v>
      </c>
      <c r="B93" s="384">
        <f>J131</f>
        <v>9604285.4577114414</v>
      </c>
      <c r="C93" s="384">
        <f>K131</f>
        <v>14406428.186567163</v>
      </c>
      <c r="D93" s="385">
        <f>L131</f>
        <v>19208570.915422883</v>
      </c>
    </row>
    <row r="94" spans="1:20" s="37" customFormat="1" ht="14.4">
      <c r="A94" s="338" t="s">
        <v>240</v>
      </c>
      <c r="B94" s="384">
        <f>J146</f>
        <v>13230879.165062388</v>
      </c>
      <c r="C94" s="384">
        <f>K146</f>
        <v>22260160.752406418</v>
      </c>
      <c r="D94" s="385">
        <f>L146</f>
        <v>43196882.001604274</v>
      </c>
    </row>
    <row r="95" spans="1:20" ht="14.4">
      <c r="A95" s="338" t="s">
        <v>241</v>
      </c>
      <c r="B95" s="384">
        <f>J158</f>
        <v>151580892.88333333</v>
      </c>
      <c r="C95" s="384">
        <f>K158</f>
        <v>409000268.30000001</v>
      </c>
      <c r="D95" s="385">
        <f>L158</f>
        <v>757939636.35000002</v>
      </c>
      <c r="E95" s="37"/>
      <c r="F95" s="37"/>
      <c r="G95" s="37"/>
      <c r="H95" s="37"/>
    </row>
    <row r="96" spans="1:20" ht="15" thickBot="1">
      <c r="A96" s="214" t="s">
        <v>61</v>
      </c>
      <c r="B96" s="394">
        <f>SUM(B91:B95)</f>
        <v>416756987.34104478</v>
      </c>
      <c r="C96" s="394">
        <f>SUM(C91:C95)</f>
        <v>973685175.9835813</v>
      </c>
      <c r="D96" s="395">
        <f>SUM(D91:D95)</f>
        <v>1718229555.560833</v>
      </c>
      <c r="E96" s="37"/>
      <c r="F96" s="37"/>
      <c r="G96" s="37"/>
      <c r="H96" s="37"/>
    </row>
    <row r="97" spans="1:26" ht="14.4">
      <c r="A97" s="37"/>
      <c r="B97" s="37"/>
      <c r="C97" s="37"/>
      <c r="D97" s="37"/>
      <c r="E97" s="37"/>
      <c r="F97" s="37"/>
      <c r="G97" s="37"/>
      <c r="H97" s="37"/>
    </row>
    <row r="98" spans="1:26" ht="14.4">
      <c r="A98" s="37"/>
      <c r="B98" s="37"/>
      <c r="C98" s="37"/>
      <c r="D98" s="37"/>
      <c r="E98" s="37"/>
      <c r="F98" s="37"/>
      <c r="G98" s="37"/>
      <c r="H98" s="37"/>
    </row>
    <row r="99" spans="1:26" ht="20.399999999999999">
      <c r="A99" s="293" t="s">
        <v>538</v>
      </c>
    </row>
    <row r="100" spans="1:26" ht="14.4">
      <c r="A100" s="37"/>
      <c r="B100" s="37"/>
      <c r="C100" s="37"/>
      <c r="D100" s="37"/>
      <c r="E100" s="37"/>
      <c r="F100" s="37"/>
      <c r="G100" s="37"/>
      <c r="H100" s="37"/>
    </row>
    <row r="101" spans="1:26" ht="14.4">
      <c r="B101" s="37"/>
      <c r="C101" s="37"/>
      <c r="D101" s="37"/>
      <c r="E101" s="37"/>
    </row>
    <row r="102" spans="1:26" ht="16.2" thickBot="1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>
      <c r="A103" s="438" t="str">
        <f>Current!I4</f>
        <v>Use Case</v>
      </c>
      <c r="B103" s="450" t="s">
        <v>378</v>
      </c>
      <c r="C103" s="450" t="s">
        <v>540</v>
      </c>
      <c r="D103" s="477" t="s">
        <v>453</v>
      </c>
      <c r="E103" s="478"/>
      <c r="F103" s="479"/>
      <c r="G103" s="487" t="s">
        <v>225</v>
      </c>
      <c r="H103" s="487"/>
      <c r="I103" s="487"/>
      <c r="J103" s="487" t="s">
        <v>226</v>
      </c>
      <c r="K103" s="487"/>
      <c r="L103" s="488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439"/>
      <c r="B104" s="451"/>
      <c r="C104" s="451"/>
      <c r="D104" s="418" t="s">
        <v>7</v>
      </c>
      <c r="E104" s="418" t="s">
        <v>55</v>
      </c>
      <c r="F104" s="418" t="s">
        <v>6</v>
      </c>
      <c r="G104" s="418" t="s">
        <v>7</v>
      </c>
      <c r="H104" s="418" t="s">
        <v>55</v>
      </c>
      <c r="I104" s="418" t="s">
        <v>6</v>
      </c>
      <c r="J104" s="418" t="s">
        <v>7</v>
      </c>
      <c r="K104" s="418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417" t="str">
        <f>Current!I5</f>
        <v>Human Space Flight</v>
      </c>
      <c r="B105" s="379">
        <f>Current!J5</f>
        <v>4</v>
      </c>
      <c r="C105" s="423">
        <f t="shared" ref="C105:C111" si="2">B105/$B$112</f>
        <v>0.08</v>
      </c>
      <c r="D105" s="380">
        <f>ROUND($B105*(1+(($B$12-$B$112)/$B$112)),0)</f>
        <v>2</v>
      </c>
      <c r="E105" s="380">
        <f>ROUND($B105*(1+(($C$12-$B$112)/$B$112)),0)</f>
        <v>4</v>
      </c>
      <c r="F105" s="380">
        <f>ROUND($B105*(1+(($D$12-$B$112)/$B$112)),0)</f>
        <v>7</v>
      </c>
      <c r="G105" s="383">
        <f>IFERROR(IF(C30="Yes",D105*D44,0),"-")</f>
        <v>231720.41666666666</v>
      </c>
      <c r="H105" s="383">
        <f t="shared" ref="H105:H111" si="3">IFERROR(IF(C30="Yes",E105*D44,"-"),"-")</f>
        <v>463440.83333333331</v>
      </c>
      <c r="I105" s="383">
        <f t="shared" ref="I105:I111" si="4">IFERROR(IF(C30="Yes",F105*D44,"-"),"-")</f>
        <v>811021.45833333326</v>
      </c>
      <c r="J105" s="386">
        <f>IFERROR(G105*$B$71,"-")</f>
        <v>4402687.916666666</v>
      </c>
      <c r="K105" s="386">
        <f t="shared" ref="J105:L111" si="5">IFERROR(H105*$B$71,"-")</f>
        <v>8805375.8333333321</v>
      </c>
      <c r="L105" s="387">
        <f t="shared" si="5"/>
        <v>15409407.708333332</v>
      </c>
      <c r="M105" s="37"/>
      <c r="N105" s="37"/>
      <c r="O105" s="37"/>
      <c r="V105" s="33"/>
    </row>
    <row r="106" spans="1:26" ht="14.4">
      <c r="A106" s="417" t="str">
        <f>Current!I6</f>
        <v>Near Earth Robotic - LEO Science</v>
      </c>
      <c r="B106" s="379">
        <f>Current!J6</f>
        <v>34</v>
      </c>
      <c r="C106" s="423">
        <f t="shared" si="2"/>
        <v>0.68</v>
      </c>
      <c r="D106" s="380">
        <f t="shared" ref="D106:D111" si="6">ROUND($B106*(1+(($B$12-$B$112)/$B$112)),0)</f>
        <v>18</v>
      </c>
      <c r="E106" s="380">
        <f t="shared" ref="E106:E111" si="7">ROUND($B106*(1+(($C$12-$B$112)/$B$112)),0)</f>
        <v>33</v>
      </c>
      <c r="F106" s="380">
        <f t="shared" ref="F106:F111" si="8">ROUND($B106*(1+(($D$12-$B$112)/$B$112)),0)</f>
        <v>58</v>
      </c>
      <c r="G106" s="383">
        <f t="shared" ref="G106:G111" si="9">IFERROR(IF(C31="Yes",D106*D45,0),"-")</f>
        <v>349104.27352941176</v>
      </c>
      <c r="H106" s="383">
        <f t="shared" si="3"/>
        <v>640024.50147058826</v>
      </c>
      <c r="I106" s="383">
        <f t="shared" si="4"/>
        <v>1124891.5480392158</v>
      </c>
      <c r="J106" s="386">
        <f t="shared" si="5"/>
        <v>6632981.197058823</v>
      </c>
      <c r="K106" s="386">
        <f t="shared" si="5"/>
        <v>12160465.527941177</v>
      </c>
      <c r="L106" s="387">
        <f t="shared" si="5"/>
        <v>21372939.4127451</v>
      </c>
      <c r="M106" s="37"/>
      <c r="N106" s="37"/>
      <c r="O106" s="37"/>
      <c r="V106" s="33"/>
    </row>
    <row r="107" spans="1:26" ht="14.4">
      <c r="A107" s="417" t="str">
        <f>Current!I7</f>
        <v>Near Earth Robotic - GEO and Near Earth</v>
      </c>
      <c r="B107" s="379">
        <f>Current!J7</f>
        <v>11</v>
      </c>
      <c r="C107" s="423">
        <f t="shared" si="2"/>
        <v>0.22</v>
      </c>
      <c r="D107" s="380">
        <f t="shared" si="6"/>
        <v>6</v>
      </c>
      <c r="E107" s="380">
        <f t="shared" si="7"/>
        <v>11</v>
      </c>
      <c r="F107" s="380">
        <f t="shared" si="8"/>
        <v>19</v>
      </c>
      <c r="G107" s="383">
        <f t="shared" si="9"/>
        <v>185192.08181818182</v>
      </c>
      <c r="H107" s="383">
        <f t="shared" si="3"/>
        <v>339518.81666666665</v>
      </c>
      <c r="I107" s="383">
        <f t="shared" si="4"/>
        <v>586441.59242424241</v>
      </c>
      <c r="J107" s="386">
        <f t="shared" si="5"/>
        <v>3518649.5545454547</v>
      </c>
      <c r="K107" s="386">
        <f t="shared" si="5"/>
        <v>6450857.5166666666</v>
      </c>
      <c r="L107" s="387">
        <f t="shared" si="5"/>
        <v>11142390.256060606</v>
      </c>
      <c r="M107" s="37"/>
      <c r="N107" s="37"/>
      <c r="O107" s="37"/>
      <c r="V107" s="33"/>
    </row>
    <row r="108" spans="1:26" ht="14.4">
      <c r="A108" s="417" t="str">
        <f>Current!I8</f>
        <v>Deep Space Robotic</v>
      </c>
      <c r="B108" s="379">
        <f>Current!J8</f>
        <v>0</v>
      </c>
      <c r="C108" s="423">
        <f t="shared" si="2"/>
        <v>0</v>
      </c>
      <c r="D108" s="380">
        <f t="shared" si="6"/>
        <v>0</v>
      </c>
      <c r="E108" s="380">
        <f t="shared" si="7"/>
        <v>0</v>
      </c>
      <c r="F108" s="380">
        <f t="shared" si="8"/>
        <v>0</v>
      </c>
      <c r="G108" s="383" t="str">
        <f t="shared" si="9"/>
        <v>-</v>
      </c>
      <c r="H108" s="383" t="str">
        <f t="shared" si="3"/>
        <v>-</v>
      </c>
      <c r="I108" s="383" t="str">
        <f t="shared" si="4"/>
        <v>-</v>
      </c>
      <c r="J108" s="386" t="str">
        <f t="shared" si="5"/>
        <v>-</v>
      </c>
      <c r="K108" s="386" t="str">
        <f t="shared" si="5"/>
        <v>-</v>
      </c>
      <c r="L108" s="387" t="str">
        <f t="shared" si="5"/>
        <v>-</v>
      </c>
      <c r="M108" s="37"/>
      <c r="N108" s="37"/>
      <c r="O108" s="37"/>
      <c r="V108" s="33"/>
    </row>
    <row r="109" spans="1:26" ht="14.4">
      <c r="A109" s="417" t="str">
        <f>Current!I9</f>
        <v>Near Earth Robotic - Low Latency &amp; Complex Needs</v>
      </c>
      <c r="B109" s="379">
        <f>Current!J9</f>
        <v>1</v>
      </c>
      <c r="C109" s="423">
        <f t="shared" si="2"/>
        <v>0.02</v>
      </c>
      <c r="D109" s="380">
        <f t="shared" si="6"/>
        <v>1</v>
      </c>
      <c r="E109" s="380">
        <f t="shared" si="7"/>
        <v>1</v>
      </c>
      <c r="F109" s="380">
        <f t="shared" si="8"/>
        <v>2</v>
      </c>
      <c r="G109" s="383">
        <f t="shared" si="9"/>
        <v>22562.250000000011</v>
      </c>
      <c r="H109" s="383">
        <f t="shared" si="3"/>
        <v>22562.250000000011</v>
      </c>
      <c r="I109" s="383">
        <f t="shared" si="4"/>
        <v>45124.500000000022</v>
      </c>
      <c r="J109" s="386">
        <f t="shared" si="5"/>
        <v>428682.75000000023</v>
      </c>
      <c r="K109" s="386">
        <f t="shared" si="5"/>
        <v>428682.75000000023</v>
      </c>
      <c r="L109" s="387">
        <f t="shared" si="5"/>
        <v>857365.50000000047</v>
      </c>
      <c r="M109" s="37"/>
      <c r="N109" s="37"/>
      <c r="O109" s="37"/>
      <c r="V109" s="33"/>
    </row>
    <row r="110" spans="1:26" ht="14.4">
      <c r="A110" s="417" t="str">
        <f>Current!I10</f>
        <v>Mission Operations</v>
      </c>
      <c r="B110" s="379">
        <f>Current!J10</f>
        <v>0</v>
      </c>
      <c r="C110" s="423">
        <f t="shared" si="2"/>
        <v>0</v>
      </c>
      <c r="D110" s="380">
        <f t="shared" si="6"/>
        <v>0</v>
      </c>
      <c r="E110" s="380">
        <f t="shared" si="7"/>
        <v>0</v>
      </c>
      <c r="F110" s="380">
        <f t="shared" si="8"/>
        <v>0</v>
      </c>
      <c r="G110" s="383" t="str">
        <f t="shared" si="9"/>
        <v>-</v>
      </c>
      <c r="H110" s="383" t="str">
        <f t="shared" si="3"/>
        <v>-</v>
      </c>
      <c r="I110" s="383" t="str">
        <f t="shared" si="4"/>
        <v>-</v>
      </c>
      <c r="J110" s="386" t="str">
        <f t="shared" si="5"/>
        <v>-</v>
      </c>
      <c r="K110" s="386" t="str">
        <f t="shared" si="5"/>
        <v>-</v>
      </c>
      <c r="L110" s="387" t="str">
        <f t="shared" si="5"/>
        <v>-</v>
      </c>
      <c r="M110" s="37"/>
      <c r="N110" s="37"/>
      <c r="O110" s="37"/>
      <c r="V110" s="33"/>
    </row>
    <row r="111" spans="1:26" ht="14.4">
      <c r="A111" s="417" t="str">
        <f>Current!I12</f>
        <v>Terrestrial &amp; Aerial</v>
      </c>
      <c r="B111" s="379">
        <f>Current!J12</f>
        <v>0</v>
      </c>
      <c r="C111" s="423">
        <f t="shared" si="2"/>
        <v>0</v>
      </c>
      <c r="D111" s="380">
        <f t="shared" si="6"/>
        <v>0</v>
      </c>
      <c r="E111" s="380">
        <f t="shared" si="7"/>
        <v>0</v>
      </c>
      <c r="F111" s="380">
        <f t="shared" si="8"/>
        <v>0</v>
      </c>
      <c r="G111" s="383" t="str">
        <f t="shared" si="9"/>
        <v>-</v>
      </c>
      <c r="H111" s="383" t="str">
        <f t="shared" si="3"/>
        <v>-</v>
      </c>
      <c r="I111" s="383" t="str">
        <f t="shared" si="4"/>
        <v>-</v>
      </c>
      <c r="J111" s="386" t="str">
        <f t="shared" si="5"/>
        <v>-</v>
      </c>
      <c r="K111" s="386" t="str">
        <f t="shared" si="5"/>
        <v>-</v>
      </c>
      <c r="L111" s="387" t="str">
        <f t="shared" si="5"/>
        <v>-</v>
      </c>
      <c r="M111" s="37"/>
      <c r="N111" s="37"/>
      <c r="O111" s="37"/>
    </row>
    <row r="112" spans="1:26" ht="14.4" customHeight="1" thickBot="1">
      <c r="A112" s="231" t="s">
        <v>223</v>
      </c>
      <c r="B112" s="381">
        <f>SUM(B105:B110,B111)</f>
        <v>50</v>
      </c>
      <c r="C112" s="424">
        <f t="shared" ref="C112:L112" si="10">SUM(C105:C111)</f>
        <v>1</v>
      </c>
      <c r="D112" s="382">
        <f t="shared" si="10"/>
        <v>27</v>
      </c>
      <c r="E112" s="382">
        <f t="shared" si="10"/>
        <v>49</v>
      </c>
      <c r="F112" s="382">
        <f t="shared" si="10"/>
        <v>86</v>
      </c>
      <c r="G112" s="382">
        <f t="shared" si="10"/>
        <v>788579.02201426018</v>
      </c>
      <c r="H112" s="382">
        <f t="shared" si="10"/>
        <v>1465546.4014705883</v>
      </c>
      <c r="I112" s="382">
        <f t="shared" si="10"/>
        <v>2567479.0987967914</v>
      </c>
      <c r="J112" s="388">
        <f t="shared" si="10"/>
        <v>14983001.418270944</v>
      </c>
      <c r="K112" s="388">
        <f t="shared" si="10"/>
        <v>27845381.627941176</v>
      </c>
      <c r="L112" s="389">
        <f t="shared" si="10"/>
        <v>48782102.877139039</v>
      </c>
      <c r="M112"/>
      <c r="N112"/>
      <c r="O112"/>
    </row>
    <row r="114" spans="1:15" ht="14.4" customHeight="1" thickBot="1">
      <c r="A114" s="49" t="s">
        <v>229</v>
      </c>
    </row>
    <row r="115" spans="1:15" ht="14.4" customHeight="1">
      <c r="A115" s="438" t="s">
        <v>59</v>
      </c>
      <c r="B115" s="450" t="s">
        <v>378</v>
      </c>
      <c r="C115" s="450" t="s">
        <v>540</v>
      </c>
      <c r="D115" s="477" t="s">
        <v>453</v>
      </c>
      <c r="E115" s="478"/>
      <c r="F115" s="479"/>
      <c r="G115" s="487" t="s">
        <v>225</v>
      </c>
      <c r="H115" s="487"/>
      <c r="I115" s="487"/>
      <c r="J115" s="487" t="s">
        <v>227</v>
      </c>
      <c r="K115" s="487"/>
      <c r="L115" s="488"/>
      <c r="M115"/>
      <c r="N115"/>
      <c r="O115"/>
    </row>
    <row r="116" spans="1:15" ht="14.4">
      <c r="A116" s="439"/>
      <c r="B116" s="451"/>
      <c r="C116" s="451"/>
      <c r="D116" s="224" t="s">
        <v>7</v>
      </c>
      <c r="E116" s="224" t="s">
        <v>55</v>
      </c>
      <c r="F116" s="224" t="s">
        <v>6</v>
      </c>
      <c r="G116" s="224" t="s">
        <v>7</v>
      </c>
      <c r="H116" s="224" t="s">
        <v>55</v>
      </c>
      <c r="I116" s="224" t="s">
        <v>6</v>
      </c>
      <c r="J116" s="224" t="s">
        <v>7</v>
      </c>
      <c r="K116" s="224" t="s">
        <v>55</v>
      </c>
      <c r="L116" s="47" t="s">
        <v>6</v>
      </c>
      <c r="M116"/>
      <c r="N116"/>
      <c r="O116"/>
    </row>
    <row r="117" spans="1:15" ht="14.4">
      <c r="A117" s="39" t="str">
        <f>Current!V5</f>
        <v>Human Space Flight</v>
      </c>
      <c r="B117" s="379">
        <f>Current!W5</f>
        <v>14</v>
      </c>
      <c r="C117" s="423">
        <f t="shared" ref="C117:C123" si="11">B117/$B$124</f>
        <v>0.2153846153846154</v>
      </c>
      <c r="D117" s="380">
        <f>ROUND($B117*(1+($B$13-$B$124)/$B$124),0)</f>
        <v>5</v>
      </c>
      <c r="E117" s="380">
        <f>ROUND($B117*(1+($C$13-$B$124)/$B$124),0)</f>
        <v>11</v>
      </c>
      <c r="F117" s="380">
        <f>ROUND($B117*(1+($D$13-$B$124)/$B$124),0)</f>
        <v>18</v>
      </c>
      <c r="G117" s="383">
        <f t="shared" ref="G117:G123" si="12">IFERROR(IF(C30="YES",D117*I44,"-"),"-")</f>
        <v>890217.85714285704</v>
      </c>
      <c r="H117" s="383">
        <f t="shared" ref="H117:H123" si="13">IFERROR(IF(C30="YES",E117*I44,"-"),"-")</f>
        <v>1958479.2857142857</v>
      </c>
      <c r="I117" s="383">
        <f t="shared" ref="I117:I123" si="14">IFERROR(IF(C30="YES",F117*I44,"-"),"-")</f>
        <v>3204784.2857142854</v>
      </c>
      <c r="J117" s="386">
        <f t="shared" ref="J117:L123" si="15">IFERROR(G117*$B$72,"-")</f>
        <v>81009824.999999985</v>
      </c>
      <c r="K117" s="386">
        <f t="shared" si="15"/>
        <v>178221615</v>
      </c>
      <c r="L117" s="387">
        <f t="shared" si="15"/>
        <v>291635370</v>
      </c>
      <c r="M117"/>
      <c r="N117"/>
      <c r="O117"/>
    </row>
    <row r="118" spans="1:15" ht="14.4">
      <c r="A118" s="39" t="str">
        <f>Current!V6</f>
        <v>Near Earth Robotic - LEO Science</v>
      </c>
      <c r="B118" s="379">
        <f>Current!W6</f>
        <v>29</v>
      </c>
      <c r="C118" s="423">
        <f t="shared" si="11"/>
        <v>0.44615384615384618</v>
      </c>
      <c r="D118" s="380">
        <f t="shared" ref="D118:D123" si="16">ROUND($B118*(1+($B$13-$B$124)/$B$124),0)</f>
        <v>10</v>
      </c>
      <c r="E118" s="380">
        <f t="shared" ref="E118:E123" si="17">ROUND($B118*(1+($C$13-$B$124)/$B$124),0)</f>
        <v>22</v>
      </c>
      <c r="F118" s="380">
        <f t="shared" ref="F118:F123" si="18">ROUND($B118*(1+($D$13-$B$124)/$B$124),0)</f>
        <v>38</v>
      </c>
      <c r="G118" s="383">
        <f t="shared" si="12"/>
        <v>1517300</v>
      </c>
      <c r="H118" s="383">
        <f t="shared" si="13"/>
        <v>3338060</v>
      </c>
      <c r="I118" s="383">
        <f t="shared" si="14"/>
        <v>5765740</v>
      </c>
      <c r="J118" s="386">
        <f t="shared" si="15"/>
        <v>138074300</v>
      </c>
      <c r="K118" s="386">
        <f t="shared" si="15"/>
        <v>303763460</v>
      </c>
      <c r="L118" s="387">
        <f t="shared" si="15"/>
        <v>524682340</v>
      </c>
      <c r="M118"/>
      <c r="N118"/>
      <c r="O118"/>
    </row>
    <row r="119" spans="1:15" ht="14.4">
      <c r="A119" s="39" t="str">
        <f>Current!V7</f>
        <v>Near Earth Robotic - GEO and Near Earth</v>
      </c>
      <c r="B119" s="379">
        <f>Current!W7</f>
        <v>4</v>
      </c>
      <c r="C119" s="423">
        <f t="shared" si="11"/>
        <v>6.1538461538461542E-2</v>
      </c>
      <c r="D119" s="380">
        <f t="shared" si="16"/>
        <v>1</v>
      </c>
      <c r="E119" s="380">
        <f t="shared" si="17"/>
        <v>3</v>
      </c>
      <c r="F119" s="380">
        <f t="shared" si="18"/>
        <v>5</v>
      </c>
      <c r="G119" s="383">
        <f t="shared" si="12"/>
        <v>109.25</v>
      </c>
      <c r="H119" s="383">
        <f t="shared" si="13"/>
        <v>327.75</v>
      </c>
      <c r="I119" s="383">
        <f t="shared" si="14"/>
        <v>546.25</v>
      </c>
      <c r="J119" s="386">
        <f t="shared" si="15"/>
        <v>9941.75</v>
      </c>
      <c r="K119" s="386">
        <f t="shared" si="15"/>
        <v>29825.25</v>
      </c>
      <c r="L119" s="387">
        <f t="shared" si="15"/>
        <v>49708.75</v>
      </c>
      <c r="M119"/>
      <c r="N119"/>
      <c r="O119"/>
    </row>
    <row r="120" spans="1:15" ht="14.4">
      <c r="A120" s="39" t="str">
        <f>Current!V8</f>
        <v>Deep Space Robotic</v>
      </c>
      <c r="B120" s="379">
        <f>Current!W8</f>
        <v>1</v>
      </c>
      <c r="C120" s="423">
        <f t="shared" si="11"/>
        <v>1.5384615384615385E-2</v>
      </c>
      <c r="D120" s="380">
        <f t="shared" si="16"/>
        <v>0</v>
      </c>
      <c r="E120" s="380">
        <f t="shared" si="17"/>
        <v>1</v>
      </c>
      <c r="F120" s="380">
        <f t="shared" si="18"/>
        <v>1</v>
      </c>
      <c r="G120" s="383">
        <f t="shared" si="12"/>
        <v>0</v>
      </c>
      <c r="H120" s="383">
        <f t="shared" si="13"/>
        <v>572</v>
      </c>
      <c r="I120" s="383">
        <f t="shared" si="14"/>
        <v>572</v>
      </c>
      <c r="J120" s="386">
        <f t="shared" si="15"/>
        <v>0</v>
      </c>
      <c r="K120" s="386">
        <f t="shared" si="15"/>
        <v>52052</v>
      </c>
      <c r="L120" s="387">
        <f t="shared" si="15"/>
        <v>52052</v>
      </c>
      <c r="M120"/>
      <c r="N120"/>
      <c r="O120"/>
    </row>
    <row r="121" spans="1:15" ht="14.4">
      <c r="A121" s="39" t="str">
        <f>Current!V9</f>
        <v>Near Earth Robotic - Low Latency &amp; Complex Needs</v>
      </c>
      <c r="B121" s="379">
        <f>Current!W9</f>
        <v>2</v>
      </c>
      <c r="C121" s="423">
        <f t="shared" si="11"/>
        <v>3.0769230769230771E-2</v>
      </c>
      <c r="D121" s="380">
        <f t="shared" si="16"/>
        <v>1</v>
      </c>
      <c r="E121" s="380">
        <f t="shared" si="17"/>
        <v>2</v>
      </c>
      <c r="F121" s="380">
        <f t="shared" si="18"/>
        <v>3</v>
      </c>
      <c r="G121" s="383">
        <f t="shared" si="12"/>
        <v>4094</v>
      </c>
      <c r="H121" s="383">
        <f t="shared" si="13"/>
        <v>8188</v>
      </c>
      <c r="I121" s="383">
        <f t="shared" si="14"/>
        <v>12282</v>
      </c>
      <c r="J121" s="386">
        <f t="shared" si="15"/>
        <v>372554</v>
      </c>
      <c r="K121" s="386">
        <f t="shared" si="15"/>
        <v>745108</v>
      </c>
      <c r="L121" s="387">
        <f t="shared" si="15"/>
        <v>1117662</v>
      </c>
      <c r="M121"/>
      <c r="N121"/>
      <c r="O121"/>
    </row>
    <row r="122" spans="1:15" ht="14.4">
      <c r="A122" s="39" t="str">
        <f>Current!V10</f>
        <v>Mission Operations</v>
      </c>
      <c r="B122" s="379">
        <f>Current!W10</f>
        <v>0</v>
      </c>
      <c r="C122" s="423">
        <f t="shared" si="11"/>
        <v>0</v>
      </c>
      <c r="D122" s="380">
        <f t="shared" si="16"/>
        <v>0</v>
      </c>
      <c r="E122" s="380">
        <f t="shared" si="17"/>
        <v>0</v>
      </c>
      <c r="F122" s="380">
        <f t="shared" si="18"/>
        <v>0</v>
      </c>
      <c r="G122" s="383" t="str">
        <f t="shared" si="12"/>
        <v>-</v>
      </c>
      <c r="H122" s="383" t="str">
        <f t="shared" si="13"/>
        <v>-</v>
      </c>
      <c r="I122" s="383" t="str">
        <f t="shared" si="14"/>
        <v>-</v>
      </c>
      <c r="J122" s="386" t="str">
        <f t="shared" si="15"/>
        <v>-</v>
      </c>
      <c r="K122" s="386" t="str">
        <f t="shared" si="15"/>
        <v>-</v>
      </c>
      <c r="L122" s="387" t="str">
        <f t="shared" si="15"/>
        <v>-</v>
      </c>
      <c r="M122"/>
      <c r="N122"/>
      <c r="O122"/>
    </row>
    <row r="123" spans="1:15" ht="14.4">
      <c r="A123" s="39" t="str">
        <f>Current!V12</f>
        <v>Terrestrial &amp; Aerial</v>
      </c>
      <c r="B123" s="379">
        <f>Current!W12</f>
        <v>15</v>
      </c>
      <c r="C123" s="423">
        <f t="shared" si="11"/>
        <v>0.23076923076923078</v>
      </c>
      <c r="D123" s="380">
        <f t="shared" si="16"/>
        <v>5</v>
      </c>
      <c r="E123" s="380">
        <f t="shared" si="17"/>
        <v>11</v>
      </c>
      <c r="F123" s="380">
        <f t="shared" si="18"/>
        <v>20</v>
      </c>
      <c r="G123" s="383">
        <f t="shared" si="12"/>
        <v>86717.666666666657</v>
      </c>
      <c r="H123" s="383">
        <f t="shared" si="13"/>
        <v>190778.86666666667</v>
      </c>
      <c r="I123" s="383">
        <f t="shared" si="14"/>
        <v>346870.66666666663</v>
      </c>
      <c r="J123" s="386">
        <f t="shared" si="15"/>
        <v>7891307.666666666</v>
      </c>
      <c r="K123" s="386">
        <f t="shared" si="15"/>
        <v>17360876.866666667</v>
      </c>
      <c r="L123" s="387">
        <f t="shared" si="15"/>
        <v>31565230.666666664</v>
      </c>
      <c r="M123"/>
      <c r="N123"/>
      <c r="O123"/>
    </row>
    <row r="124" spans="1:15" ht="15" thickBot="1">
      <c r="A124" s="38" t="s">
        <v>223</v>
      </c>
      <c r="B124" s="381">
        <f>SUM(B117:B122,B123)</f>
        <v>65</v>
      </c>
      <c r="C124" s="424">
        <f t="shared" ref="C124:I124" si="19">SUM(C117:C123)</f>
        <v>1</v>
      </c>
      <c r="D124" s="382">
        <f t="shared" si="19"/>
        <v>22</v>
      </c>
      <c r="E124" s="382">
        <f t="shared" si="19"/>
        <v>50</v>
      </c>
      <c r="F124" s="382">
        <f>SUM(F117:F123)</f>
        <v>85</v>
      </c>
      <c r="G124" s="382">
        <f t="shared" si="19"/>
        <v>2498438.7738095238</v>
      </c>
      <c r="H124" s="382">
        <f t="shared" si="19"/>
        <v>5496405.9023809517</v>
      </c>
      <c r="I124" s="382">
        <f t="shared" si="19"/>
        <v>9330795.2023809515</v>
      </c>
      <c r="J124" s="388">
        <f t="shared" ref="J124:L124" si="20">SUM(J117:J123)</f>
        <v>227357928.41666666</v>
      </c>
      <c r="K124" s="388">
        <f t="shared" si="20"/>
        <v>500172937.11666667</v>
      </c>
      <c r="L124" s="389">
        <f t="shared" si="20"/>
        <v>849102363.41666663</v>
      </c>
      <c r="M124"/>
      <c r="N124"/>
      <c r="O124"/>
    </row>
    <row r="125" spans="1:15">
      <c r="J125" s="46"/>
    </row>
    <row r="126" spans="1:15" ht="16.2" thickBot="1">
      <c r="A126" s="49" t="s">
        <v>230</v>
      </c>
    </row>
    <row r="127" spans="1:15" ht="14.4" customHeight="1">
      <c r="A127" s="438" t="s">
        <v>59</v>
      </c>
      <c r="B127" s="450" t="s">
        <v>378</v>
      </c>
      <c r="C127" s="450" t="s">
        <v>540</v>
      </c>
      <c r="D127" s="477" t="s">
        <v>453</v>
      </c>
      <c r="E127" s="478"/>
      <c r="F127" s="479"/>
      <c r="G127" s="487" t="s">
        <v>225</v>
      </c>
      <c r="H127" s="487"/>
      <c r="I127" s="487"/>
      <c r="J127" s="487" t="s">
        <v>227</v>
      </c>
      <c r="K127" s="487"/>
      <c r="L127" s="488"/>
      <c r="M127"/>
      <c r="N127"/>
      <c r="O127"/>
    </row>
    <row r="128" spans="1:15" ht="15" customHeight="1">
      <c r="A128" s="439"/>
      <c r="B128" s="451"/>
      <c r="C128" s="451"/>
      <c r="D128" s="418" t="s">
        <v>7</v>
      </c>
      <c r="E128" s="418" t="s">
        <v>55</v>
      </c>
      <c r="F128" s="418" t="s">
        <v>6</v>
      </c>
      <c r="G128" s="418" t="s">
        <v>7</v>
      </c>
      <c r="H128" s="418" t="s">
        <v>55</v>
      </c>
      <c r="I128" s="418" t="s">
        <v>6</v>
      </c>
      <c r="J128" s="418" t="s">
        <v>7</v>
      </c>
      <c r="K128" s="418" t="s">
        <v>55</v>
      </c>
      <c r="L128" s="47" t="s">
        <v>6</v>
      </c>
      <c r="M128"/>
      <c r="N128"/>
      <c r="O128"/>
    </row>
    <row r="129" spans="1:15" ht="14.4">
      <c r="A129" s="39" t="s">
        <v>220</v>
      </c>
      <c r="B129" s="379">
        <f>Current!J11</f>
        <v>0</v>
      </c>
      <c r="C129" s="423">
        <f>B129/$B$131</f>
        <v>0</v>
      </c>
      <c r="D129" s="358">
        <f>ROUND($B129*(1+($B$14-$B$131)/$B$131),0)</f>
        <v>0</v>
      </c>
      <c r="E129" s="358">
        <f>ROUND($B129*(1+($C$14-$B$131)/$B$131),0)</f>
        <v>0</v>
      </c>
      <c r="F129" s="358">
        <f>ROUND($B129*(1+($D$14-$B$131)/$B$131),0)</f>
        <v>0</v>
      </c>
      <c r="G129" s="383">
        <f>IFERROR(D129*Current!$L$17,"-")</f>
        <v>0</v>
      </c>
      <c r="H129" s="383">
        <f>IFERROR(E129*Current!$L$17,"-")</f>
        <v>0</v>
      </c>
      <c r="I129" s="383">
        <f>IFERROR(F129*Current!$L$17,"-")</f>
        <v>0</v>
      </c>
      <c r="J129" s="386">
        <f t="shared" ref="J129:L130" si="21">IFERROR(G129*$B$72,"-")</f>
        <v>0</v>
      </c>
      <c r="K129" s="386">
        <f t="shared" si="21"/>
        <v>0</v>
      </c>
      <c r="L129" s="387">
        <f t="shared" si="21"/>
        <v>0</v>
      </c>
      <c r="M129"/>
      <c r="N129"/>
      <c r="O129"/>
    </row>
    <row r="130" spans="1:15" ht="14.4">
      <c r="A130" s="39" t="s">
        <v>221</v>
      </c>
      <c r="B130" s="358">
        <f>Current!W11</f>
        <v>2</v>
      </c>
      <c r="C130" s="423">
        <f>B130/$B$131</f>
        <v>1</v>
      </c>
      <c r="D130" s="358">
        <f>ROUND($B130*(1+($B$14-$B$131)/$B$131),0)</f>
        <v>20</v>
      </c>
      <c r="E130" s="358">
        <f>ROUND($B130*(1+($C$14-$B$131)/$B$131),0)</f>
        <v>30</v>
      </c>
      <c r="F130" s="358">
        <f>ROUND($B130*(1+($D$14-$B$131)/$B$131),0)</f>
        <v>40</v>
      </c>
      <c r="G130" s="383">
        <f>IFERROR(D130*Current!$Y$17,"-")</f>
        <v>105541.59843638947</v>
      </c>
      <c r="H130" s="383">
        <f>IFERROR(E130*Current!$Y$17,"-")</f>
        <v>158312.3976545842</v>
      </c>
      <c r="I130" s="383">
        <f>IFERROR(F130*Current!$Y$17,"-")</f>
        <v>211083.19687277894</v>
      </c>
      <c r="J130" s="386">
        <f t="shared" si="21"/>
        <v>9604285.4577114414</v>
      </c>
      <c r="K130" s="386">
        <f t="shared" si="21"/>
        <v>14406428.186567163</v>
      </c>
      <c r="L130" s="387">
        <f t="shared" si="21"/>
        <v>19208570.915422883</v>
      </c>
      <c r="M130"/>
      <c r="N130"/>
      <c r="O130"/>
    </row>
    <row r="131" spans="1:15" ht="14.4" customHeight="1" thickBot="1">
      <c r="A131" s="38" t="s">
        <v>61</v>
      </c>
      <c r="B131" s="381">
        <f t="shared" ref="B131:L131" si="22">SUM(B129:B130)</f>
        <v>2</v>
      </c>
      <c r="C131" s="424">
        <f t="shared" si="22"/>
        <v>1</v>
      </c>
      <c r="D131" s="359">
        <f t="shared" si="22"/>
        <v>20</v>
      </c>
      <c r="E131" s="359">
        <f t="shared" si="22"/>
        <v>30</v>
      </c>
      <c r="F131" s="359">
        <f t="shared" si="22"/>
        <v>40</v>
      </c>
      <c r="G131" s="359">
        <f t="shared" si="22"/>
        <v>105541.59843638947</v>
      </c>
      <c r="H131" s="359">
        <f t="shared" si="22"/>
        <v>158312.3976545842</v>
      </c>
      <c r="I131" s="359">
        <f t="shared" si="22"/>
        <v>211083.19687277894</v>
      </c>
      <c r="J131" s="390">
        <f t="shared" si="22"/>
        <v>9604285.4577114414</v>
      </c>
      <c r="K131" s="390">
        <f t="shared" si="22"/>
        <v>14406428.186567163</v>
      </c>
      <c r="L131" s="391">
        <f t="shared" si="22"/>
        <v>19208570.915422883</v>
      </c>
      <c r="M131"/>
      <c r="N131"/>
      <c r="O131"/>
    </row>
    <row r="132" spans="1:15">
      <c r="A132" s="45"/>
      <c r="B132" s="42"/>
      <c r="C132" s="43"/>
      <c r="D132" s="44"/>
      <c r="E132" s="44"/>
      <c r="F132" s="44"/>
    </row>
    <row r="133" spans="1:15">
      <c r="A133" s="45"/>
      <c r="B133" s="42"/>
      <c r="C133" s="43"/>
      <c r="D133" s="44"/>
      <c r="E133" s="44"/>
      <c r="F133" s="44"/>
    </row>
    <row r="134" spans="1:15" s="48" customFormat="1"/>
    <row r="136" spans="1:15" ht="14.4" thickBot="1">
      <c r="A136" s="34" t="s">
        <v>231</v>
      </c>
    </row>
    <row r="137" spans="1:15" ht="14.4">
      <c r="A137" s="438" t="s">
        <v>59</v>
      </c>
      <c r="B137" s="450" t="s">
        <v>378</v>
      </c>
      <c r="C137" s="450" t="s">
        <v>454</v>
      </c>
      <c r="D137" s="477" t="s">
        <v>453</v>
      </c>
      <c r="E137" s="478"/>
      <c r="F137" s="479"/>
      <c r="G137" s="487" t="s">
        <v>225</v>
      </c>
      <c r="H137" s="487"/>
      <c r="I137" s="487"/>
      <c r="J137" s="487" t="s">
        <v>227</v>
      </c>
      <c r="K137" s="487"/>
      <c r="L137" s="488"/>
      <c r="M137"/>
      <c r="N137"/>
      <c r="O137"/>
    </row>
    <row r="138" spans="1:15" ht="14.4">
      <c r="A138" s="439"/>
      <c r="B138" s="451"/>
      <c r="C138" s="451"/>
      <c r="D138" s="418" t="s">
        <v>7</v>
      </c>
      <c r="E138" s="418" t="s">
        <v>55</v>
      </c>
      <c r="F138" s="418" t="s">
        <v>6</v>
      </c>
      <c r="G138" s="418" t="s">
        <v>7</v>
      </c>
      <c r="H138" s="418" t="s">
        <v>55</v>
      </c>
      <c r="I138" s="418" t="s">
        <v>6</v>
      </c>
      <c r="J138" s="418" t="s">
        <v>7</v>
      </c>
      <c r="K138" s="418" t="s">
        <v>55</v>
      </c>
      <c r="L138" s="47" t="s">
        <v>6</v>
      </c>
      <c r="M138"/>
      <c r="N138"/>
      <c r="O138"/>
    </row>
    <row r="139" spans="1:15" ht="14.4">
      <c r="A139" s="39" t="str">
        <f>Current!I5</f>
        <v>Human Space Flight</v>
      </c>
      <c r="B139" s="358">
        <f>Current!J5</f>
        <v>4</v>
      </c>
      <c r="C139" s="423">
        <f t="shared" ref="C139:C145" si="23">B139/$B$146</f>
        <v>0.08</v>
      </c>
      <c r="D139" s="380">
        <f>ROUND($B139*(1+($G$12-$B$146)/$B$146),0)</f>
        <v>2</v>
      </c>
      <c r="E139" s="380">
        <f>ROUND($B139*(1+($H$12-$B$146)/$B$146),0)</f>
        <v>3</v>
      </c>
      <c r="F139" s="380">
        <f>ROUND($B139*(1+($I$12-$B$146)/$B$146),0)</f>
        <v>6</v>
      </c>
      <c r="G139" s="383">
        <f>IFERROR(IF(C30="Yes",D139*D44,"-"),"-")</f>
        <v>231720.41666666666</v>
      </c>
      <c r="H139" s="383">
        <f>IFERROR(IF(C30="Yes",E139*D44,"-"),"-")</f>
        <v>347580.625</v>
      </c>
      <c r="I139" s="383">
        <f>IFERROR(IF(C30="Yes",F139*D44,"-"),"-")</f>
        <v>695161.25</v>
      </c>
      <c r="J139" s="386">
        <f>IFERROR(G139*$B$71,"-")</f>
        <v>4402687.916666666</v>
      </c>
      <c r="K139" s="386">
        <f t="shared" ref="K139:L139" si="24">IFERROR(H139*$B$71,"-")</f>
        <v>6604031.875</v>
      </c>
      <c r="L139" s="387">
        <f t="shared" si="24"/>
        <v>13208063.75</v>
      </c>
      <c r="M139"/>
      <c r="N139"/>
      <c r="O139"/>
    </row>
    <row r="140" spans="1:15" ht="14.4">
      <c r="A140" s="39" t="str">
        <f>Current!I6</f>
        <v>Near Earth Robotic - LEO Science</v>
      </c>
      <c r="B140" s="358">
        <f>Current!J6</f>
        <v>34</v>
      </c>
      <c r="C140" s="423">
        <f t="shared" si="23"/>
        <v>0.68</v>
      </c>
      <c r="D140" s="380">
        <f t="shared" ref="D140:D145" si="25">ROUND($B140*(1+($G$12-$B$146)/$B$146),0)</f>
        <v>16</v>
      </c>
      <c r="E140" s="380">
        <f t="shared" ref="E140:E145" si="26">ROUND($B140*(1+($H$12-$B$146)/$B$146),0)</f>
        <v>27</v>
      </c>
      <c r="F140" s="380">
        <f t="shared" ref="F140:F145" si="27">ROUND($B140*(1+($I$12-$B$146)/$B$146),0)</f>
        <v>52</v>
      </c>
      <c r="G140" s="383">
        <f t="shared" ref="G140:G145" si="28">IFERROR(IF(C31="Yes",D140*D45,"-"),"-")</f>
        <v>310314.90980392159</v>
      </c>
      <c r="H140" s="383">
        <f t="shared" ref="H140:H145" si="29">IFERROR(IF(C31="Yes",E140*D45,"-"),"-")</f>
        <v>523656.4102941177</v>
      </c>
      <c r="I140" s="383">
        <f t="shared" ref="I140:I145" si="30">IFERROR(IF(C31="Yes",F140*D45,"-"),"-")</f>
        <v>1008523.4568627451</v>
      </c>
      <c r="J140" s="386">
        <f t="shared" ref="J140:J145" si="31">IFERROR(G140*$B$71,"-")</f>
        <v>5895983.2862745104</v>
      </c>
      <c r="K140" s="386">
        <f t="shared" ref="K140:K145" si="32">IFERROR(H140*$B$71,"-")</f>
        <v>9949471.7955882363</v>
      </c>
      <c r="L140" s="387">
        <f t="shared" ref="L140:L145" si="33">IFERROR(I140*$B$71,"-")</f>
        <v>19161945.680392157</v>
      </c>
      <c r="M140"/>
      <c r="N140"/>
      <c r="O140"/>
    </row>
    <row r="141" spans="1:15" ht="14.4">
      <c r="A141" s="39" t="str">
        <f>Current!I7</f>
        <v>Near Earth Robotic - GEO and Near Earth</v>
      </c>
      <c r="B141" s="358">
        <f>Current!J7</f>
        <v>11</v>
      </c>
      <c r="C141" s="423">
        <f t="shared" si="23"/>
        <v>0.22</v>
      </c>
      <c r="D141" s="380">
        <f t="shared" si="25"/>
        <v>5</v>
      </c>
      <c r="E141" s="380">
        <f t="shared" si="26"/>
        <v>9</v>
      </c>
      <c r="F141" s="380">
        <f t="shared" si="27"/>
        <v>17</v>
      </c>
      <c r="G141" s="383">
        <f t="shared" si="28"/>
        <v>154326.73484848486</v>
      </c>
      <c r="H141" s="383">
        <f t="shared" si="29"/>
        <v>277788.12272727274</v>
      </c>
      <c r="I141" s="383">
        <f t="shared" si="30"/>
        <v>524710.89848484844</v>
      </c>
      <c r="J141" s="386">
        <f t="shared" si="31"/>
        <v>2932207.9621212124</v>
      </c>
      <c r="K141" s="386">
        <f t="shared" si="32"/>
        <v>5277974.331818182</v>
      </c>
      <c r="L141" s="387">
        <f t="shared" si="33"/>
        <v>9969507.0712121204</v>
      </c>
      <c r="M141"/>
      <c r="N141"/>
      <c r="O141"/>
    </row>
    <row r="142" spans="1:15" ht="14.4" customHeight="1">
      <c r="A142" s="39" t="str">
        <f>Current!I8</f>
        <v>Deep Space Robotic</v>
      </c>
      <c r="B142" s="358">
        <f>Current!J8</f>
        <v>0</v>
      </c>
      <c r="C142" s="423">
        <f t="shared" si="23"/>
        <v>0</v>
      </c>
      <c r="D142" s="380">
        <f t="shared" si="25"/>
        <v>0</v>
      </c>
      <c r="E142" s="380">
        <f t="shared" si="26"/>
        <v>0</v>
      </c>
      <c r="F142" s="380">
        <f t="shared" si="27"/>
        <v>0</v>
      </c>
      <c r="G142" s="383" t="str">
        <f t="shared" si="28"/>
        <v>-</v>
      </c>
      <c r="H142" s="383" t="str">
        <f t="shared" si="29"/>
        <v>-</v>
      </c>
      <c r="I142" s="383" t="str">
        <f t="shared" si="30"/>
        <v>-</v>
      </c>
      <c r="J142" s="386" t="str">
        <f t="shared" si="31"/>
        <v>-</v>
      </c>
      <c r="K142" s="386" t="str">
        <f t="shared" si="32"/>
        <v>-</v>
      </c>
      <c r="L142" s="387" t="str">
        <f t="shared" si="33"/>
        <v>-</v>
      </c>
      <c r="M142"/>
      <c r="N142"/>
      <c r="O142"/>
    </row>
    <row r="143" spans="1:15" ht="14.4">
      <c r="A143" s="39" t="str">
        <f>Current!I9</f>
        <v>Near Earth Robotic - Low Latency &amp; Complex Needs</v>
      </c>
      <c r="B143" s="358">
        <f>Current!J9</f>
        <v>1</v>
      </c>
      <c r="C143" s="423">
        <f t="shared" si="23"/>
        <v>0.02</v>
      </c>
      <c r="D143" s="380">
        <f t="shared" si="25"/>
        <v>0</v>
      </c>
      <c r="E143" s="380">
        <f t="shared" si="26"/>
        <v>1</v>
      </c>
      <c r="F143" s="380">
        <f t="shared" si="27"/>
        <v>2</v>
      </c>
      <c r="G143" s="383">
        <f t="shared" si="28"/>
        <v>0</v>
      </c>
      <c r="H143" s="383">
        <f t="shared" si="29"/>
        <v>22562.250000000011</v>
      </c>
      <c r="I143" s="383">
        <f t="shared" si="30"/>
        <v>45124.500000000022</v>
      </c>
      <c r="J143" s="386">
        <f t="shared" si="31"/>
        <v>0</v>
      </c>
      <c r="K143" s="386">
        <f t="shared" si="32"/>
        <v>428682.75000000023</v>
      </c>
      <c r="L143" s="387">
        <f t="shared" si="33"/>
        <v>857365.50000000047</v>
      </c>
      <c r="M143"/>
      <c r="N143" s="37"/>
      <c r="O143"/>
    </row>
    <row r="144" spans="1:15" ht="14.4">
      <c r="A144" s="39" t="str">
        <f>Current!I10</f>
        <v>Mission Operations</v>
      </c>
      <c r="B144" s="358">
        <f>Current!J10</f>
        <v>0</v>
      </c>
      <c r="C144" s="423">
        <f t="shared" si="23"/>
        <v>0</v>
      </c>
      <c r="D144" s="380">
        <f t="shared" si="25"/>
        <v>0</v>
      </c>
      <c r="E144" s="380">
        <f t="shared" si="26"/>
        <v>0</v>
      </c>
      <c r="F144" s="380">
        <f t="shared" si="27"/>
        <v>0</v>
      </c>
      <c r="G144" s="383" t="str">
        <f t="shared" si="28"/>
        <v>-</v>
      </c>
      <c r="H144" s="383" t="str">
        <f t="shared" si="29"/>
        <v>-</v>
      </c>
      <c r="I144" s="383" t="str">
        <f t="shared" si="30"/>
        <v>-</v>
      </c>
      <c r="J144" s="386" t="str">
        <f t="shared" si="31"/>
        <v>-</v>
      </c>
      <c r="K144" s="386" t="str">
        <f t="shared" si="32"/>
        <v>-</v>
      </c>
      <c r="L144" s="387" t="str">
        <f t="shared" si="33"/>
        <v>-</v>
      </c>
      <c r="M144"/>
      <c r="N144"/>
      <c r="O144"/>
    </row>
    <row r="145" spans="1:18" ht="14.4">
      <c r="A145" s="39" t="str">
        <f>Current!I12</f>
        <v>Terrestrial &amp; Aerial</v>
      </c>
      <c r="B145" s="358">
        <f>Current!J12</f>
        <v>0</v>
      </c>
      <c r="C145" s="423">
        <f t="shared" si="23"/>
        <v>0</v>
      </c>
      <c r="D145" s="380">
        <f t="shared" si="25"/>
        <v>0</v>
      </c>
      <c r="E145" s="380">
        <f t="shared" si="26"/>
        <v>0</v>
      </c>
      <c r="F145" s="380">
        <f t="shared" si="27"/>
        <v>0</v>
      </c>
      <c r="G145" s="383" t="str">
        <f t="shared" si="28"/>
        <v>-</v>
      </c>
      <c r="H145" s="383" t="str">
        <f t="shared" si="29"/>
        <v>-</v>
      </c>
      <c r="I145" s="383" t="str">
        <f t="shared" si="30"/>
        <v>-</v>
      </c>
      <c r="J145" s="386" t="str">
        <f t="shared" si="31"/>
        <v>-</v>
      </c>
      <c r="K145" s="386" t="str">
        <f t="shared" si="32"/>
        <v>-</v>
      </c>
      <c r="L145" s="387" t="str">
        <f t="shared" si="33"/>
        <v>-</v>
      </c>
      <c r="M145"/>
      <c r="N145"/>
      <c r="O145"/>
    </row>
    <row r="146" spans="1:18" ht="15" thickBot="1">
      <c r="A146" s="231" t="s">
        <v>219</v>
      </c>
      <c r="B146" s="381">
        <f>SUM(B139:B144,B145)</f>
        <v>50</v>
      </c>
      <c r="C146" s="424">
        <f t="shared" ref="C146:L146" si="34">SUM(C139:C145)</f>
        <v>1</v>
      </c>
      <c r="D146" s="382">
        <f t="shared" si="34"/>
        <v>23</v>
      </c>
      <c r="E146" s="382">
        <f t="shared" si="34"/>
        <v>40</v>
      </c>
      <c r="F146" s="382">
        <f t="shared" si="34"/>
        <v>77</v>
      </c>
      <c r="G146" s="382">
        <f t="shared" si="34"/>
        <v>696362.06131907308</v>
      </c>
      <c r="H146" s="382">
        <f t="shared" si="34"/>
        <v>1171587.4080213904</v>
      </c>
      <c r="I146" s="382">
        <f t="shared" si="34"/>
        <v>2273520.1053475933</v>
      </c>
      <c r="J146" s="388">
        <f t="shared" si="34"/>
        <v>13230879.165062388</v>
      </c>
      <c r="K146" s="388">
        <f t="shared" si="34"/>
        <v>22260160.752406418</v>
      </c>
      <c r="L146" s="389">
        <f t="shared" si="34"/>
        <v>43196882.001604274</v>
      </c>
      <c r="M146"/>
      <c r="N146"/>
      <c r="O146"/>
    </row>
    <row r="147" spans="1:18" ht="14.4">
      <c r="M147"/>
      <c r="N147"/>
      <c r="O147"/>
    </row>
    <row r="148" spans="1:18" ht="15" thickBot="1">
      <c r="A148" s="34" t="s">
        <v>232</v>
      </c>
      <c r="M148"/>
      <c r="N148"/>
      <c r="O148"/>
    </row>
    <row r="149" spans="1:18" ht="14.4">
      <c r="A149" s="438" t="s">
        <v>59</v>
      </c>
      <c r="B149" s="450" t="s">
        <v>378</v>
      </c>
      <c r="C149" s="450" t="s">
        <v>454</v>
      </c>
      <c r="D149" s="477" t="s">
        <v>453</v>
      </c>
      <c r="E149" s="478"/>
      <c r="F149" s="479"/>
      <c r="G149" s="487" t="s">
        <v>225</v>
      </c>
      <c r="H149" s="487"/>
      <c r="I149" s="487"/>
      <c r="J149" s="487" t="s">
        <v>227</v>
      </c>
      <c r="K149" s="487"/>
      <c r="L149" s="488"/>
      <c r="M149"/>
      <c r="N149"/>
      <c r="O149"/>
    </row>
    <row r="150" spans="1:18" ht="14.4">
      <c r="A150" s="439"/>
      <c r="B150" s="451"/>
      <c r="C150" s="451"/>
      <c r="D150" s="418" t="s">
        <v>7</v>
      </c>
      <c r="E150" s="418" t="s">
        <v>55</v>
      </c>
      <c r="F150" s="418" t="s">
        <v>6</v>
      </c>
      <c r="G150" s="418" t="s">
        <v>7</v>
      </c>
      <c r="H150" s="418" t="s">
        <v>55</v>
      </c>
      <c r="I150" s="418" t="s">
        <v>6</v>
      </c>
      <c r="J150" s="418" t="s">
        <v>7</v>
      </c>
      <c r="K150" s="418" t="s">
        <v>55</v>
      </c>
      <c r="L150" s="47" t="s">
        <v>6</v>
      </c>
      <c r="M150"/>
      <c r="N150"/>
      <c r="O150"/>
    </row>
    <row r="151" spans="1:18" ht="14.4">
      <c r="A151" s="39" t="str">
        <f>Current!I5</f>
        <v>Human Space Flight</v>
      </c>
      <c r="B151" s="379">
        <f>Current!W5</f>
        <v>14</v>
      </c>
      <c r="C151" s="423">
        <f t="shared" ref="C151:C157" si="35">B151/$B$124</f>
        <v>0.2153846153846154</v>
      </c>
      <c r="D151" s="380">
        <f>ROUND($B151*(1+($G$13-$B$158)/$B$158),0)</f>
        <v>3</v>
      </c>
      <c r="E151" s="380">
        <f>ROUND($B151*(1+($H$13-$B$158)/$B$158),0)</f>
        <v>9</v>
      </c>
      <c r="F151" s="380">
        <f>ROUND($B151*(1+($I$13-$B$158)/$B$158),0)</f>
        <v>16</v>
      </c>
      <c r="G151" s="383">
        <f>IFERROR(IF(C30="Yes",D151*I44,"-"),"-")</f>
        <v>534130.71428571432</v>
      </c>
      <c r="H151" s="383">
        <f>IFERROR(IF(C30="Yes",E151*I44,"-"),"-")</f>
        <v>1602392.1428571427</v>
      </c>
      <c r="I151" s="383">
        <f>IFERROR(IF(C30="Yes",F151*I44,"-"),"-")</f>
        <v>2848697.1428571427</v>
      </c>
      <c r="J151" s="386">
        <f>IFERROR(G151*$B$72,"-")</f>
        <v>48605895</v>
      </c>
      <c r="K151" s="386">
        <f t="shared" ref="K151:L151" si="36">IFERROR(H151*$B$72,"-")</f>
        <v>145817685</v>
      </c>
      <c r="L151" s="387">
        <f t="shared" si="36"/>
        <v>259231440</v>
      </c>
      <c r="M151"/>
      <c r="N151"/>
      <c r="O151"/>
    </row>
    <row r="152" spans="1:18" ht="14.4">
      <c r="A152" s="39" t="str">
        <f>Current!I6</f>
        <v>Near Earth Robotic - LEO Science</v>
      </c>
      <c r="B152" s="379">
        <f>Current!W6</f>
        <v>29</v>
      </c>
      <c r="C152" s="423">
        <f t="shared" si="35"/>
        <v>0.44615384615384618</v>
      </c>
      <c r="D152" s="380">
        <f t="shared" ref="D152:D157" si="37">ROUND($B152*(1+($G$13-$B$158)/$B$158),0)</f>
        <v>7</v>
      </c>
      <c r="E152" s="380">
        <f t="shared" ref="E152:E157" si="38">ROUND($B152*(1+($H$13-$B$158)/$B$158),0)</f>
        <v>18</v>
      </c>
      <c r="F152" s="380">
        <f t="shared" ref="F152:F157" si="39">ROUND($B152*(1+($I$13-$B$158)/$B$158),0)</f>
        <v>34</v>
      </c>
      <c r="G152" s="383">
        <f t="shared" ref="G152:G157" si="40">IFERROR(IF(C31="Yes",D152*I45,"-"),"-")</f>
        <v>1062110</v>
      </c>
      <c r="H152" s="383">
        <f t="shared" ref="H152:H157" si="41">IFERROR(IF(C31="Yes",E152*I45,"-"),"-")</f>
        <v>2731140</v>
      </c>
      <c r="I152" s="383">
        <f t="shared" ref="I152:I157" si="42">IFERROR(IF(C31="Yes",F152*I45,"-"),"-")</f>
        <v>5158820</v>
      </c>
      <c r="J152" s="386">
        <f t="shared" ref="J152:J157" si="43">IFERROR(G152*$B$72,"-")</f>
        <v>96652010</v>
      </c>
      <c r="K152" s="386">
        <f t="shared" ref="K152:K157" si="44">IFERROR(H152*$B$72,"-")</f>
        <v>248533740</v>
      </c>
      <c r="L152" s="387">
        <f t="shared" ref="L152:L157" si="45">IFERROR(I152*$B$72,"-")</f>
        <v>469452620</v>
      </c>
      <c r="M152"/>
      <c r="N152"/>
      <c r="O152"/>
    </row>
    <row r="153" spans="1:18" ht="14.4">
      <c r="A153" s="39" t="str">
        <f>Current!I7</f>
        <v>Near Earth Robotic - GEO and Near Earth</v>
      </c>
      <c r="B153" s="379">
        <f>Current!W7</f>
        <v>4</v>
      </c>
      <c r="C153" s="423">
        <f t="shared" si="35"/>
        <v>6.1538461538461542E-2</v>
      </c>
      <c r="D153" s="380">
        <f t="shared" si="37"/>
        <v>1</v>
      </c>
      <c r="E153" s="380">
        <f t="shared" si="38"/>
        <v>2</v>
      </c>
      <c r="F153" s="380">
        <f t="shared" si="39"/>
        <v>5</v>
      </c>
      <c r="G153" s="383">
        <f t="shared" si="40"/>
        <v>109.25</v>
      </c>
      <c r="H153" s="383">
        <f t="shared" si="41"/>
        <v>218.5</v>
      </c>
      <c r="I153" s="383">
        <f t="shared" si="42"/>
        <v>546.25</v>
      </c>
      <c r="J153" s="386">
        <f t="shared" si="43"/>
        <v>9941.75</v>
      </c>
      <c r="K153" s="386">
        <f t="shared" si="44"/>
        <v>19883.5</v>
      </c>
      <c r="L153" s="387">
        <f t="shared" si="45"/>
        <v>49708.75</v>
      </c>
      <c r="M153"/>
      <c r="N153"/>
      <c r="O153"/>
    </row>
    <row r="154" spans="1:18" ht="14.4">
      <c r="A154" s="39" t="str">
        <f>Current!I8</f>
        <v>Deep Space Robotic</v>
      </c>
      <c r="B154" s="379">
        <f>Current!W8</f>
        <v>1</v>
      </c>
      <c r="C154" s="423">
        <f t="shared" si="35"/>
        <v>1.5384615384615385E-2</v>
      </c>
      <c r="D154" s="380">
        <f t="shared" si="37"/>
        <v>0</v>
      </c>
      <c r="E154" s="380">
        <f t="shared" si="38"/>
        <v>1</v>
      </c>
      <c r="F154" s="380">
        <f t="shared" si="39"/>
        <v>1</v>
      </c>
      <c r="G154" s="383">
        <f t="shared" si="40"/>
        <v>0</v>
      </c>
      <c r="H154" s="383">
        <f t="shared" si="41"/>
        <v>572</v>
      </c>
      <c r="I154" s="383">
        <f t="shared" si="42"/>
        <v>572</v>
      </c>
      <c r="J154" s="386">
        <f t="shared" si="43"/>
        <v>0</v>
      </c>
      <c r="K154" s="386">
        <f t="shared" si="44"/>
        <v>52052</v>
      </c>
      <c r="L154" s="387">
        <f t="shared" si="45"/>
        <v>52052</v>
      </c>
      <c r="M154"/>
      <c r="N154"/>
      <c r="O154"/>
    </row>
    <row r="155" spans="1:18" ht="14.4">
      <c r="A155" s="39" t="str">
        <f>Current!I9</f>
        <v>Near Earth Robotic - Low Latency &amp; Complex Needs</v>
      </c>
      <c r="B155" s="379">
        <f>Current!W9</f>
        <v>2</v>
      </c>
      <c r="C155" s="423">
        <f t="shared" si="35"/>
        <v>3.0769230769230771E-2</v>
      </c>
      <c r="D155" s="380">
        <f t="shared" si="37"/>
        <v>0</v>
      </c>
      <c r="E155" s="380">
        <f t="shared" si="38"/>
        <v>1</v>
      </c>
      <c r="F155" s="380">
        <f t="shared" si="39"/>
        <v>2</v>
      </c>
      <c r="G155" s="383">
        <f t="shared" si="40"/>
        <v>0</v>
      </c>
      <c r="H155" s="383">
        <f t="shared" si="41"/>
        <v>4094</v>
      </c>
      <c r="I155" s="383">
        <f t="shared" si="42"/>
        <v>8188</v>
      </c>
      <c r="J155" s="386">
        <f t="shared" si="43"/>
        <v>0</v>
      </c>
      <c r="K155" s="386">
        <f t="shared" si="44"/>
        <v>372554</v>
      </c>
      <c r="L155" s="387">
        <f t="shared" si="45"/>
        <v>745108</v>
      </c>
      <c r="M155"/>
      <c r="N155"/>
      <c r="O155"/>
    </row>
    <row r="156" spans="1:18" ht="14.4">
      <c r="A156" s="39" t="str">
        <f>Current!I10</f>
        <v>Mission Operations</v>
      </c>
      <c r="B156" s="379">
        <f>Current!W10</f>
        <v>0</v>
      </c>
      <c r="C156" s="423">
        <f t="shared" si="35"/>
        <v>0</v>
      </c>
      <c r="D156" s="380">
        <f t="shared" si="37"/>
        <v>0</v>
      </c>
      <c r="E156" s="380">
        <f t="shared" si="38"/>
        <v>0</v>
      </c>
      <c r="F156" s="380">
        <f t="shared" si="39"/>
        <v>0</v>
      </c>
      <c r="G156" s="383" t="str">
        <f t="shared" si="40"/>
        <v>-</v>
      </c>
      <c r="H156" s="383" t="str">
        <f t="shared" si="41"/>
        <v>-</v>
      </c>
      <c r="I156" s="383" t="str">
        <f t="shared" si="42"/>
        <v>-</v>
      </c>
      <c r="J156" s="386" t="str">
        <f t="shared" si="43"/>
        <v>-</v>
      </c>
      <c r="K156" s="386" t="str">
        <f t="shared" si="44"/>
        <v>-</v>
      </c>
      <c r="L156" s="387" t="str">
        <f t="shared" si="45"/>
        <v>-</v>
      </c>
      <c r="M156"/>
      <c r="N156"/>
      <c r="O156"/>
    </row>
    <row r="157" spans="1:18" ht="14.4">
      <c r="A157" s="39" t="str">
        <f>Current!I12</f>
        <v>Terrestrial &amp; Aerial</v>
      </c>
      <c r="B157" s="379">
        <f>Current!W12</f>
        <v>15</v>
      </c>
      <c r="C157" s="423">
        <f t="shared" si="35"/>
        <v>0.23076923076923078</v>
      </c>
      <c r="D157" s="380">
        <f t="shared" si="37"/>
        <v>4</v>
      </c>
      <c r="E157" s="380">
        <f t="shared" si="38"/>
        <v>9</v>
      </c>
      <c r="F157" s="380">
        <f t="shared" si="39"/>
        <v>18</v>
      </c>
      <c r="G157" s="383">
        <f t="shared" si="40"/>
        <v>69374.133333333331</v>
      </c>
      <c r="H157" s="383">
        <f t="shared" si="41"/>
        <v>156091.79999999999</v>
      </c>
      <c r="I157" s="383">
        <f t="shared" si="42"/>
        <v>312183.59999999998</v>
      </c>
      <c r="J157" s="386">
        <f t="shared" si="43"/>
        <v>6313046.1333333328</v>
      </c>
      <c r="K157" s="386">
        <f t="shared" si="44"/>
        <v>14204353.799999999</v>
      </c>
      <c r="L157" s="387">
        <f t="shared" si="45"/>
        <v>28408707.599999998</v>
      </c>
      <c r="M157"/>
      <c r="N157"/>
      <c r="O157"/>
    </row>
    <row r="158" spans="1:18" ht="15" thickBot="1">
      <c r="A158" s="38" t="s">
        <v>219</v>
      </c>
      <c r="B158" s="381">
        <f>SUM(B151:B156,B157)</f>
        <v>65</v>
      </c>
      <c r="C158" s="424">
        <f>SUM(C151:C157)</f>
        <v>1</v>
      </c>
      <c r="D158" s="382">
        <f t="shared" ref="D158:L158" si="46">SUM(D151:D157)</f>
        <v>15</v>
      </c>
      <c r="E158" s="382">
        <f t="shared" si="46"/>
        <v>40</v>
      </c>
      <c r="F158" s="382">
        <f t="shared" si="46"/>
        <v>76</v>
      </c>
      <c r="G158" s="382">
        <f t="shared" si="46"/>
        <v>1665724.0976190476</v>
      </c>
      <c r="H158" s="382">
        <f t="shared" si="46"/>
        <v>4494508.4428571425</v>
      </c>
      <c r="I158" s="382">
        <f t="shared" si="46"/>
        <v>8329006.9928571424</v>
      </c>
      <c r="J158" s="388">
        <f t="shared" si="46"/>
        <v>151580892.88333333</v>
      </c>
      <c r="K158" s="388">
        <f t="shared" si="46"/>
        <v>409000268.30000001</v>
      </c>
      <c r="L158" s="389">
        <f t="shared" si="46"/>
        <v>757939636.35000002</v>
      </c>
      <c r="M158"/>
      <c r="N158"/>
      <c r="O158"/>
    </row>
    <row r="160" spans="1:18" customFormat="1" ht="14.4" customHeight="1">
      <c r="A160" s="57" t="s">
        <v>459</v>
      </c>
      <c r="P160" s="37"/>
      <c r="Q160" s="37"/>
      <c r="R160" s="37"/>
    </row>
    <row r="161" spans="1:18" customFormat="1" ht="14.4">
      <c r="A161" s="32" t="s">
        <v>498</v>
      </c>
      <c r="P161" s="37"/>
      <c r="Q161" s="37"/>
      <c r="R161" s="37"/>
    </row>
    <row r="162" spans="1:18" ht="14.4">
      <c r="A162" s="57" t="s">
        <v>496</v>
      </c>
      <c r="B162"/>
      <c r="C162"/>
      <c r="D162"/>
      <c r="E162"/>
      <c r="F162"/>
      <c r="G162"/>
      <c r="H162"/>
    </row>
    <row r="163" spans="1:18" ht="14.4">
      <c r="A163" s="57" t="s">
        <v>480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0">
    <mergeCell ref="G149:I149"/>
    <mergeCell ref="J149:L149"/>
    <mergeCell ref="A137:A138"/>
    <mergeCell ref="G115:I115"/>
    <mergeCell ref="J115:L115"/>
    <mergeCell ref="G127:I127"/>
    <mergeCell ref="J127:L127"/>
    <mergeCell ref="A149:A150"/>
    <mergeCell ref="D149:F149"/>
    <mergeCell ref="C149:C150"/>
    <mergeCell ref="B149:B150"/>
    <mergeCell ref="B137:B138"/>
    <mergeCell ref="C137:C138"/>
    <mergeCell ref="D127:F127"/>
    <mergeCell ref="D115:F115"/>
    <mergeCell ref="G137:I137"/>
    <mergeCell ref="J137:L137"/>
    <mergeCell ref="F41:I41"/>
    <mergeCell ref="F44:G44"/>
    <mergeCell ref="F45:G45"/>
    <mergeCell ref="F46:G46"/>
    <mergeCell ref="F48:G48"/>
    <mergeCell ref="D137:F137"/>
    <mergeCell ref="A64:D64"/>
    <mergeCell ref="F49:G49"/>
    <mergeCell ref="F50:G50"/>
    <mergeCell ref="A46:B46"/>
    <mergeCell ref="G103:I103"/>
    <mergeCell ref="J103:L103"/>
    <mergeCell ref="F47:G47"/>
    <mergeCell ref="A47:B47"/>
    <mergeCell ref="A48:B48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J1" zoomScaleNormal="100" workbookViewId="0">
      <selection activeCell="U23" sqref="U23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30"/>
      <c r="L1" s="323"/>
      <c r="T1" s="323"/>
    </row>
    <row r="2" spans="1:26" s="8" customFormat="1">
      <c r="D2" s="331"/>
      <c r="L2" s="324"/>
      <c r="T2" s="324"/>
    </row>
    <row r="3" spans="1:26" s="325" customFormat="1" ht="14.4" thickBot="1">
      <c r="D3" s="332"/>
      <c r="L3" s="326"/>
      <c r="T3" s="326"/>
    </row>
    <row r="4" spans="1:26" s="399" customFormat="1" ht="55.2">
      <c r="A4" s="221" t="s">
        <v>137</v>
      </c>
      <c r="B4" s="222" t="s">
        <v>136</v>
      </c>
      <c r="C4" s="222" t="s">
        <v>139</v>
      </c>
      <c r="D4" s="328" t="s">
        <v>59</v>
      </c>
      <c r="E4" s="328" t="s">
        <v>262</v>
      </c>
      <c r="F4" s="328" t="s">
        <v>263</v>
      </c>
      <c r="G4" s="220" t="s">
        <v>135</v>
      </c>
      <c r="H4" s="327"/>
      <c r="I4" s="397" t="s">
        <v>59</v>
      </c>
      <c r="J4" s="398" t="s">
        <v>60</v>
      </c>
      <c r="K4" s="398" t="s">
        <v>62</v>
      </c>
      <c r="L4" s="396" t="s">
        <v>541</v>
      </c>
      <c r="M4" s="327"/>
      <c r="N4" s="221" t="s">
        <v>137</v>
      </c>
      <c r="O4" s="222" t="s">
        <v>136</v>
      </c>
      <c r="P4" s="222" t="s">
        <v>139</v>
      </c>
      <c r="Q4" s="222" t="s">
        <v>59</v>
      </c>
      <c r="R4" s="222" t="s">
        <v>262</v>
      </c>
      <c r="S4" s="222" t="s">
        <v>263</v>
      </c>
      <c r="T4" s="220" t="s">
        <v>218</v>
      </c>
      <c r="U4" s="327"/>
      <c r="V4" s="397" t="s">
        <v>59</v>
      </c>
      <c r="W4" s="398" t="s">
        <v>60</v>
      </c>
      <c r="X4" s="398" t="s">
        <v>62</v>
      </c>
      <c r="Y4" s="396" t="s">
        <v>261</v>
      </c>
    </row>
    <row r="5" spans="1:26" s="23" customFormat="1">
      <c r="A5" s="301" t="s">
        <v>40</v>
      </c>
      <c r="B5" s="302"/>
      <c r="C5" s="302" t="s">
        <v>455</v>
      </c>
      <c r="D5" s="333" t="s">
        <v>34</v>
      </c>
      <c r="E5" s="303">
        <v>0</v>
      </c>
      <c r="F5" s="303">
        <v>0</v>
      </c>
      <c r="G5" s="127">
        <v>3345.0000000000005</v>
      </c>
      <c r="H5" s="2"/>
      <c r="I5" s="110" t="s">
        <v>37</v>
      </c>
      <c r="J5" s="111">
        <f>COUNTIFS($D$5:$D$103,I5, $E$5:$E$103,"=0")</f>
        <v>4</v>
      </c>
      <c r="K5" s="58">
        <f t="shared" ref="K5:K13" si="0">J5/$J$15</f>
        <v>6.6666666666666666E-2</v>
      </c>
      <c r="L5" s="112">
        <f>IFERROR(SUMIFS($G$5:$G$71,$D$5:$D$71,I5,$F$5:$F$71,"=0")/J5,"-")</f>
        <v>115860.20833333333</v>
      </c>
      <c r="M5" s="2"/>
      <c r="N5" s="301" t="s">
        <v>16</v>
      </c>
      <c r="O5" s="302"/>
      <c r="P5" s="304" t="s">
        <v>140</v>
      </c>
      <c r="Q5" s="329" t="s">
        <v>35</v>
      </c>
      <c r="R5" s="302">
        <v>0</v>
      </c>
      <c r="S5" s="302">
        <v>0</v>
      </c>
      <c r="T5" s="127">
        <v>67107</v>
      </c>
      <c r="U5" s="2"/>
      <c r="V5" s="110" t="s">
        <v>37</v>
      </c>
      <c r="W5" s="111">
        <f t="shared" ref="W5:W12" si="1">COUNTIFS($Q$4:$Q$102,V5,$R$4:$R$102,"=0")</f>
        <v>14</v>
      </c>
      <c r="X5" s="58">
        <f t="shared" ref="X5:X13" si="2">W5/$W$15</f>
        <v>0.20895522388059701</v>
      </c>
      <c r="Y5" s="112">
        <f>IFERROR(SUMIFS($T$5:$T$86,$Q$5:$Q$86,V5,$S$5:$S$86,"=0")/W5,"-")</f>
        <v>178043.57142857142</v>
      </c>
      <c r="Z5" s="400"/>
    </row>
    <row r="6" spans="1:26">
      <c r="A6" s="301" t="s">
        <v>16</v>
      </c>
      <c r="B6" s="302"/>
      <c r="C6" s="302" t="s">
        <v>140</v>
      </c>
      <c r="D6" s="333" t="s">
        <v>35</v>
      </c>
      <c r="E6" s="303">
        <v>0</v>
      </c>
      <c r="F6" s="303">
        <v>0</v>
      </c>
      <c r="G6" s="127">
        <v>3669.0000000000045</v>
      </c>
      <c r="I6" s="110" t="s">
        <v>35</v>
      </c>
      <c r="J6" s="111">
        <f t="shared" ref="J6:J13" si="3">COUNTIFS($D$5:$D$103,I6, $E$5:$E$103,"=0")</f>
        <v>34</v>
      </c>
      <c r="K6" s="58">
        <f t="shared" si="0"/>
        <v>0.56666666666666665</v>
      </c>
      <c r="L6" s="112">
        <f t="shared" ref="L6:L13" si="4">IFERROR(SUMIFS($G$5:$G$71,$D$5:$D$71,I6,$F$5:$F$71,"=0")/J6,"-")</f>
        <v>19394.681862745099</v>
      </c>
      <c r="N6" s="301" t="s">
        <v>41</v>
      </c>
      <c r="O6" s="301" t="s">
        <v>41</v>
      </c>
      <c r="P6" s="15"/>
      <c r="Q6" s="329" t="s">
        <v>35</v>
      </c>
      <c r="R6" s="302">
        <v>0</v>
      </c>
      <c r="S6" s="302">
        <v>0</v>
      </c>
      <c r="T6" s="127">
        <v>646470</v>
      </c>
      <c r="V6" s="110" t="s">
        <v>35</v>
      </c>
      <c r="W6" s="111">
        <f t="shared" si="1"/>
        <v>29</v>
      </c>
      <c r="X6" s="58">
        <f t="shared" si="2"/>
        <v>0.43283582089552236</v>
      </c>
      <c r="Y6" s="112">
        <f t="shared" ref="Y6:Y13" si="5">IFERROR(SUMIFS($T$5:$T$86,$Q$5:$Q$86,V6,$S$5:$S$86,"=0")/W6,"-")</f>
        <v>151730</v>
      </c>
      <c r="Z6" s="400"/>
    </row>
    <row r="7" spans="1:26">
      <c r="A7" s="305" t="s">
        <v>76</v>
      </c>
      <c r="B7" s="304" t="s">
        <v>16</v>
      </c>
      <c r="C7" s="304" t="s">
        <v>140</v>
      </c>
      <c r="D7" s="334" t="s">
        <v>35</v>
      </c>
      <c r="E7" s="306">
        <v>0</v>
      </c>
      <c r="F7" s="306">
        <v>0</v>
      </c>
      <c r="G7" s="307">
        <v>4906.4500000000044</v>
      </c>
      <c r="I7" s="110" t="s">
        <v>34</v>
      </c>
      <c r="J7" s="111">
        <f t="shared" si="3"/>
        <v>11</v>
      </c>
      <c r="K7" s="58">
        <f t="shared" si="0"/>
        <v>0.18333333333333332</v>
      </c>
      <c r="L7" s="112">
        <f t="shared" si="4"/>
        <v>30865.34696969697</v>
      </c>
      <c r="N7" s="301" t="s">
        <v>149</v>
      </c>
      <c r="O7" s="302"/>
      <c r="P7" s="304"/>
      <c r="Q7" s="329" t="s">
        <v>36</v>
      </c>
      <c r="R7" s="302">
        <v>0</v>
      </c>
      <c r="S7" s="302">
        <v>0</v>
      </c>
      <c r="T7" s="127">
        <v>1471</v>
      </c>
      <c r="V7" s="110" t="s">
        <v>34</v>
      </c>
      <c r="W7" s="111">
        <f t="shared" si="1"/>
        <v>4</v>
      </c>
      <c r="X7" s="58">
        <f t="shared" si="2"/>
        <v>5.9701492537313432E-2</v>
      </c>
      <c r="Y7" s="112">
        <f t="shared" si="5"/>
        <v>109.25</v>
      </c>
      <c r="Z7" s="400"/>
    </row>
    <row r="8" spans="1:26">
      <c r="A8" s="301" t="s">
        <v>77</v>
      </c>
      <c r="B8" s="302" t="s">
        <v>41</v>
      </c>
      <c r="C8" s="302"/>
      <c r="D8" s="333" t="s">
        <v>35</v>
      </c>
      <c r="E8" s="303">
        <v>0</v>
      </c>
      <c r="F8" s="303">
        <v>0</v>
      </c>
      <c r="G8" s="127">
        <v>130459.95</v>
      </c>
      <c r="I8" s="110" t="s">
        <v>57</v>
      </c>
      <c r="J8" s="111">
        <f t="shared" si="3"/>
        <v>0</v>
      </c>
      <c r="K8" s="58">
        <f t="shared" si="0"/>
        <v>0</v>
      </c>
      <c r="L8" s="112" t="str">
        <f t="shared" si="4"/>
        <v>-</v>
      </c>
      <c r="N8" s="301" t="s">
        <v>42</v>
      </c>
      <c r="O8" s="301" t="s">
        <v>42</v>
      </c>
      <c r="P8" s="304"/>
      <c r="Q8" s="329" t="s">
        <v>35</v>
      </c>
      <c r="R8" s="302">
        <v>0</v>
      </c>
      <c r="S8" s="302">
        <v>0</v>
      </c>
      <c r="T8" s="127">
        <v>600092</v>
      </c>
      <c r="V8" s="110" t="s">
        <v>57</v>
      </c>
      <c r="W8" s="111">
        <f t="shared" si="1"/>
        <v>1</v>
      </c>
      <c r="X8" s="58">
        <f t="shared" si="2"/>
        <v>1.4925373134328358E-2</v>
      </c>
      <c r="Y8" s="112">
        <f t="shared" si="5"/>
        <v>572</v>
      </c>
      <c r="Z8" s="400"/>
    </row>
    <row r="9" spans="1:26">
      <c r="A9" s="301" t="s">
        <v>78</v>
      </c>
      <c r="B9" s="302" t="s">
        <v>42</v>
      </c>
      <c r="C9" s="302"/>
      <c r="D9" s="333" t="s">
        <v>35</v>
      </c>
      <c r="E9" s="303">
        <v>0</v>
      </c>
      <c r="F9" s="303">
        <v>0</v>
      </c>
      <c r="G9" s="127">
        <v>122399.21666666665</v>
      </c>
      <c r="I9" s="110" t="s">
        <v>38</v>
      </c>
      <c r="J9" s="111">
        <f t="shared" si="3"/>
        <v>1</v>
      </c>
      <c r="K9" s="58">
        <f t="shared" si="0"/>
        <v>1.6666666666666666E-2</v>
      </c>
      <c r="L9" s="112">
        <f t="shared" si="4"/>
        <v>22562.250000000011</v>
      </c>
      <c r="N9" s="308" t="s">
        <v>150</v>
      </c>
      <c r="O9" s="309"/>
      <c r="P9" s="309" t="s">
        <v>217</v>
      </c>
      <c r="Q9" s="337" t="s">
        <v>39</v>
      </c>
      <c r="R9" s="309">
        <v>1</v>
      </c>
      <c r="S9" s="309">
        <v>1</v>
      </c>
      <c r="T9" s="310">
        <v>469</v>
      </c>
      <c r="V9" s="110" t="s">
        <v>38</v>
      </c>
      <c r="W9" s="111">
        <f t="shared" si="1"/>
        <v>2</v>
      </c>
      <c r="X9" s="58">
        <f t="shared" si="2"/>
        <v>2.9850746268656716E-2</v>
      </c>
      <c r="Y9" s="112">
        <f t="shared" si="5"/>
        <v>4094</v>
      </c>
      <c r="Z9" s="400"/>
    </row>
    <row r="10" spans="1:26">
      <c r="A10" s="301" t="s">
        <v>79</v>
      </c>
      <c r="B10" s="302"/>
      <c r="C10" s="302"/>
      <c r="D10" s="333" t="s">
        <v>413</v>
      </c>
      <c r="E10" s="303">
        <v>0</v>
      </c>
      <c r="F10" s="303">
        <v>0</v>
      </c>
      <c r="G10" s="127">
        <v>1725.0000000000018</v>
      </c>
      <c r="I10" s="110" t="s">
        <v>58</v>
      </c>
      <c r="J10" s="111">
        <f t="shared" si="3"/>
        <v>0</v>
      </c>
      <c r="K10" s="58">
        <f t="shared" si="0"/>
        <v>0</v>
      </c>
      <c r="L10" s="112" t="str">
        <f t="shared" si="4"/>
        <v>-</v>
      </c>
      <c r="N10" s="308" t="s">
        <v>17</v>
      </c>
      <c r="O10" s="309"/>
      <c r="P10" s="309" t="s">
        <v>216</v>
      </c>
      <c r="Q10" s="337" t="s">
        <v>39</v>
      </c>
      <c r="R10" s="309">
        <v>1</v>
      </c>
      <c r="S10" s="309">
        <v>1</v>
      </c>
      <c r="T10" s="310">
        <v>276349</v>
      </c>
      <c r="V10" s="110" t="s">
        <v>58</v>
      </c>
      <c r="W10" s="111">
        <f t="shared" si="1"/>
        <v>0</v>
      </c>
      <c r="X10" s="58">
        <f t="shared" si="2"/>
        <v>0</v>
      </c>
      <c r="Y10" s="112" t="str">
        <f t="shared" si="5"/>
        <v>-</v>
      </c>
      <c r="Z10" s="400"/>
    </row>
    <row r="11" spans="1:26">
      <c r="A11" s="301" t="s">
        <v>80</v>
      </c>
      <c r="B11" s="302"/>
      <c r="C11" s="302"/>
      <c r="D11" s="333" t="s">
        <v>413</v>
      </c>
      <c r="E11" s="303">
        <v>0</v>
      </c>
      <c r="F11" s="303">
        <v>0</v>
      </c>
      <c r="G11" s="127">
        <v>2555.7333333333377</v>
      </c>
      <c r="I11" s="110" t="s">
        <v>36</v>
      </c>
      <c r="J11" s="111">
        <f t="shared" si="3"/>
        <v>0</v>
      </c>
      <c r="K11" s="58">
        <f t="shared" si="0"/>
        <v>0</v>
      </c>
      <c r="L11" s="112" t="str">
        <f t="shared" si="4"/>
        <v>-</v>
      </c>
      <c r="N11" s="301" t="s">
        <v>151</v>
      </c>
      <c r="O11" s="302"/>
      <c r="P11" s="304"/>
      <c r="Q11" s="329" t="s">
        <v>35</v>
      </c>
      <c r="R11" s="302">
        <v>0</v>
      </c>
      <c r="S11" s="302">
        <v>0</v>
      </c>
      <c r="T11" s="127">
        <v>486</v>
      </c>
      <c r="V11" s="110" t="s">
        <v>36</v>
      </c>
      <c r="W11" s="111">
        <f>COUNTIFS($Q$4:$Q$102,V11,$R$4:$R$102,"=0")</f>
        <v>2</v>
      </c>
      <c r="X11" s="58">
        <f t="shared" si="2"/>
        <v>2.9850746268656716E-2</v>
      </c>
      <c r="Y11" s="112">
        <f t="shared" si="5"/>
        <v>1672</v>
      </c>
      <c r="Z11" s="400"/>
    </row>
    <row r="12" spans="1:26">
      <c r="A12" s="301" t="s">
        <v>81</v>
      </c>
      <c r="B12" s="302" t="s">
        <v>247</v>
      </c>
      <c r="C12" s="302" t="s">
        <v>246</v>
      </c>
      <c r="D12" s="333" t="s">
        <v>35</v>
      </c>
      <c r="E12" s="303">
        <v>0</v>
      </c>
      <c r="F12" s="303">
        <v>0</v>
      </c>
      <c r="G12" s="127">
        <v>2115</v>
      </c>
      <c r="I12" s="110" t="s">
        <v>39</v>
      </c>
      <c r="J12" s="111">
        <f t="shared" si="3"/>
        <v>0</v>
      </c>
      <c r="K12" s="58">
        <f t="shared" si="0"/>
        <v>0</v>
      </c>
      <c r="L12" s="112" t="str">
        <f t="shared" si="4"/>
        <v>-</v>
      </c>
      <c r="N12" s="301" t="s">
        <v>152</v>
      </c>
      <c r="O12" s="302"/>
      <c r="P12" s="304"/>
      <c r="Q12" s="329" t="s">
        <v>37</v>
      </c>
      <c r="R12" s="302">
        <v>0</v>
      </c>
      <c r="S12" s="302">
        <v>0</v>
      </c>
      <c r="T12" s="127">
        <v>180</v>
      </c>
      <c r="V12" s="110" t="s">
        <v>39</v>
      </c>
      <c r="W12" s="111">
        <f t="shared" si="1"/>
        <v>15</v>
      </c>
      <c r="X12" s="58">
        <f t="shared" si="2"/>
        <v>0.22388059701492538</v>
      </c>
      <c r="Y12" s="112">
        <f t="shared" si="5"/>
        <v>17343.533333333333</v>
      </c>
      <c r="Z12" s="400"/>
    </row>
    <row r="13" spans="1:26" ht="14.4" thickBot="1">
      <c r="A13" s="301" t="s">
        <v>82</v>
      </c>
      <c r="B13" s="302" t="s">
        <v>43</v>
      </c>
      <c r="C13" s="302"/>
      <c r="D13" s="333" t="s">
        <v>35</v>
      </c>
      <c r="E13" s="303">
        <v>0</v>
      </c>
      <c r="F13" s="303">
        <v>0</v>
      </c>
      <c r="G13" s="127">
        <v>1022.0000000000001</v>
      </c>
      <c r="I13" s="80" t="s">
        <v>413</v>
      </c>
      <c r="J13" s="95">
        <f t="shared" si="3"/>
        <v>10</v>
      </c>
      <c r="K13" s="322">
        <f t="shared" si="0"/>
        <v>0.16666666666666666</v>
      </c>
      <c r="L13" s="115">
        <f t="shared" si="4"/>
        <v>961.14500000000044</v>
      </c>
      <c r="N13" s="301" t="s">
        <v>153</v>
      </c>
      <c r="O13" s="302"/>
      <c r="P13" s="304"/>
      <c r="Q13" s="329" t="s">
        <v>37</v>
      </c>
      <c r="R13" s="302">
        <v>0</v>
      </c>
      <c r="S13" s="302">
        <v>0</v>
      </c>
      <c r="T13" s="127">
        <v>53049</v>
      </c>
      <c r="V13" s="80" t="s">
        <v>413</v>
      </c>
      <c r="W13" s="113">
        <f t="shared" ref="W13" si="6">COUNTIFS($Q$4:$Q$102,V13,$R$4:$R$102,"=0")</f>
        <v>3</v>
      </c>
      <c r="X13" s="114">
        <f t="shared" si="2"/>
        <v>4.4776119402985072E-2</v>
      </c>
      <c r="Y13" s="115">
        <f t="shared" si="5"/>
        <v>966.66666666666663</v>
      </c>
      <c r="Z13" s="400"/>
    </row>
    <row r="14" spans="1:26">
      <c r="A14" s="305" t="s">
        <v>83</v>
      </c>
      <c r="B14" s="304"/>
      <c r="C14" s="304"/>
      <c r="D14" s="334" t="s">
        <v>413</v>
      </c>
      <c r="E14" s="306">
        <v>0</v>
      </c>
      <c r="F14" s="306">
        <v>0</v>
      </c>
      <c r="G14" s="307">
        <v>50.250000000000185</v>
      </c>
      <c r="L14" s="16"/>
      <c r="N14" s="301" t="s">
        <v>154</v>
      </c>
      <c r="O14" s="302"/>
      <c r="P14" s="304"/>
      <c r="Q14" s="329" t="s">
        <v>37</v>
      </c>
      <c r="R14" s="302">
        <v>0</v>
      </c>
      <c r="S14" s="302">
        <v>0</v>
      </c>
      <c r="T14" s="127">
        <v>90357</v>
      </c>
      <c r="Y14" s="16"/>
      <c r="Z14" s="16"/>
    </row>
    <row r="15" spans="1:26">
      <c r="A15" s="301" t="s">
        <v>84</v>
      </c>
      <c r="B15" s="302"/>
      <c r="C15" s="302" t="s">
        <v>141</v>
      </c>
      <c r="D15" s="333" t="s">
        <v>35</v>
      </c>
      <c r="E15" s="303">
        <v>0</v>
      </c>
      <c r="F15" s="303">
        <v>0</v>
      </c>
      <c r="G15" s="127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301" t="s">
        <v>44</v>
      </c>
      <c r="O15" s="302"/>
      <c r="P15" s="304"/>
      <c r="Q15" s="329" t="s">
        <v>36</v>
      </c>
      <c r="R15" s="302">
        <v>0</v>
      </c>
      <c r="S15" s="302">
        <v>0</v>
      </c>
      <c r="T15" s="127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SUMIF(R5:R71,0,T5:T71)</f>
        <v>6460942</v>
      </c>
    </row>
    <row r="16" spans="1:26">
      <c r="A16" s="301" t="s">
        <v>85</v>
      </c>
      <c r="B16" s="302" t="s">
        <v>50</v>
      </c>
      <c r="C16" s="302" t="s">
        <v>248</v>
      </c>
      <c r="D16" s="333" t="s">
        <v>34</v>
      </c>
      <c r="E16" s="303">
        <v>0</v>
      </c>
      <c r="F16" s="303">
        <v>0</v>
      </c>
      <c r="G16" s="127">
        <v>14700</v>
      </c>
      <c r="N16" s="301" t="s">
        <v>155</v>
      </c>
      <c r="O16" s="304"/>
      <c r="P16" s="304"/>
      <c r="Q16" s="21" t="s">
        <v>413</v>
      </c>
      <c r="R16" s="302">
        <v>0</v>
      </c>
      <c r="S16" s="302">
        <v>0</v>
      </c>
      <c r="T16" s="127">
        <v>2375</v>
      </c>
    </row>
    <row r="17" spans="1:25">
      <c r="A17" s="301" t="s">
        <v>18</v>
      </c>
      <c r="B17" s="302" t="s">
        <v>156</v>
      </c>
      <c r="C17" s="302" t="s">
        <v>202</v>
      </c>
      <c r="D17" s="333" t="s">
        <v>413</v>
      </c>
      <c r="E17" s="303">
        <v>0</v>
      </c>
      <c r="F17" s="303">
        <v>0</v>
      </c>
      <c r="G17" s="127">
        <v>97.283333333333061</v>
      </c>
      <c r="I17" s="489" t="s">
        <v>356</v>
      </c>
      <c r="J17" s="489"/>
      <c r="K17" s="489"/>
      <c r="L17" s="67">
        <f>SUM(L5:L12)/SUM(J5:J12)</f>
        <v>3773.6497433155077</v>
      </c>
      <c r="N17" s="301" t="s">
        <v>156</v>
      </c>
      <c r="O17" s="304"/>
      <c r="P17" s="304" t="s">
        <v>202</v>
      </c>
      <c r="Q17" s="329" t="s">
        <v>35</v>
      </c>
      <c r="R17" s="302">
        <v>0</v>
      </c>
      <c r="S17" s="302">
        <v>0</v>
      </c>
      <c r="T17" s="127">
        <v>52575</v>
      </c>
      <c r="V17" s="489" t="s">
        <v>358</v>
      </c>
      <c r="W17" s="489"/>
      <c r="X17" s="489"/>
      <c r="Y17" s="67">
        <f>SUM(Y5:Y12)/SUM(W5:W12)</f>
        <v>5277.0799218194734</v>
      </c>
    </row>
    <row r="18" spans="1:25">
      <c r="A18" s="301" t="s">
        <v>86</v>
      </c>
      <c r="B18" s="302"/>
      <c r="C18" s="302"/>
      <c r="D18" s="333" t="s">
        <v>35</v>
      </c>
      <c r="E18" s="303">
        <v>0</v>
      </c>
      <c r="F18" s="303">
        <v>0</v>
      </c>
      <c r="G18" s="127">
        <v>178.99999999999989</v>
      </c>
      <c r="I18" s="489" t="s">
        <v>357</v>
      </c>
      <c r="J18" s="489"/>
      <c r="K18" s="489"/>
      <c r="L18" s="67">
        <f>SUM(L6:L12)/SUM(J6:J12)</f>
        <v>1583.093018096567</v>
      </c>
      <c r="N18" s="301" t="s">
        <v>18</v>
      </c>
      <c r="O18" s="301" t="s">
        <v>18</v>
      </c>
      <c r="P18" s="304" t="s">
        <v>257</v>
      </c>
      <c r="Q18" s="329" t="s">
        <v>35</v>
      </c>
      <c r="R18" s="302">
        <v>0</v>
      </c>
      <c r="S18" s="302">
        <v>0</v>
      </c>
      <c r="T18" s="127">
        <v>726669</v>
      </c>
      <c r="V18" s="489" t="s">
        <v>359</v>
      </c>
      <c r="W18" s="489"/>
      <c r="X18" s="489"/>
      <c r="Y18" s="67">
        <f>SUM(Y6:Y12)/SUM(W6:W12)</f>
        <v>3311.7128930817607</v>
      </c>
    </row>
    <row r="19" spans="1:25">
      <c r="A19" s="301" t="s">
        <v>87</v>
      </c>
      <c r="B19" s="302"/>
      <c r="C19" s="302"/>
      <c r="D19" s="333" t="s">
        <v>35</v>
      </c>
      <c r="E19" s="303">
        <v>0</v>
      </c>
      <c r="F19" s="303">
        <v>0</v>
      </c>
      <c r="G19" s="127">
        <v>210</v>
      </c>
      <c r="N19" s="301" t="s">
        <v>19</v>
      </c>
      <c r="O19" s="302" t="s">
        <v>19</v>
      </c>
      <c r="P19" s="304" t="s">
        <v>203</v>
      </c>
      <c r="Q19" s="329" t="s">
        <v>35</v>
      </c>
      <c r="R19" s="302">
        <v>0</v>
      </c>
      <c r="S19" s="302">
        <v>0</v>
      </c>
      <c r="T19" s="127">
        <v>762932</v>
      </c>
    </row>
    <row r="20" spans="1:25">
      <c r="A20" s="301" t="s">
        <v>88</v>
      </c>
      <c r="B20" s="302"/>
      <c r="C20" s="302"/>
      <c r="D20" s="333" t="s">
        <v>35</v>
      </c>
      <c r="E20" s="303">
        <v>0</v>
      </c>
      <c r="F20" s="303">
        <v>0</v>
      </c>
      <c r="G20" s="127">
        <v>349.00000000000023</v>
      </c>
      <c r="N20" s="301" t="s">
        <v>157</v>
      </c>
      <c r="O20" s="302"/>
      <c r="P20" s="304"/>
      <c r="Q20" s="21" t="s">
        <v>413</v>
      </c>
      <c r="R20" s="302">
        <v>0</v>
      </c>
      <c r="S20" s="302">
        <v>0</v>
      </c>
      <c r="T20" s="127">
        <v>349</v>
      </c>
    </row>
    <row r="21" spans="1:25">
      <c r="A21" s="301" t="s">
        <v>89</v>
      </c>
      <c r="B21" s="302"/>
      <c r="C21" s="302"/>
      <c r="D21" s="333" t="s">
        <v>35</v>
      </c>
      <c r="E21" s="303">
        <v>0</v>
      </c>
      <c r="F21" s="303">
        <v>0</v>
      </c>
      <c r="G21" s="127">
        <v>179.99999999999969</v>
      </c>
      <c r="N21" s="308" t="s">
        <v>158</v>
      </c>
      <c r="O21" s="309"/>
      <c r="P21" s="309" t="s">
        <v>258</v>
      </c>
      <c r="Q21" s="337" t="s">
        <v>39</v>
      </c>
      <c r="R21" s="309">
        <v>1</v>
      </c>
      <c r="S21" s="309">
        <v>1</v>
      </c>
      <c r="T21" s="310">
        <v>66</v>
      </c>
    </row>
    <row r="22" spans="1:25">
      <c r="A22" s="305" t="s">
        <v>90</v>
      </c>
      <c r="B22" s="304"/>
      <c r="C22" s="304"/>
      <c r="D22" s="334" t="s">
        <v>35</v>
      </c>
      <c r="E22" s="306">
        <v>0</v>
      </c>
      <c r="F22" s="306">
        <v>0</v>
      </c>
      <c r="G22" s="307">
        <v>2160</v>
      </c>
      <c r="N22" s="308" t="s">
        <v>159</v>
      </c>
      <c r="O22" s="309"/>
      <c r="P22" s="309" t="s">
        <v>258</v>
      </c>
      <c r="Q22" s="337" t="s">
        <v>39</v>
      </c>
      <c r="R22" s="309">
        <v>1</v>
      </c>
      <c r="S22" s="309">
        <v>1</v>
      </c>
      <c r="T22" s="310">
        <v>1621</v>
      </c>
    </row>
    <row r="23" spans="1:25">
      <c r="A23" s="305" t="s">
        <v>91</v>
      </c>
      <c r="B23" s="304"/>
      <c r="C23" s="304"/>
      <c r="D23" s="334" t="s">
        <v>35</v>
      </c>
      <c r="E23" s="306">
        <v>0</v>
      </c>
      <c r="F23" s="306">
        <v>0</v>
      </c>
      <c r="G23" s="307">
        <v>119.99999999999957</v>
      </c>
      <c r="N23" s="301" t="s">
        <v>160</v>
      </c>
      <c r="O23" s="302"/>
      <c r="P23" s="304" t="s">
        <v>204</v>
      </c>
      <c r="Q23" s="329" t="s">
        <v>57</v>
      </c>
      <c r="R23" s="302">
        <v>0</v>
      </c>
      <c r="S23" s="302">
        <v>0</v>
      </c>
      <c r="T23" s="127">
        <v>572</v>
      </c>
      <c r="Y23" s="16"/>
    </row>
    <row r="24" spans="1:25">
      <c r="A24" s="305" t="s">
        <v>92</v>
      </c>
      <c r="B24" s="304"/>
      <c r="C24" s="304"/>
      <c r="D24" s="334" t="s">
        <v>413</v>
      </c>
      <c r="E24" s="306">
        <v>0</v>
      </c>
      <c r="F24" s="306">
        <v>0</v>
      </c>
      <c r="G24" s="307">
        <v>243.38333333333341</v>
      </c>
      <c r="N24" s="301" t="s">
        <v>161</v>
      </c>
      <c r="O24" s="302"/>
      <c r="P24" s="304" t="s">
        <v>148</v>
      </c>
      <c r="Q24" s="329" t="s">
        <v>35</v>
      </c>
      <c r="R24" s="302">
        <v>0</v>
      </c>
      <c r="S24" s="302">
        <v>0</v>
      </c>
      <c r="T24" s="127">
        <v>302</v>
      </c>
    </row>
    <row r="25" spans="1:25">
      <c r="A25" s="305" t="s">
        <v>93</v>
      </c>
      <c r="B25" s="304"/>
      <c r="C25" s="304"/>
      <c r="D25" s="334" t="s">
        <v>413</v>
      </c>
      <c r="E25" s="306">
        <v>0</v>
      </c>
      <c r="F25" s="306">
        <v>0</v>
      </c>
      <c r="G25" s="307">
        <v>476.29999999999973</v>
      </c>
      <c r="N25" s="301" t="s">
        <v>162</v>
      </c>
      <c r="O25" s="302"/>
      <c r="P25" s="304"/>
      <c r="Q25" s="329" t="s">
        <v>37</v>
      </c>
      <c r="R25" s="302">
        <v>0</v>
      </c>
      <c r="S25" s="302">
        <v>0</v>
      </c>
      <c r="T25" s="127">
        <v>120</v>
      </c>
    </row>
    <row r="26" spans="1:25">
      <c r="A26" s="305" t="s">
        <v>94</v>
      </c>
      <c r="B26" s="304" t="s">
        <v>138</v>
      </c>
      <c r="C26" s="304"/>
      <c r="D26" s="334" t="s">
        <v>34</v>
      </c>
      <c r="E26" s="306">
        <v>0</v>
      </c>
      <c r="F26" s="306">
        <v>0</v>
      </c>
      <c r="G26" s="307">
        <v>989.99999999999818</v>
      </c>
      <c r="N26" s="301" t="s">
        <v>20</v>
      </c>
      <c r="O26" s="301" t="s">
        <v>20</v>
      </c>
      <c r="P26" s="304" t="s">
        <v>205</v>
      </c>
      <c r="Q26" s="329" t="s">
        <v>35</v>
      </c>
      <c r="R26" s="302">
        <v>0</v>
      </c>
      <c r="S26" s="302">
        <v>0</v>
      </c>
      <c r="T26" s="127">
        <v>606494</v>
      </c>
    </row>
    <row r="27" spans="1:25">
      <c r="A27" s="305" t="s">
        <v>51</v>
      </c>
      <c r="B27" s="304" t="s">
        <v>138</v>
      </c>
      <c r="C27" s="304"/>
      <c r="D27" s="334" t="s">
        <v>34</v>
      </c>
      <c r="E27" s="306">
        <v>0</v>
      </c>
      <c r="F27" s="306">
        <v>0</v>
      </c>
      <c r="G27" s="307">
        <v>180.00000000000011</v>
      </c>
      <c r="N27" s="301" t="s">
        <v>163</v>
      </c>
      <c r="O27" s="302" t="s">
        <v>45</v>
      </c>
      <c r="P27" s="304"/>
      <c r="Q27" s="329" t="s">
        <v>35</v>
      </c>
      <c r="R27" s="302">
        <v>0</v>
      </c>
      <c r="S27" s="302">
        <v>0</v>
      </c>
      <c r="T27" s="127">
        <v>1296</v>
      </c>
    </row>
    <row r="28" spans="1:25">
      <c r="A28" s="305" t="s">
        <v>19</v>
      </c>
      <c r="B28" s="304"/>
      <c r="C28" s="304"/>
      <c r="D28" s="334" t="s">
        <v>35</v>
      </c>
      <c r="E28" s="306">
        <v>0</v>
      </c>
      <c r="F28" s="306">
        <v>0</v>
      </c>
      <c r="G28" s="307">
        <v>243.51666666666662</v>
      </c>
      <c r="N28" s="301" t="s">
        <v>21</v>
      </c>
      <c r="O28" s="302"/>
      <c r="P28" s="304" t="s">
        <v>206</v>
      </c>
      <c r="Q28" s="329" t="s">
        <v>35</v>
      </c>
      <c r="R28" s="302">
        <v>0</v>
      </c>
      <c r="S28" s="302">
        <v>0</v>
      </c>
      <c r="T28" s="127">
        <v>25</v>
      </c>
    </row>
    <row r="29" spans="1:25">
      <c r="A29" s="305" t="s">
        <v>20</v>
      </c>
      <c r="B29" s="304"/>
      <c r="C29" s="304"/>
      <c r="D29" s="334" t="s">
        <v>35</v>
      </c>
      <c r="E29" s="306">
        <v>0</v>
      </c>
      <c r="F29" s="306">
        <v>0</v>
      </c>
      <c r="G29" s="307">
        <v>134</v>
      </c>
      <c r="N29" s="301" t="s">
        <v>164</v>
      </c>
      <c r="O29" s="302"/>
      <c r="P29" s="304" t="s">
        <v>207</v>
      </c>
      <c r="Q29" s="329" t="s">
        <v>37</v>
      </c>
      <c r="R29" s="302">
        <v>0</v>
      </c>
      <c r="S29" s="302">
        <v>0</v>
      </c>
      <c r="T29" s="127">
        <v>436</v>
      </c>
    </row>
    <row r="30" spans="1:25">
      <c r="A30" s="305" t="s">
        <v>95</v>
      </c>
      <c r="B30" s="304" t="s">
        <v>45</v>
      </c>
      <c r="C30" s="304"/>
      <c r="D30" s="334" t="s">
        <v>35</v>
      </c>
      <c r="E30" s="306">
        <v>0</v>
      </c>
      <c r="F30" s="306">
        <v>0</v>
      </c>
      <c r="G30" s="307">
        <v>41390.433333333334</v>
      </c>
      <c r="N30" s="301" t="s">
        <v>22</v>
      </c>
      <c r="O30" s="15" t="s">
        <v>22</v>
      </c>
      <c r="P30" s="304"/>
      <c r="Q30" s="329" t="s">
        <v>37</v>
      </c>
      <c r="R30" s="302">
        <v>0</v>
      </c>
      <c r="S30" s="302">
        <v>0</v>
      </c>
      <c r="T30" s="127">
        <v>2305359</v>
      </c>
      <c r="U30" s="13"/>
    </row>
    <row r="31" spans="1:25">
      <c r="A31" s="305" t="s">
        <v>96</v>
      </c>
      <c r="B31" s="304" t="s">
        <v>21</v>
      </c>
      <c r="C31" s="304"/>
      <c r="D31" s="334" t="s">
        <v>35</v>
      </c>
      <c r="E31" s="306">
        <v>0</v>
      </c>
      <c r="F31" s="306">
        <v>0</v>
      </c>
      <c r="G31" s="307">
        <v>278.7333333333338</v>
      </c>
      <c r="N31" s="301" t="s">
        <v>23</v>
      </c>
      <c r="O31" s="15"/>
      <c r="P31" s="304" t="s">
        <v>208</v>
      </c>
      <c r="Q31" s="329" t="s">
        <v>38</v>
      </c>
      <c r="R31" s="302">
        <v>0</v>
      </c>
      <c r="S31" s="302">
        <v>0</v>
      </c>
      <c r="T31" s="127">
        <v>1250</v>
      </c>
    </row>
    <row r="32" spans="1:25">
      <c r="A32" s="305" t="s">
        <v>97</v>
      </c>
      <c r="B32" s="304" t="s">
        <v>539</v>
      </c>
      <c r="C32" s="304" t="s">
        <v>249</v>
      </c>
      <c r="D32" s="334" t="s">
        <v>35</v>
      </c>
      <c r="E32" s="306">
        <v>0</v>
      </c>
      <c r="F32" s="306">
        <v>0</v>
      </c>
      <c r="G32" s="307">
        <v>34371.283333333333</v>
      </c>
      <c r="N32" s="301" t="s">
        <v>165</v>
      </c>
      <c r="O32" s="302"/>
      <c r="P32" s="304" t="s">
        <v>208</v>
      </c>
      <c r="Q32" s="329" t="s">
        <v>38</v>
      </c>
      <c r="R32" s="302">
        <v>0</v>
      </c>
      <c r="S32" s="302">
        <v>0</v>
      </c>
      <c r="T32" s="127">
        <v>6938</v>
      </c>
    </row>
    <row r="33" spans="1:20">
      <c r="A33" s="305" t="s">
        <v>22</v>
      </c>
      <c r="B33" s="304" t="s">
        <v>22</v>
      </c>
      <c r="C33" s="304"/>
      <c r="D33" s="334" t="s">
        <v>37</v>
      </c>
      <c r="E33" s="306">
        <v>0</v>
      </c>
      <c r="F33" s="306">
        <v>0</v>
      </c>
      <c r="G33" s="307">
        <v>885.70000000000039</v>
      </c>
      <c r="N33" s="301" t="s">
        <v>24</v>
      </c>
      <c r="O33" s="302"/>
      <c r="P33" s="304" t="s">
        <v>259</v>
      </c>
      <c r="Q33" s="329" t="s">
        <v>39</v>
      </c>
      <c r="R33" s="302">
        <v>0</v>
      </c>
      <c r="S33" s="302">
        <v>0</v>
      </c>
      <c r="T33" s="127">
        <v>628</v>
      </c>
    </row>
    <row r="34" spans="1:20">
      <c r="A34" s="305" t="s">
        <v>98</v>
      </c>
      <c r="B34" s="304"/>
      <c r="C34" s="304" t="s">
        <v>142</v>
      </c>
      <c r="D34" s="334" t="s">
        <v>35</v>
      </c>
      <c r="E34" s="306">
        <v>0</v>
      </c>
      <c r="F34" s="306">
        <v>0</v>
      </c>
      <c r="G34" s="307">
        <v>5889.5833333333339</v>
      </c>
      <c r="N34" s="301" t="s">
        <v>166</v>
      </c>
      <c r="O34" s="302"/>
      <c r="P34" s="304" t="s">
        <v>259</v>
      </c>
      <c r="Q34" s="329" t="s">
        <v>39</v>
      </c>
      <c r="R34" s="302">
        <v>0</v>
      </c>
      <c r="S34" s="302">
        <v>0</v>
      </c>
      <c r="T34" s="127">
        <v>4850</v>
      </c>
    </row>
    <row r="35" spans="1:20">
      <c r="A35" s="305" t="s">
        <v>99</v>
      </c>
      <c r="B35" s="304" t="s">
        <v>250</v>
      </c>
      <c r="C35" s="304" t="s">
        <v>250</v>
      </c>
      <c r="D35" s="334" t="s">
        <v>35</v>
      </c>
      <c r="E35" s="306">
        <v>0</v>
      </c>
      <c r="F35" s="306">
        <v>0</v>
      </c>
      <c r="G35" s="307">
        <v>37392</v>
      </c>
      <c r="N35" s="301" t="s">
        <v>167</v>
      </c>
      <c r="O35" s="302"/>
      <c r="P35" s="304" t="s">
        <v>259</v>
      </c>
      <c r="Q35" s="329" t="s">
        <v>39</v>
      </c>
      <c r="R35" s="302">
        <v>0</v>
      </c>
      <c r="S35" s="302">
        <v>0</v>
      </c>
      <c r="T35" s="127">
        <v>2106</v>
      </c>
    </row>
    <row r="36" spans="1:20">
      <c r="A36" s="305" t="s">
        <v>100</v>
      </c>
      <c r="B36" s="304" t="s">
        <v>100</v>
      </c>
      <c r="C36" s="304" t="s">
        <v>143</v>
      </c>
      <c r="D36" s="110" t="s">
        <v>34</v>
      </c>
      <c r="E36" s="306">
        <v>0</v>
      </c>
      <c r="F36" s="306">
        <v>0</v>
      </c>
      <c r="G36" s="307">
        <v>246879.64999999997</v>
      </c>
      <c r="N36" s="301" t="s">
        <v>168</v>
      </c>
      <c r="O36" s="302"/>
      <c r="P36" s="304" t="s">
        <v>259</v>
      </c>
      <c r="Q36" s="329" t="s">
        <v>39</v>
      </c>
      <c r="R36" s="302">
        <v>0</v>
      </c>
      <c r="S36" s="302">
        <v>0</v>
      </c>
      <c r="T36" s="127">
        <v>232</v>
      </c>
    </row>
    <row r="37" spans="1:20">
      <c r="A37" s="305" t="s">
        <v>101</v>
      </c>
      <c r="B37" s="304" t="s">
        <v>251</v>
      </c>
      <c r="C37" s="304"/>
      <c r="D37" s="334" t="s">
        <v>35</v>
      </c>
      <c r="E37" s="306">
        <v>0</v>
      </c>
      <c r="F37" s="306">
        <v>0</v>
      </c>
      <c r="G37" s="307">
        <v>939.10000000000116</v>
      </c>
      <c r="N37" s="301" t="s">
        <v>169</v>
      </c>
      <c r="O37" s="302"/>
      <c r="P37" s="304" t="s">
        <v>259</v>
      </c>
      <c r="Q37" s="329" t="s">
        <v>39</v>
      </c>
      <c r="R37" s="302">
        <v>0</v>
      </c>
      <c r="S37" s="302">
        <v>0</v>
      </c>
      <c r="T37" s="127">
        <v>17580</v>
      </c>
    </row>
    <row r="38" spans="1:20">
      <c r="A38" s="305" t="s">
        <v>102</v>
      </c>
      <c r="B38" s="304" t="s">
        <v>250</v>
      </c>
      <c r="C38" s="304"/>
      <c r="D38" s="334" t="s">
        <v>35</v>
      </c>
      <c r="E38" s="306">
        <v>0</v>
      </c>
      <c r="F38" s="306">
        <v>0</v>
      </c>
      <c r="G38" s="307">
        <v>152.00000000000026</v>
      </c>
      <c r="N38" s="301" t="s">
        <v>170</v>
      </c>
      <c r="O38" s="302"/>
      <c r="P38" s="304" t="s">
        <v>259</v>
      </c>
      <c r="Q38" s="329" t="s">
        <v>39</v>
      </c>
      <c r="R38" s="302">
        <v>0</v>
      </c>
      <c r="S38" s="302">
        <v>0</v>
      </c>
      <c r="T38" s="127">
        <v>923</v>
      </c>
    </row>
    <row r="39" spans="1:20">
      <c r="A39" s="305" t="s">
        <v>103</v>
      </c>
      <c r="B39" s="304" t="s">
        <v>250</v>
      </c>
      <c r="C39" s="304"/>
      <c r="D39" s="334" t="s">
        <v>35</v>
      </c>
      <c r="E39" s="306">
        <v>0</v>
      </c>
      <c r="F39" s="306">
        <v>0</v>
      </c>
      <c r="G39" s="307">
        <v>166.23333333333329</v>
      </c>
      <c r="N39" s="301" t="s">
        <v>171</v>
      </c>
      <c r="O39" s="302"/>
      <c r="P39" s="304" t="s">
        <v>259</v>
      </c>
      <c r="Q39" s="329" t="s">
        <v>39</v>
      </c>
      <c r="R39" s="302">
        <v>0</v>
      </c>
      <c r="S39" s="302">
        <v>0</v>
      </c>
      <c r="T39" s="127">
        <v>623</v>
      </c>
    </row>
    <row r="40" spans="1:20">
      <c r="A40" s="305" t="s">
        <v>104</v>
      </c>
      <c r="B40" s="304" t="s">
        <v>252</v>
      </c>
      <c r="C40" s="304"/>
      <c r="D40" s="334" t="s">
        <v>35</v>
      </c>
      <c r="E40" s="306">
        <v>0</v>
      </c>
      <c r="F40" s="306">
        <v>0</v>
      </c>
      <c r="G40" s="307">
        <v>57098.45</v>
      </c>
      <c r="N40" s="301" t="s">
        <v>172</v>
      </c>
      <c r="O40" s="302"/>
      <c r="P40" s="304" t="s">
        <v>259</v>
      </c>
      <c r="Q40" s="329" t="s">
        <v>39</v>
      </c>
      <c r="R40" s="302">
        <v>0</v>
      </c>
      <c r="S40" s="302">
        <v>0</v>
      </c>
      <c r="T40" s="127">
        <v>1662</v>
      </c>
    </row>
    <row r="41" spans="1:20">
      <c r="A41" s="305" t="s">
        <v>105</v>
      </c>
      <c r="B41" s="304"/>
      <c r="C41" s="304" t="s">
        <v>144</v>
      </c>
      <c r="D41" s="334" t="s">
        <v>35</v>
      </c>
      <c r="E41" s="306">
        <v>0</v>
      </c>
      <c r="F41" s="306">
        <v>0</v>
      </c>
      <c r="G41" s="307">
        <v>1120</v>
      </c>
      <c r="N41" s="301" t="s">
        <v>173</v>
      </c>
      <c r="O41" s="302"/>
      <c r="P41" s="304" t="s">
        <v>259</v>
      </c>
      <c r="Q41" s="329" t="s">
        <v>39</v>
      </c>
      <c r="R41" s="302">
        <v>0</v>
      </c>
      <c r="S41" s="302">
        <v>0</v>
      </c>
      <c r="T41" s="127">
        <v>1993</v>
      </c>
    </row>
    <row r="42" spans="1:20">
      <c r="A42" s="305" t="s">
        <v>106</v>
      </c>
      <c r="B42" s="304"/>
      <c r="C42" s="304" t="s">
        <v>144</v>
      </c>
      <c r="D42" s="334" t="s">
        <v>35</v>
      </c>
      <c r="E42" s="306">
        <v>0</v>
      </c>
      <c r="F42" s="306">
        <v>0</v>
      </c>
      <c r="G42" s="307">
        <v>1109.9999999999993</v>
      </c>
      <c r="N42" s="301" t="s">
        <v>174</v>
      </c>
      <c r="O42" s="302"/>
      <c r="P42" s="304" t="s">
        <v>259</v>
      </c>
      <c r="Q42" s="329" t="s">
        <v>39</v>
      </c>
      <c r="R42" s="302">
        <v>0</v>
      </c>
      <c r="S42" s="302">
        <v>0</v>
      </c>
      <c r="T42" s="127">
        <v>4811</v>
      </c>
    </row>
    <row r="43" spans="1:20">
      <c r="A43" s="305" t="s">
        <v>107</v>
      </c>
      <c r="B43" s="304"/>
      <c r="C43" s="304" t="s">
        <v>144</v>
      </c>
      <c r="D43" s="334" t="s">
        <v>35</v>
      </c>
      <c r="E43" s="306">
        <v>0</v>
      </c>
      <c r="F43" s="306">
        <v>0</v>
      </c>
      <c r="G43" s="307">
        <v>994.99999999999864</v>
      </c>
      <c r="N43" s="301" t="s">
        <v>175</v>
      </c>
      <c r="O43" s="302"/>
      <c r="P43" s="304" t="s">
        <v>259</v>
      </c>
      <c r="Q43" s="329" t="s">
        <v>39</v>
      </c>
      <c r="R43" s="302">
        <v>0</v>
      </c>
      <c r="S43" s="302">
        <v>0</v>
      </c>
      <c r="T43" s="127">
        <v>81</v>
      </c>
    </row>
    <row r="44" spans="1:20">
      <c r="A44" s="305" t="s">
        <v>108</v>
      </c>
      <c r="B44" s="304"/>
      <c r="C44" s="304" t="s">
        <v>144</v>
      </c>
      <c r="D44" s="334" t="s">
        <v>35</v>
      </c>
      <c r="E44" s="306">
        <v>0</v>
      </c>
      <c r="F44" s="306">
        <v>0</v>
      </c>
      <c r="G44" s="307">
        <v>1065.0000000000002</v>
      </c>
      <c r="N44" s="301" t="s">
        <v>176</v>
      </c>
      <c r="O44" s="302"/>
      <c r="P44" s="304" t="s">
        <v>259</v>
      </c>
      <c r="Q44" s="329" t="s">
        <v>39</v>
      </c>
      <c r="R44" s="302">
        <v>0</v>
      </c>
      <c r="S44" s="302">
        <v>0</v>
      </c>
      <c r="T44" s="127">
        <v>35708</v>
      </c>
    </row>
    <row r="45" spans="1:20">
      <c r="A45" s="305" t="s">
        <v>109</v>
      </c>
      <c r="B45" s="304"/>
      <c r="C45" s="304" t="s">
        <v>46</v>
      </c>
      <c r="D45" s="334" t="s">
        <v>35</v>
      </c>
      <c r="E45" s="306">
        <v>0</v>
      </c>
      <c r="F45" s="306">
        <v>0</v>
      </c>
      <c r="G45" s="307">
        <v>4325.9500000000044</v>
      </c>
      <c r="N45" s="301" t="s">
        <v>177</v>
      </c>
      <c r="O45" s="302"/>
      <c r="P45" s="304" t="s">
        <v>250</v>
      </c>
      <c r="Q45" s="329" t="s">
        <v>35</v>
      </c>
      <c r="R45" s="302">
        <v>0</v>
      </c>
      <c r="S45" s="302">
        <v>0</v>
      </c>
      <c r="T45" s="127">
        <v>31521</v>
      </c>
    </row>
    <row r="46" spans="1:20">
      <c r="A46" s="305" t="s">
        <v>110</v>
      </c>
      <c r="B46" s="304"/>
      <c r="C46" s="304" t="s">
        <v>145</v>
      </c>
      <c r="D46" s="334" t="s">
        <v>35</v>
      </c>
      <c r="E46" s="306">
        <v>0</v>
      </c>
      <c r="F46" s="306">
        <v>0</v>
      </c>
      <c r="G46" s="307">
        <v>20496.283333333333</v>
      </c>
      <c r="N46" s="301" t="s">
        <v>178</v>
      </c>
      <c r="O46" s="302"/>
      <c r="P46" s="304" t="s">
        <v>250</v>
      </c>
      <c r="Q46" s="329" t="s">
        <v>35</v>
      </c>
      <c r="R46" s="302">
        <v>0</v>
      </c>
      <c r="S46" s="302">
        <v>0</v>
      </c>
      <c r="T46" s="127">
        <v>1228</v>
      </c>
    </row>
    <row r="47" spans="1:20">
      <c r="A47" s="305" t="s">
        <v>111</v>
      </c>
      <c r="B47" s="304"/>
      <c r="C47" s="304"/>
      <c r="D47" s="334" t="s">
        <v>413</v>
      </c>
      <c r="E47" s="306">
        <v>0</v>
      </c>
      <c r="F47" s="306">
        <v>0</v>
      </c>
      <c r="G47" s="307">
        <v>1069.4999999999984</v>
      </c>
      <c r="N47" s="301" t="s">
        <v>179</v>
      </c>
      <c r="O47" s="302"/>
      <c r="P47" s="304" t="s">
        <v>250</v>
      </c>
      <c r="Q47" s="329" t="s">
        <v>35</v>
      </c>
      <c r="R47" s="302">
        <v>0</v>
      </c>
      <c r="S47" s="302">
        <v>0</v>
      </c>
      <c r="T47" s="127">
        <v>1190</v>
      </c>
    </row>
    <row r="48" spans="1:20">
      <c r="A48" s="305" t="s">
        <v>112</v>
      </c>
      <c r="B48" s="304" t="s">
        <v>253</v>
      </c>
      <c r="C48" s="304"/>
      <c r="D48" s="110" t="s">
        <v>37</v>
      </c>
      <c r="E48" s="306">
        <v>0</v>
      </c>
      <c r="F48" s="306">
        <v>0</v>
      </c>
      <c r="G48" s="307">
        <v>731.00000000000011</v>
      </c>
      <c r="N48" s="301" t="s">
        <v>63</v>
      </c>
      <c r="O48" s="302"/>
      <c r="P48" s="304" t="s">
        <v>144</v>
      </c>
      <c r="Q48" s="329" t="s">
        <v>35</v>
      </c>
      <c r="R48" s="302">
        <v>0</v>
      </c>
      <c r="S48" s="302">
        <v>0</v>
      </c>
      <c r="T48" s="127">
        <v>13399</v>
      </c>
    </row>
    <row r="49" spans="1:20">
      <c r="A49" s="305" t="s">
        <v>113</v>
      </c>
      <c r="B49" s="304" t="s">
        <v>253</v>
      </c>
      <c r="C49" s="304"/>
      <c r="D49" s="110" t="s">
        <v>37</v>
      </c>
      <c r="E49" s="306">
        <v>0</v>
      </c>
      <c r="F49" s="306">
        <v>0</v>
      </c>
      <c r="G49" s="307">
        <v>386.13333333333281</v>
      </c>
      <c r="N49" s="301" t="s">
        <v>64</v>
      </c>
      <c r="O49" s="302"/>
      <c r="P49" s="304" t="s">
        <v>144</v>
      </c>
      <c r="Q49" s="329" t="s">
        <v>35</v>
      </c>
      <c r="R49" s="302">
        <v>0</v>
      </c>
      <c r="S49" s="302">
        <v>0</v>
      </c>
      <c r="T49" s="127">
        <v>11127</v>
      </c>
    </row>
    <row r="50" spans="1:20">
      <c r="A50" s="305" t="s">
        <v>114</v>
      </c>
      <c r="B50" s="304" t="s">
        <v>502</v>
      </c>
      <c r="C50" s="304"/>
      <c r="D50" s="334" t="s">
        <v>35</v>
      </c>
      <c r="E50" s="306">
        <v>0</v>
      </c>
      <c r="F50" s="306">
        <v>0</v>
      </c>
      <c r="G50" s="307">
        <v>19383.033333333336</v>
      </c>
      <c r="N50" s="301" t="s">
        <v>65</v>
      </c>
      <c r="O50" s="302"/>
      <c r="P50" s="304" t="s">
        <v>144</v>
      </c>
      <c r="Q50" s="329" t="s">
        <v>35</v>
      </c>
      <c r="R50" s="302">
        <v>0</v>
      </c>
      <c r="S50" s="302">
        <v>0</v>
      </c>
      <c r="T50" s="127">
        <v>11208</v>
      </c>
    </row>
    <row r="51" spans="1:20">
      <c r="A51" s="305" t="s">
        <v>115</v>
      </c>
      <c r="B51" s="304"/>
      <c r="C51" s="304"/>
      <c r="D51" s="334" t="s">
        <v>413</v>
      </c>
      <c r="E51" s="306">
        <v>0</v>
      </c>
      <c r="F51" s="306">
        <v>0</v>
      </c>
      <c r="G51" s="307">
        <v>3345.0000000000014</v>
      </c>
      <c r="N51" s="301" t="s">
        <v>66</v>
      </c>
      <c r="O51" s="302"/>
      <c r="P51" s="304" t="s">
        <v>144</v>
      </c>
      <c r="Q51" s="329" t="s">
        <v>35</v>
      </c>
      <c r="R51" s="302">
        <v>0</v>
      </c>
      <c r="S51" s="302">
        <v>0</v>
      </c>
      <c r="T51" s="127">
        <v>13599</v>
      </c>
    </row>
    <row r="52" spans="1:20">
      <c r="A52" s="305" t="s">
        <v>116</v>
      </c>
      <c r="B52" s="304" t="s">
        <v>501</v>
      </c>
      <c r="C52" s="304"/>
      <c r="D52" s="334" t="s">
        <v>35</v>
      </c>
      <c r="E52" s="306">
        <v>0</v>
      </c>
      <c r="F52" s="306">
        <v>0</v>
      </c>
      <c r="G52" s="307">
        <v>132943.28333333333</v>
      </c>
      <c r="N52" s="301" t="s">
        <v>33</v>
      </c>
      <c r="O52" s="302"/>
      <c r="P52" s="304" t="s">
        <v>209</v>
      </c>
      <c r="Q52" s="329" t="s">
        <v>35</v>
      </c>
      <c r="R52" s="302">
        <v>0</v>
      </c>
      <c r="S52" s="302">
        <v>0</v>
      </c>
      <c r="T52" s="127">
        <v>113375</v>
      </c>
    </row>
    <row r="53" spans="1:20">
      <c r="A53" s="305" t="s">
        <v>117</v>
      </c>
      <c r="B53" s="304"/>
      <c r="C53" s="304"/>
      <c r="D53" s="334" t="s">
        <v>413</v>
      </c>
      <c r="E53" s="306">
        <v>0</v>
      </c>
      <c r="F53" s="306">
        <v>0</v>
      </c>
      <c r="G53" s="307">
        <v>36.999999999999986</v>
      </c>
      <c r="N53" s="308" t="s">
        <v>180</v>
      </c>
      <c r="O53" s="309"/>
      <c r="P53" s="309"/>
      <c r="Q53" s="21" t="s">
        <v>413</v>
      </c>
      <c r="R53" s="309">
        <v>1</v>
      </c>
      <c r="S53" s="309">
        <v>1</v>
      </c>
      <c r="T53" s="310">
        <v>9012</v>
      </c>
    </row>
    <row r="54" spans="1:20">
      <c r="A54" s="305" t="s">
        <v>118</v>
      </c>
      <c r="B54" s="304"/>
      <c r="C54" s="304"/>
      <c r="D54" s="334" t="s">
        <v>413</v>
      </c>
      <c r="E54" s="306">
        <v>0</v>
      </c>
      <c r="F54" s="306">
        <v>0</v>
      </c>
      <c r="G54" s="307">
        <v>11.999999999999996</v>
      </c>
      <c r="N54" s="301" t="s">
        <v>25</v>
      </c>
      <c r="O54" s="302"/>
      <c r="P54" s="304" t="s">
        <v>260</v>
      </c>
      <c r="Q54" s="329" t="s">
        <v>35</v>
      </c>
      <c r="R54" s="302">
        <v>0</v>
      </c>
      <c r="S54" s="302">
        <v>0</v>
      </c>
      <c r="T54" s="127">
        <v>3401</v>
      </c>
    </row>
    <row r="55" spans="1:20">
      <c r="A55" s="305" t="s">
        <v>119</v>
      </c>
      <c r="B55" s="304" t="s">
        <v>254</v>
      </c>
      <c r="C55" s="304" t="s">
        <v>146</v>
      </c>
      <c r="D55" s="334" t="s">
        <v>35</v>
      </c>
      <c r="E55" s="306">
        <v>0</v>
      </c>
      <c r="F55" s="306">
        <v>0</v>
      </c>
      <c r="G55" s="307">
        <v>25077.333333333332</v>
      </c>
      <c r="N55" s="301" t="s">
        <v>46</v>
      </c>
      <c r="O55" s="302"/>
      <c r="P55" s="304" t="s">
        <v>210</v>
      </c>
      <c r="Q55" s="329" t="s">
        <v>35</v>
      </c>
      <c r="R55" s="302">
        <v>0</v>
      </c>
      <c r="S55" s="302">
        <v>0</v>
      </c>
      <c r="T55" s="127">
        <v>6454</v>
      </c>
    </row>
    <row r="56" spans="1:20">
      <c r="A56" s="305" t="s">
        <v>120</v>
      </c>
      <c r="B56" s="304" t="s">
        <v>147</v>
      </c>
      <c r="C56" s="304" t="s">
        <v>147</v>
      </c>
      <c r="D56" s="334" t="s">
        <v>34</v>
      </c>
      <c r="E56" s="306">
        <v>0</v>
      </c>
      <c r="F56" s="306">
        <v>0</v>
      </c>
      <c r="G56" s="307">
        <v>2160</v>
      </c>
      <c r="N56" s="301" t="s">
        <v>26</v>
      </c>
      <c r="O56" s="302"/>
      <c r="P56" s="304" t="s">
        <v>145</v>
      </c>
      <c r="Q56" s="329" t="s">
        <v>35</v>
      </c>
      <c r="R56" s="302">
        <v>0</v>
      </c>
      <c r="S56" s="302">
        <v>0</v>
      </c>
      <c r="T56" s="127">
        <v>296</v>
      </c>
    </row>
    <row r="57" spans="1:20">
      <c r="A57" s="305" t="s">
        <v>121</v>
      </c>
      <c r="B57" s="304" t="s">
        <v>22</v>
      </c>
      <c r="C57" s="304"/>
      <c r="D57" s="110" t="s">
        <v>37</v>
      </c>
      <c r="E57" s="306">
        <v>0</v>
      </c>
      <c r="F57" s="306">
        <v>0</v>
      </c>
      <c r="G57" s="307">
        <v>461438</v>
      </c>
      <c r="H57" s="16"/>
      <c r="N57" s="301" t="s">
        <v>27</v>
      </c>
      <c r="O57" s="302"/>
      <c r="P57" s="304"/>
      <c r="Q57" s="329" t="s">
        <v>37</v>
      </c>
      <c r="R57" s="302">
        <v>0</v>
      </c>
      <c r="S57" s="302">
        <v>0</v>
      </c>
      <c r="T57" s="127">
        <v>3024</v>
      </c>
    </row>
    <row r="58" spans="1:20">
      <c r="A58" s="305" t="s">
        <v>48</v>
      </c>
      <c r="B58" s="304" t="s">
        <v>48</v>
      </c>
      <c r="C58" s="304"/>
      <c r="D58" s="110" t="s">
        <v>38</v>
      </c>
      <c r="E58" s="306">
        <v>0</v>
      </c>
      <c r="F58" s="306">
        <v>0</v>
      </c>
      <c r="G58" s="307">
        <v>22562.250000000011</v>
      </c>
      <c r="I58" s="16"/>
      <c r="N58" s="301" t="s">
        <v>181</v>
      </c>
      <c r="O58" s="302"/>
      <c r="P58" s="304" t="s">
        <v>211</v>
      </c>
      <c r="Q58" s="329" t="s">
        <v>35</v>
      </c>
      <c r="R58" s="302">
        <v>0</v>
      </c>
      <c r="S58" s="302">
        <v>0</v>
      </c>
      <c r="T58" s="127">
        <v>1690</v>
      </c>
    </row>
    <row r="59" spans="1:20">
      <c r="A59" s="308" t="s">
        <v>122</v>
      </c>
      <c r="B59" s="309" t="s">
        <v>255</v>
      </c>
      <c r="C59" s="309"/>
      <c r="D59" s="401" t="s">
        <v>34</v>
      </c>
      <c r="E59" s="402">
        <v>1</v>
      </c>
      <c r="F59" s="402">
        <v>1</v>
      </c>
      <c r="G59" s="310">
        <v>510.00000000000011</v>
      </c>
      <c r="N59" s="301" t="s">
        <v>182</v>
      </c>
      <c r="O59" s="302"/>
      <c r="P59" s="304"/>
      <c r="Q59" s="329" t="s">
        <v>35</v>
      </c>
      <c r="R59" s="302">
        <v>0</v>
      </c>
      <c r="S59" s="302">
        <v>0</v>
      </c>
      <c r="T59" s="127">
        <v>180</v>
      </c>
    </row>
    <row r="60" spans="1:20">
      <c r="A60" s="308" t="s">
        <v>123</v>
      </c>
      <c r="B60" s="309" t="s">
        <v>255</v>
      </c>
      <c r="C60" s="309"/>
      <c r="D60" s="401" t="s">
        <v>34</v>
      </c>
      <c r="E60" s="402">
        <v>1</v>
      </c>
      <c r="F60" s="402">
        <v>1</v>
      </c>
      <c r="G60" s="310">
        <v>2219</v>
      </c>
      <c r="N60" s="301" t="s">
        <v>183</v>
      </c>
      <c r="O60" s="302"/>
      <c r="P60" s="304"/>
      <c r="Q60" s="329" t="s">
        <v>35</v>
      </c>
      <c r="R60" s="302">
        <v>0</v>
      </c>
      <c r="S60" s="302">
        <v>0</v>
      </c>
      <c r="T60" s="127">
        <v>3249</v>
      </c>
    </row>
    <row r="61" spans="1:20">
      <c r="A61" s="308" t="s">
        <v>124</v>
      </c>
      <c r="B61" s="309" t="s">
        <v>255</v>
      </c>
      <c r="C61" s="309"/>
      <c r="D61" s="401" t="s">
        <v>34</v>
      </c>
      <c r="E61" s="402">
        <v>1</v>
      </c>
      <c r="F61" s="402">
        <v>1</v>
      </c>
      <c r="G61" s="310">
        <v>5669.9999999999991</v>
      </c>
      <c r="N61" s="301" t="s">
        <v>184</v>
      </c>
      <c r="O61" s="302"/>
      <c r="P61" s="304"/>
      <c r="Q61" s="329" t="s">
        <v>35</v>
      </c>
      <c r="R61" s="302">
        <v>0</v>
      </c>
      <c r="S61" s="302">
        <v>0</v>
      </c>
      <c r="T61" s="127">
        <v>11166</v>
      </c>
    </row>
    <row r="62" spans="1:20">
      <c r="A62" s="308" t="s">
        <v>125</v>
      </c>
      <c r="B62" s="309" t="s">
        <v>255</v>
      </c>
      <c r="C62" s="309"/>
      <c r="D62" s="401" t="s">
        <v>34</v>
      </c>
      <c r="E62" s="402">
        <v>1</v>
      </c>
      <c r="F62" s="402">
        <v>1</v>
      </c>
      <c r="G62" s="310">
        <v>464.99999999999994</v>
      </c>
      <c r="N62" s="301" t="s">
        <v>185</v>
      </c>
      <c r="O62" s="302"/>
      <c r="P62" s="304"/>
      <c r="Q62" s="329" t="s">
        <v>35</v>
      </c>
      <c r="R62" s="302">
        <v>0</v>
      </c>
      <c r="S62" s="302">
        <v>0</v>
      </c>
      <c r="T62" s="127">
        <v>6514</v>
      </c>
    </row>
    <row r="63" spans="1:20">
      <c r="A63" s="308" t="s">
        <v>126</v>
      </c>
      <c r="B63" s="309" t="s">
        <v>255</v>
      </c>
      <c r="C63" s="309"/>
      <c r="D63" s="401" t="s">
        <v>34</v>
      </c>
      <c r="E63" s="402">
        <v>1</v>
      </c>
      <c r="F63" s="402">
        <v>1</v>
      </c>
      <c r="G63" s="310">
        <v>15455</v>
      </c>
      <c r="N63" s="301" t="s">
        <v>186</v>
      </c>
      <c r="O63" s="302"/>
      <c r="P63" s="304" t="s">
        <v>212</v>
      </c>
      <c r="Q63" s="329" t="s">
        <v>39</v>
      </c>
      <c r="R63" s="302">
        <v>0</v>
      </c>
      <c r="S63" s="302">
        <v>0</v>
      </c>
      <c r="T63" s="127">
        <v>119</v>
      </c>
    </row>
    <row r="64" spans="1:20">
      <c r="A64" s="308" t="s">
        <v>127</v>
      </c>
      <c r="B64" s="309" t="s">
        <v>255</v>
      </c>
      <c r="C64" s="309"/>
      <c r="D64" s="401" t="s">
        <v>34</v>
      </c>
      <c r="E64" s="402">
        <v>1</v>
      </c>
      <c r="F64" s="402">
        <v>1</v>
      </c>
      <c r="G64" s="310">
        <v>27975</v>
      </c>
      <c r="N64" s="301" t="s">
        <v>28</v>
      </c>
      <c r="O64" s="302"/>
      <c r="P64" s="304" t="s">
        <v>213</v>
      </c>
      <c r="Q64" s="329" t="s">
        <v>39</v>
      </c>
      <c r="R64" s="302">
        <v>0</v>
      </c>
      <c r="S64" s="302">
        <v>0</v>
      </c>
      <c r="T64" s="127">
        <v>188688</v>
      </c>
    </row>
    <row r="65" spans="1:22">
      <c r="A65" s="308" t="s">
        <v>128</v>
      </c>
      <c r="B65" s="309" t="s">
        <v>255</v>
      </c>
      <c r="C65" s="309"/>
      <c r="D65" s="401" t="s">
        <v>34</v>
      </c>
      <c r="E65" s="402">
        <v>1</v>
      </c>
      <c r="F65" s="402">
        <v>1</v>
      </c>
      <c r="G65" s="310">
        <v>2046</v>
      </c>
      <c r="N65" s="301" t="s">
        <v>187</v>
      </c>
      <c r="O65" s="302"/>
      <c r="P65" s="304"/>
      <c r="Q65" s="329" t="s">
        <v>37</v>
      </c>
      <c r="R65" s="302">
        <v>0</v>
      </c>
      <c r="S65" s="302">
        <v>0</v>
      </c>
      <c r="T65" s="127">
        <v>2816</v>
      </c>
    </row>
    <row r="66" spans="1:22">
      <c r="A66" s="305" t="s">
        <v>129</v>
      </c>
      <c r="B66" s="304" t="s">
        <v>256</v>
      </c>
      <c r="C66" s="304"/>
      <c r="D66" s="334" t="s">
        <v>34</v>
      </c>
      <c r="E66" s="306">
        <v>0</v>
      </c>
      <c r="F66" s="306">
        <v>0</v>
      </c>
      <c r="G66" s="307">
        <v>21592.25</v>
      </c>
      <c r="N66" s="301" t="s">
        <v>188</v>
      </c>
      <c r="O66" s="302"/>
      <c r="P66" s="304"/>
      <c r="Q66" s="329" t="s">
        <v>37</v>
      </c>
      <c r="R66" s="302">
        <v>0</v>
      </c>
      <c r="S66" s="302">
        <v>0</v>
      </c>
      <c r="T66" s="127">
        <v>7996</v>
      </c>
    </row>
    <row r="67" spans="1:22">
      <c r="A67" s="301" t="s">
        <v>130</v>
      </c>
      <c r="B67" s="304" t="s">
        <v>256</v>
      </c>
      <c r="C67" s="302"/>
      <c r="D67" s="333" t="s">
        <v>34</v>
      </c>
      <c r="E67" s="303">
        <v>0</v>
      </c>
      <c r="F67" s="303">
        <v>0</v>
      </c>
      <c r="G67" s="127">
        <v>8821</v>
      </c>
      <c r="N67" s="301" t="s">
        <v>189</v>
      </c>
      <c r="O67" s="302"/>
      <c r="P67" s="304"/>
      <c r="Q67" s="329" t="s">
        <v>37</v>
      </c>
      <c r="R67" s="302">
        <v>0</v>
      </c>
      <c r="S67" s="302">
        <v>0</v>
      </c>
      <c r="T67" s="127">
        <v>8213</v>
      </c>
    </row>
    <row r="68" spans="1:22">
      <c r="A68" s="301" t="s">
        <v>131</v>
      </c>
      <c r="B68" s="304" t="s">
        <v>256</v>
      </c>
      <c r="C68" s="302"/>
      <c r="D68" s="333" t="s">
        <v>34</v>
      </c>
      <c r="E68" s="303">
        <v>0</v>
      </c>
      <c r="F68" s="303">
        <v>0</v>
      </c>
      <c r="G68" s="127">
        <v>9585.9166666666697</v>
      </c>
      <c r="N68" s="301" t="s">
        <v>190</v>
      </c>
      <c r="O68" s="302"/>
      <c r="P68" s="304"/>
      <c r="Q68" s="329" t="s">
        <v>37</v>
      </c>
      <c r="R68" s="302">
        <v>0</v>
      </c>
      <c r="S68" s="302">
        <v>0</v>
      </c>
      <c r="T68" s="127">
        <v>8412</v>
      </c>
    </row>
    <row r="69" spans="1:22">
      <c r="A69" s="301" t="s">
        <v>132</v>
      </c>
      <c r="B69" s="304" t="s">
        <v>256</v>
      </c>
      <c r="C69" s="302"/>
      <c r="D69" s="333" t="s">
        <v>34</v>
      </c>
      <c r="E69" s="303">
        <v>0</v>
      </c>
      <c r="F69" s="303">
        <v>0</v>
      </c>
      <c r="G69" s="127">
        <v>17015.000000000004</v>
      </c>
      <c r="N69" s="301" t="s">
        <v>191</v>
      </c>
      <c r="O69" s="302"/>
      <c r="P69" s="304"/>
      <c r="Q69" s="329" t="s">
        <v>37</v>
      </c>
      <c r="R69" s="302">
        <v>0</v>
      </c>
      <c r="S69" s="302">
        <v>0</v>
      </c>
      <c r="T69" s="127">
        <v>10199</v>
      </c>
    </row>
    <row r="70" spans="1:22">
      <c r="A70" s="301" t="s">
        <v>133</v>
      </c>
      <c r="B70" s="304" t="s">
        <v>256</v>
      </c>
      <c r="C70" s="302"/>
      <c r="D70" s="333" t="s">
        <v>34</v>
      </c>
      <c r="E70" s="303">
        <v>0</v>
      </c>
      <c r="F70" s="303">
        <v>0</v>
      </c>
      <c r="G70" s="127">
        <v>14250.000000000002</v>
      </c>
      <c r="N70" s="301" t="s">
        <v>47</v>
      </c>
      <c r="O70" s="302"/>
      <c r="P70" s="304"/>
      <c r="Q70" s="329" t="s">
        <v>37</v>
      </c>
      <c r="R70" s="302">
        <v>0</v>
      </c>
      <c r="S70" s="302">
        <v>0</v>
      </c>
      <c r="T70" s="127">
        <v>1904</v>
      </c>
    </row>
    <row r="71" spans="1:22" ht="14.4" thickBot="1">
      <c r="A71" s="311" t="s">
        <v>134</v>
      </c>
      <c r="B71" s="312"/>
      <c r="C71" s="312" t="s">
        <v>148</v>
      </c>
      <c r="D71" s="335" t="s">
        <v>35</v>
      </c>
      <c r="E71" s="313">
        <v>0</v>
      </c>
      <c r="F71" s="313">
        <v>0</v>
      </c>
      <c r="G71" s="128">
        <v>6571.3499999999995</v>
      </c>
      <c r="N71" s="308" t="s">
        <v>192</v>
      </c>
      <c r="O71" s="309"/>
      <c r="P71" s="309"/>
      <c r="Q71" s="337" t="s">
        <v>39</v>
      </c>
      <c r="R71" s="309">
        <v>1</v>
      </c>
      <c r="S71" s="309">
        <v>1</v>
      </c>
      <c r="T71" s="310">
        <v>285</v>
      </c>
    </row>
    <row r="72" spans="1:22" ht="14.4" thickBot="1">
      <c r="N72" s="308" t="s">
        <v>193</v>
      </c>
      <c r="O72" s="314"/>
      <c r="P72" s="309"/>
      <c r="Q72" s="337" t="s">
        <v>39</v>
      </c>
      <c r="R72" s="309">
        <v>1</v>
      </c>
      <c r="S72" s="309">
        <v>1</v>
      </c>
      <c r="T72" s="310">
        <v>6538</v>
      </c>
    </row>
    <row r="73" spans="1:22" ht="14.4" thickBot="1">
      <c r="D73" s="336"/>
      <c r="E73" s="315" t="s">
        <v>61</v>
      </c>
      <c r="F73" s="316"/>
      <c r="G73" s="317">
        <f>SUM(G5:G71)</f>
        <v>1548892.5333333332</v>
      </c>
      <c r="N73" s="308" t="s">
        <v>194</v>
      </c>
      <c r="O73" s="314"/>
      <c r="P73" s="309"/>
      <c r="Q73" s="337" t="s">
        <v>39</v>
      </c>
      <c r="R73" s="309">
        <v>1</v>
      </c>
      <c r="S73" s="309">
        <v>1</v>
      </c>
      <c r="T73" s="318">
        <v>7269</v>
      </c>
    </row>
    <row r="74" spans="1:22">
      <c r="N74" s="301" t="s">
        <v>195</v>
      </c>
      <c r="O74" s="15"/>
      <c r="P74" s="15"/>
      <c r="Q74" s="329" t="s">
        <v>34</v>
      </c>
      <c r="R74" s="302">
        <v>0</v>
      </c>
      <c r="S74" s="302">
        <v>0</v>
      </c>
      <c r="T74" s="127">
        <v>4</v>
      </c>
    </row>
    <row r="75" spans="1:22">
      <c r="G75" s="13"/>
      <c r="I75" s="16"/>
      <c r="N75" s="308" t="s">
        <v>48</v>
      </c>
      <c r="O75" s="314"/>
      <c r="P75" s="314" t="s">
        <v>503</v>
      </c>
      <c r="Q75" s="337" t="s">
        <v>38</v>
      </c>
      <c r="R75" s="309">
        <v>1</v>
      </c>
      <c r="S75" s="309">
        <v>1</v>
      </c>
      <c r="T75" s="310">
        <v>72288973</v>
      </c>
      <c r="V75" s="13"/>
    </row>
    <row r="76" spans="1:22">
      <c r="N76" s="308" t="s">
        <v>196</v>
      </c>
      <c r="O76" s="314"/>
      <c r="P76" s="309"/>
      <c r="Q76" s="337" t="s">
        <v>39</v>
      </c>
      <c r="R76" s="309">
        <v>1</v>
      </c>
      <c r="S76" s="309">
        <v>1</v>
      </c>
      <c r="T76" s="310">
        <v>377</v>
      </c>
    </row>
    <row r="77" spans="1:22">
      <c r="A77" s="2" t="s">
        <v>499</v>
      </c>
      <c r="I77" s="16"/>
      <c r="N77" s="308" t="s">
        <v>197</v>
      </c>
      <c r="O77" s="314"/>
      <c r="P77" s="309"/>
      <c r="Q77" s="337" t="s">
        <v>39</v>
      </c>
      <c r="R77" s="309">
        <v>1</v>
      </c>
      <c r="S77" s="309">
        <v>1</v>
      </c>
      <c r="T77" s="310">
        <v>491</v>
      </c>
    </row>
    <row r="78" spans="1:22">
      <c r="A78" s="2" t="s">
        <v>500</v>
      </c>
      <c r="N78" s="301" t="s">
        <v>49</v>
      </c>
      <c r="O78" s="301" t="s">
        <v>49</v>
      </c>
      <c r="P78" s="15"/>
      <c r="Q78" s="329" t="s">
        <v>35</v>
      </c>
      <c r="R78" s="302">
        <v>0</v>
      </c>
      <c r="S78" s="302">
        <v>0</v>
      </c>
      <c r="T78" s="127">
        <v>705586</v>
      </c>
    </row>
    <row r="79" spans="1:22">
      <c r="I79" s="13"/>
      <c r="N79" s="301" t="s">
        <v>29</v>
      </c>
      <c r="O79" s="15"/>
      <c r="P79" s="15"/>
      <c r="Q79" s="329" t="s">
        <v>34</v>
      </c>
      <c r="R79" s="302">
        <v>0</v>
      </c>
      <c r="S79" s="302">
        <v>0</v>
      </c>
      <c r="T79" s="127">
        <v>129</v>
      </c>
    </row>
    <row r="80" spans="1:22">
      <c r="N80" s="301" t="s">
        <v>30</v>
      </c>
      <c r="O80" s="15"/>
      <c r="P80" s="15"/>
      <c r="Q80" s="329" t="s">
        <v>34</v>
      </c>
      <c r="R80" s="302">
        <v>0</v>
      </c>
      <c r="S80" s="302">
        <v>0</v>
      </c>
      <c r="T80" s="127">
        <v>210</v>
      </c>
    </row>
    <row r="81" spans="9:20">
      <c r="N81" s="301" t="s">
        <v>31</v>
      </c>
      <c r="O81" s="15"/>
      <c r="P81" s="15"/>
      <c r="Q81" s="329" t="s">
        <v>34</v>
      </c>
      <c r="R81" s="302">
        <v>0</v>
      </c>
      <c r="S81" s="302">
        <v>0</v>
      </c>
      <c r="T81" s="127">
        <v>94</v>
      </c>
    </row>
    <row r="82" spans="9:20">
      <c r="N82" s="301" t="s">
        <v>32</v>
      </c>
      <c r="O82" s="15"/>
      <c r="P82" s="15"/>
      <c r="Q82" s="329" t="s">
        <v>35</v>
      </c>
      <c r="R82" s="302">
        <v>0</v>
      </c>
      <c r="S82" s="302">
        <v>0</v>
      </c>
      <c r="T82" s="127">
        <v>539</v>
      </c>
    </row>
    <row r="83" spans="9:20">
      <c r="N83" s="308" t="s">
        <v>198</v>
      </c>
      <c r="O83" s="314"/>
      <c r="P83" s="314" t="s">
        <v>214</v>
      </c>
      <c r="Q83" s="337" t="s">
        <v>39</v>
      </c>
      <c r="R83" s="309">
        <v>1</v>
      </c>
      <c r="S83" s="309">
        <v>1</v>
      </c>
      <c r="T83" s="310">
        <v>980</v>
      </c>
    </row>
    <row r="84" spans="9:20">
      <c r="N84" s="301" t="s">
        <v>199</v>
      </c>
      <c r="O84" s="15"/>
      <c r="P84" s="15"/>
      <c r="Q84" s="329" t="s">
        <v>37</v>
      </c>
      <c r="R84" s="302">
        <v>0</v>
      </c>
      <c r="S84" s="302">
        <v>0</v>
      </c>
      <c r="T84" s="127">
        <v>545</v>
      </c>
    </row>
    <row r="85" spans="9:20">
      <c r="N85" s="301" t="s">
        <v>200</v>
      </c>
      <c r="O85" s="15"/>
      <c r="P85" s="15" t="s">
        <v>215</v>
      </c>
      <c r="Q85" s="329" t="s">
        <v>39</v>
      </c>
      <c r="R85" s="302">
        <v>0</v>
      </c>
      <c r="S85" s="302">
        <v>0</v>
      </c>
      <c r="T85" s="127">
        <v>149</v>
      </c>
    </row>
    <row r="86" spans="9:20" ht="14.4" thickBot="1">
      <c r="N86" s="311" t="s">
        <v>201</v>
      </c>
      <c r="O86" s="95"/>
      <c r="P86" s="95"/>
      <c r="Q86" s="81" t="s">
        <v>413</v>
      </c>
      <c r="R86" s="312">
        <v>0</v>
      </c>
      <c r="S86" s="312">
        <v>0</v>
      </c>
      <c r="T86" s="128">
        <v>176</v>
      </c>
    </row>
    <row r="87" spans="9:20" ht="14.4" thickBot="1"/>
    <row r="88" spans="9:20" ht="14.4" thickBot="1">
      <c r="I88" s="16"/>
      <c r="R88" s="319" t="s">
        <v>61</v>
      </c>
      <c r="S88" s="320"/>
      <c r="T88" s="321">
        <f>SUMIFS(T5:T86,S5:S86,"=0")</f>
        <v>7168374</v>
      </c>
    </row>
    <row r="89" spans="9:20">
      <c r="N89" s="2" t="s">
        <v>499</v>
      </c>
    </row>
    <row r="90" spans="9:20">
      <c r="N90" s="2" t="s">
        <v>504</v>
      </c>
    </row>
    <row r="91" spans="9:20">
      <c r="N91" s="2" t="s">
        <v>505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Normal="100" workbookViewId="0">
      <selection activeCell="B32" sqref="B32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493" t="s">
        <v>407</v>
      </c>
      <c r="B1" s="493"/>
      <c r="C1" s="493"/>
      <c r="D1" s="493"/>
      <c r="AC1" s="491" t="s">
        <v>335</v>
      </c>
      <c r="AD1" s="491"/>
      <c r="AE1" s="491"/>
      <c r="AF1" s="491"/>
      <c r="AG1" s="491"/>
      <c r="AH1" s="491"/>
      <c r="AI1" s="491"/>
      <c r="AJ1" s="491"/>
      <c r="AK1" s="491"/>
    </row>
    <row r="2" spans="1:37">
      <c r="A2" s="215" t="s">
        <v>272</v>
      </c>
      <c r="B2" s="216" t="s">
        <v>9</v>
      </c>
      <c r="C2" s="216" t="s">
        <v>8</v>
      </c>
      <c r="D2" s="247" t="s">
        <v>74</v>
      </c>
      <c r="AC2" s="87" t="s">
        <v>261</v>
      </c>
      <c r="AD2" s="88" t="s">
        <v>274</v>
      </c>
      <c r="AE2" s="226" t="s">
        <v>320</v>
      </c>
      <c r="AF2" s="226" t="s">
        <v>321</v>
      </c>
      <c r="AG2" s="88" t="s">
        <v>322</v>
      </c>
      <c r="AH2" s="88" t="s">
        <v>323</v>
      </c>
      <c r="AI2" s="88" t="s">
        <v>361</v>
      </c>
      <c r="AJ2" s="88" t="s">
        <v>362</v>
      </c>
      <c r="AK2" s="89" t="s">
        <v>324</v>
      </c>
    </row>
    <row r="3" spans="1:37">
      <c r="A3" s="229" t="s">
        <v>330</v>
      </c>
      <c r="B3" s="41">
        <v>4</v>
      </c>
      <c r="C3" s="25" t="s">
        <v>282</v>
      </c>
      <c r="D3" s="248" t="s">
        <v>72</v>
      </c>
      <c r="AC3" s="118">
        <v>0</v>
      </c>
      <c r="AD3" s="232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6">
        <v>0</v>
      </c>
    </row>
    <row r="4" spans="1:37" ht="14.4">
      <c r="A4" s="229" t="s">
        <v>67</v>
      </c>
      <c r="B4" s="262">
        <v>3.5</v>
      </c>
      <c r="C4" s="25" t="s">
        <v>282</v>
      </c>
      <c r="D4" s="248" t="s">
        <v>72</v>
      </c>
      <c r="AB4" s="261"/>
      <c r="AC4" s="92">
        <f>AC34</f>
        <v>525600</v>
      </c>
      <c r="AD4" s="232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3" t="s">
        <v>68</v>
      </c>
      <c r="B5" s="263">
        <v>2</v>
      </c>
      <c r="C5" s="25" t="s">
        <v>282</v>
      </c>
      <c r="D5" s="248" t="s">
        <v>72</v>
      </c>
      <c r="AB5" s="261"/>
      <c r="AC5" s="92">
        <f t="shared" ref="AC5:AC28" si="0">AC35</f>
        <v>1051200</v>
      </c>
      <c r="AD5" s="232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49" t="s">
        <v>69</v>
      </c>
      <c r="B6" s="103">
        <v>0.02</v>
      </c>
      <c r="C6" s="25" t="s">
        <v>286</v>
      </c>
      <c r="D6" s="248" t="s">
        <v>72</v>
      </c>
      <c r="AB6" s="261"/>
      <c r="AC6" s="92">
        <f t="shared" si="0"/>
        <v>1576800</v>
      </c>
      <c r="AD6" s="232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49" t="s">
        <v>75</v>
      </c>
      <c r="B7" s="104">
        <v>0.5</v>
      </c>
      <c r="C7" s="62" t="s">
        <v>331</v>
      </c>
      <c r="D7" s="248" t="s">
        <v>72</v>
      </c>
      <c r="AB7" s="261"/>
      <c r="AC7" s="92">
        <f t="shared" si="0"/>
        <v>2102400</v>
      </c>
      <c r="AD7" s="232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49" t="s">
        <v>287</v>
      </c>
      <c r="B8" s="104">
        <v>0.1</v>
      </c>
      <c r="C8" s="62" t="s">
        <v>332</v>
      </c>
      <c r="D8" s="248" t="s">
        <v>73</v>
      </c>
      <c r="AB8" s="261"/>
      <c r="AC8" s="92">
        <f t="shared" si="0"/>
        <v>2628000</v>
      </c>
      <c r="AD8" s="232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49" t="s">
        <v>333</v>
      </c>
      <c r="B9" s="105">
        <v>10</v>
      </c>
      <c r="C9" s="25" t="s">
        <v>290</v>
      </c>
      <c r="D9" s="248" t="s">
        <v>73</v>
      </c>
      <c r="AB9" s="261"/>
      <c r="AC9" s="92">
        <f t="shared" si="0"/>
        <v>3153600</v>
      </c>
      <c r="AD9" s="232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49" t="s">
        <v>70</v>
      </c>
      <c r="B10" s="103">
        <v>0.19</v>
      </c>
      <c r="C10" s="25" t="s">
        <v>291</v>
      </c>
      <c r="D10" s="248" t="s">
        <v>73</v>
      </c>
      <c r="AB10" s="261"/>
      <c r="AC10" s="92">
        <f t="shared" si="0"/>
        <v>3679200</v>
      </c>
      <c r="AD10" s="232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50" t="s">
        <v>71</v>
      </c>
      <c r="B11" s="251">
        <v>3</v>
      </c>
      <c r="C11" s="72" t="s">
        <v>292</v>
      </c>
      <c r="D11" s="252" t="s">
        <v>5</v>
      </c>
      <c r="AB11" s="261"/>
      <c r="AC11" s="92">
        <f t="shared" si="0"/>
        <v>4204800</v>
      </c>
      <c r="AD11" s="232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61"/>
      <c r="AC12" s="92">
        <f t="shared" si="0"/>
        <v>4730400</v>
      </c>
      <c r="AD12" s="232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61"/>
      <c r="AC13" s="92">
        <f t="shared" si="0"/>
        <v>5256000</v>
      </c>
      <c r="AD13" s="232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61"/>
      <c r="AC14" s="92">
        <f t="shared" si="0"/>
        <v>5781600</v>
      </c>
      <c r="AD14" s="232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61"/>
      <c r="AC15" s="92">
        <f t="shared" si="0"/>
        <v>6307200</v>
      </c>
      <c r="AD15" s="232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61"/>
      <c r="AC16" s="92">
        <f t="shared" si="0"/>
        <v>6832800</v>
      </c>
      <c r="AD16" s="232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334</v>
      </c>
      <c r="AB17" s="261"/>
      <c r="AC17" s="92">
        <f t="shared" si="0"/>
        <v>7358400</v>
      </c>
      <c r="AD17" s="232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336</v>
      </c>
      <c r="AB18" s="261"/>
      <c r="AC18" s="92">
        <f t="shared" si="0"/>
        <v>7884000</v>
      </c>
      <c r="AD18" s="232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417</v>
      </c>
      <c r="AB19" s="261"/>
      <c r="AC19" s="92">
        <f t="shared" si="0"/>
        <v>8409600</v>
      </c>
      <c r="AD19" s="232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337</v>
      </c>
      <c r="AB20" s="261"/>
      <c r="AC20" s="92">
        <f t="shared" si="0"/>
        <v>8935200</v>
      </c>
      <c r="AD20" s="232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338</v>
      </c>
      <c r="AB21" s="261"/>
      <c r="AC21" s="92">
        <f t="shared" si="0"/>
        <v>9460800</v>
      </c>
      <c r="AD21" s="232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418</v>
      </c>
      <c r="AB22" s="261"/>
      <c r="AC22" s="92">
        <f t="shared" si="0"/>
        <v>9986400</v>
      </c>
      <c r="AD22" s="232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299</v>
      </c>
      <c r="AB23" s="261"/>
      <c r="AC23" s="92">
        <f t="shared" si="0"/>
        <v>10512000</v>
      </c>
      <c r="AD23" s="232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61"/>
      <c r="AC24" s="92">
        <f t="shared" si="0"/>
        <v>11037600</v>
      </c>
      <c r="AD24" s="232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61"/>
      <c r="AC25" s="92">
        <f t="shared" si="0"/>
        <v>11563200</v>
      </c>
      <c r="AD25" s="232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61"/>
      <c r="AC26" s="92">
        <f t="shared" si="0"/>
        <v>12088800</v>
      </c>
      <c r="AD26" s="232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61"/>
      <c r="AC27" s="92">
        <f t="shared" si="0"/>
        <v>12614400</v>
      </c>
      <c r="AD27" s="232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61"/>
      <c r="AC28" s="102">
        <f t="shared" si="0"/>
        <v>13140000</v>
      </c>
      <c r="AD28" s="259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492" t="s">
        <v>399</v>
      </c>
      <c r="AD31" s="492"/>
      <c r="AE31" s="492"/>
      <c r="AF31" s="492"/>
      <c r="AG31" s="492"/>
      <c r="AH31" s="492"/>
      <c r="AI31" s="492"/>
      <c r="AJ31" s="492"/>
      <c r="AK31" s="492"/>
      <c r="AL31" s="492"/>
      <c r="AM31"/>
    </row>
    <row r="32" spans="1:61" ht="14.4">
      <c r="AC32" s="218" t="s">
        <v>261</v>
      </c>
      <c r="AD32" s="219" t="s">
        <v>339</v>
      </c>
      <c r="AE32" s="219" t="s">
        <v>329</v>
      </c>
      <c r="AF32" s="219" t="s">
        <v>67</v>
      </c>
      <c r="AG32" s="219" t="s">
        <v>68</v>
      </c>
      <c r="AH32" s="253" t="s">
        <v>69</v>
      </c>
      <c r="AI32" s="253" t="s">
        <v>75</v>
      </c>
      <c r="AJ32" s="253" t="s">
        <v>287</v>
      </c>
      <c r="AK32" s="253" t="s">
        <v>280</v>
      </c>
      <c r="AL32" s="247" t="s">
        <v>70</v>
      </c>
      <c r="AM32"/>
    </row>
    <row r="33" spans="28:39" ht="14.4">
      <c r="AC33" s="254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55">
        <v>0</v>
      </c>
      <c r="AM33"/>
    </row>
    <row r="34" spans="28:39" ht="14.4">
      <c r="AB34" s="16"/>
      <c r="AC34" s="180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5">
        <v>20</v>
      </c>
      <c r="AM34"/>
    </row>
    <row r="35" spans="28:39" ht="14.4">
      <c r="AB35" s="16"/>
      <c r="AC35" s="180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57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5">
        <v>2</v>
      </c>
      <c r="AM35"/>
    </row>
    <row r="36" spans="28:39" ht="14.4">
      <c r="AB36" s="16"/>
      <c r="AC36" s="180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57">
        <f>AG36*10</f>
        <v>0</v>
      </c>
      <c r="AI36" s="15">
        <v>0</v>
      </c>
      <c r="AJ36" s="100">
        <v>1</v>
      </c>
      <c r="AK36" s="68">
        <f t="shared" si="8"/>
        <v>10</v>
      </c>
      <c r="AL36" s="125">
        <v>2</v>
      </c>
      <c r="AM36"/>
    </row>
    <row r="37" spans="28:39" ht="14.4">
      <c r="AB37" s="16"/>
      <c r="AC37" s="180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57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5">
        <v>2</v>
      </c>
      <c r="AM37"/>
    </row>
    <row r="38" spans="28:39" ht="14.4">
      <c r="AB38" s="16"/>
      <c r="AC38" s="180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57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5">
        <v>2</v>
      </c>
      <c r="AM38"/>
    </row>
    <row r="39" spans="28:39" ht="14.4">
      <c r="AB39" s="16"/>
      <c r="AC39" s="180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57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5">
        <v>2</v>
      </c>
      <c r="AM39"/>
    </row>
    <row r="40" spans="28:39" ht="14.4">
      <c r="AB40" s="16"/>
      <c r="AC40" s="180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57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5">
        <v>2</v>
      </c>
      <c r="AM40"/>
    </row>
    <row r="41" spans="28:39" ht="14.4">
      <c r="AB41" s="16"/>
      <c r="AC41" s="180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57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5">
        <v>2</v>
      </c>
      <c r="AM41"/>
    </row>
    <row r="42" spans="28:39" ht="14.4">
      <c r="AB42" s="16"/>
      <c r="AC42" s="180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57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5">
        <v>2</v>
      </c>
      <c r="AM42"/>
    </row>
    <row r="43" spans="28:39" ht="14.4">
      <c r="AC43" s="180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57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5">
        <v>2</v>
      </c>
      <c r="AM43"/>
    </row>
    <row r="44" spans="28:39" ht="14.4">
      <c r="AC44" s="180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57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5">
        <v>2</v>
      </c>
      <c r="AM44"/>
    </row>
    <row r="45" spans="28:39" ht="13.8" customHeight="1">
      <c r="AC45" s="180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57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5">
        <v>2</v>
      </c>
    </row>
    <row r="46" spans="28:39">
      <c r="AC46" s="180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57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5">
        <v>2</v>
      </c>
    </row>
    <row r="47" spans="28:39">
      <c r="AC47" s="180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57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5">
        <v>2</v>
      </c>
    </row>
    <row r="48" spans="28:39">
      <c r="AC48" s="180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57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5">
        <v>2</v>
      </c>
    </row>
    <row r="49" spans="29:60">
      <c r="AC49" s="180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57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5">
        <v>2</v>
      </c>
    </row>
    <row r="50" spans="29:60">
      <c r="AC50" s="180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57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5">
        <v>2</v>
      </c>
    </row>
    <row r="51" spans="29:60">
      <c r="AC51" s="180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57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5">
        <v>2</v>
      </c>
    </row>
    <row r="52" spans="29:60" ht="14.4" customHeight="1">
      <c r="AC52" s="180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57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5">
        <v>2</v>
      </c>
    </row>
    <row r="53" spans="29:60">
      <c r="AC53" s="180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57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5">
        <v>2</v>
      </c>
    </row>
    <row r="54" spans="29:60">
      <c r="AC54" s="180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57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5">
        <v>2</v>
      </c>
    </row>
    <row r="55" spans="29:60">
      <c r="AC55" s="180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57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5">
        <v>2</v>
      </c>
    </row>
    <row r="56" spans="29:60">
      <c r="AC56" s="180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57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5">
        <v>2</v>
      </c>
    </row>
    <row r="57" spans="29:60">
      <c r="AC57" s="180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57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5">
        <v>2</v>
      </c>
    </row>
    <row r="58" spans="29:60" ht="14.4" thickBot="1">
      <c r="AC58" s="188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58">
        <f t="shared" si="9"/>
        <v>0</v>
      </c>
      <c r="AI58" s="95">
        <v>0</v>
      </c>
      <c r="AJ58" s="256">
        <v>1</v>
      </c>
      <c r="AK58" s="97">
        <f t="shared" si="8"/>
        <v>10</v>
      </c>
      <c r="AL58" s="125">
        <v>2</v>
      </c>
    </row>
    <row r="59" spans="29:60" ht="14.4">
      <c r="AC59"/>
    </row>
    <row r="60" spans="29:60" ht="14.4">
      <c r="AC60"/>
    </row>
    <row r="61" spans="29:60" ht="15" thickBot="1">
      <c r="AC61" s="492" t="s">
        <v>400</v>
      </c>
      <c r="AD61" s="492"/>
      <c r="AE61" s="492"/>
      <c r="AF61" s="492"/>
      <c r="AG61" s="492"/>
      <c r="AH61" s="492"/>
      <c r="AI61" s="492"/>
      <c r="AJ61" s="492"/>
      <c r="AK61" s="492"/>
      <c r="AL61" s="492"/>
      <c r="AM61"/>
      <c r="AN61" s="490" t="s">
        <v>401</v>
      </c>
      <c r="AO61" s="490"/>
      <c r="AP61" s="490"/>
      <c r="AQ61" s="490"/>
      <c r="AR61" s="490"/>
      <c r="AS61" s="490"/>
      <c r="AT61" s="490"/>
      <c r="AU61" s="490"/>
      <c r="AV61" s="490"/>
      <c r="AW61" s="490"/>
      <c r="AX61" s="490"/>
      <c r="AY61" s="490"/>
      <c r="AZ61" s="490"/>
      <c r="BA61" s="490"/>
      <c r="BB61" s="490"/>
      <c r="BC61" s="490"/>
      <c r="BD61" s="490"/>
      <c r="BE61" s="490"/>
      <c r="BF61" s="490"/>
      <c r="BG61" s="490"/>
    </row>
    <row r="62" spans="29:60" ht="14.4">
      <c r="AC62" s="218" t="s">
        <v>261</v>
      </c>
      <c r="AD62" s="219" t="s">
        <v>274</v>
      </c>
      <c r="AE62" s="219" t="s">
        <v>329</v>
      </c>
      <c r="AF62" s="219" t="s">
        <v>67</v>
      </c>
      <c r="AG62" s="219" t="s">
        <v>68</v>
      </c>
      <c r="AH62" s="253" t="s">
        <v>69</v>
      </c>
      <c r="AI62" s="253" t="s">
        <v>75</v>
      </c>
      <c r="AJ62" s="253" t="s">
        <v>287</v>
      </c>
      <c r="AK62" s="253" t="s">
        <v>280</v>
      </c>
      <c r="AL62" s="247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9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5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5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5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5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5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5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5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5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5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5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5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5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5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5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5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5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5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5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5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5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5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5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5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5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60">
        <f t="shared" si="35"/>
        <v>1.155</v>
      </c>
      <c r="AG88" s="97">
        <f t="shared" si="36"/>
        <v>0</v>
      </c>
      <c r="AH88" s="260">
        <f t="shared" si="37"/>
        <v>0</v>
      </c>
      <c r="AI88" s="260">
        <f t="shared" si="38"/>
        <v>0</v>
      </c>
      <c r="AJ88" s="256">
        <f t="shared" si="31"/>
        <v>0.1</v>
      </c>
      <c r="AK88" s="97">
        <f t="shared" si="21"/>
        <v>0.51550000000000007</v>
      </c>
      <c r="AL88" s="126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="90" zoomScaleNormal="90" workbookViewId="0">
      <selection activeCell="AB191" sqref="AB191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37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493" t="s">
        <v>407</v>
      </c>
      <c r="B1" s="493"/>
      <c r="C1" s="493"/>
      <c r="D1" s="493"/>
      <c r="AA1" s="491" t="s">
        <v>398</v>
      </c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BH1" s="2"/>
      <c r="BI1" s="2"/>
    </row>
    <row r="2" spans="1:61" ht="13.8">
      <c r="A2" s="66" t="s">
        <v>272</v>
      </c>
      <c r="B2" s="167" t="s">
        <v>9</v>
      </c>
      <c r="C2" s="167" t="s">
        <v>8</v>
      </c>
      <c r="D2" s="64" t="s">
        <v>273</v>
      </c>
      <c r="AA2" s="238" t="s">
        <v>261</v>
      </c>
      <c r="AB2" s="210" t="s">
        <v>390</v>
      </c>
      <c r="AC2" s="210" t="s">
        <v>274</v>
      </c>
      <c r="AD2" s="210" t="s">
        <v>242</v>
      </c>
      <c r="AE2" s="210" t="s">
        <v>402</v>
      </c>
      <c r="AF2" s="210" t="s">
        <v>403</v>
      </c>
      <c r="AG2" s="210" t="s">
        <v>404</v>
      </c>
      <c r="AH2" s="241" t="s">
        <v>323</v>
      </c>
      <c r="AI2" s="210" t="s">
        <v>361</v>
      </c>
      <c r="AJ2" s="210" t="s">
        <v>362</v>
      </c>
      <c r="AK2" s="211" t="s">
        <v>405</v>
      </c>
      <c r="BH2" s="2"/>
      <c r="BI2" s="2"/>
    </row>
    <row r="3" spans="1:61" ht="13.8">
      <c r="A3" s="168" t="s">
        <v>281</v>
      </c>
      <c r="B3" s="25">
        <v>0.3</v>
      </c>
      <c r="C3" s="25" t="s">
        <v>282</v>
      </c>
      <c r="D3" s="54" t="s">
        <v>72</v>
      </c>
      <c r="AA3" s="180">
        <v>0</v>
      </c>
      <c r="AB3" s="21">
        <v>0</v>
      </c>
      <c r="AC3" s="21">
        <v>0</v>
      </c>
      <c r="AD3" s="21" t="s">
        <v>283</v>
      </c>
      <c r="AE3" s="195">
        <v>0</v>
      </c>
      <c r="AF3" s="195">
        <v>0</v>
      </c>
      <c r="AG3" s="195">
        <v>0</v>
      </c>
      <c r="AH3" s="242">
        <v>0</v>
      </c>
      <c r="AI3" s="195">
        <v>0</v>
      </c>
      <c r="AJ3" s="195">
        <v>0</v>
      </c>
      <c r="AK3" s="196">
        <v>0</v>
      </c>
      <c r="BH3" s="2"/>
      <c r="BI3" s="2"/>
    </row>
    <row r="4" spans="1:61" ht="13.8">
      <c r="A4" s="168" t="s">
        <v>284</v>
      </c>
      <c r="B4" s="25">
        <v>0.27</v>
      </c>
      <c r="C4" s="25" t="s">
        <v>282</v>
      </c>
      <c r="D4" s="54" t="s">
        <v>72</v>
      </c>
      <c r="AA4" s="180">
        <f>($AA$6/$AC$6)*AC4</f>
        <v>21000000</v>
      </c>
      <c r="AB4" s="41">
        <f t="shared" ref="AB4:AB35" si="0">AB186</f>
        <v>25</v>
      </c>
      <c r="AC4" s="21">
        <v>1</v>
      </c>
      <c r="AD4" s="21" t="s">
        <v>283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5">
        <v>0</v>
      </c>
      <c r="AH4" s="242">
        <f>SUM(AI4:AJ4)</f>
        <v>31.306893713737452</v>
      </c>
      <c r="AI4" s="195">
        <f>IFERROR(AF4/AA4,0)*1000000</f>
        <v>31.306893713737452</v>
      </c>
      <c r="AJ4" s="195">
        <f t="shared" ref="AJ4:AJ23" si="2">IFERROR(AG4/AA4,0)*1000000</f>
        <v>0</v>
      </c>
      <c r="AK4" s="197">
        <f t="shared" ref="AK4:AK23" si="3">IFERROR((AE4-AE3)/(AA4-AA3),0)*1000000</f>
        <v>31.306893713737452</v>
      </c>
      <c r="BH4" s="2"/>
      <c r="BI4" s="2"/>
    </row>
    <row r="5" spans="1:61" ht="13.8">
      <c r="A5" s="168" t="s">
        <v>269</v>
      </c>
      <c r="B5" s="25">
        <v>0.5</v>
      </c>
      <c r="C5" s="25" t="s">
        <v>282</v>
      </c>
      <c r="D5" s="54" t="s">
        <v>72</v>
      </c>
      <c r="AA5" s="180">
        <f>($AA$6/$AC$6)*AC5</f>
        <v>42000000</v>
      </c>
      <c r="AB5" s="41">
        <f t="shared" si="0"/>
        <v>50</v>
      </c>
      <c r="AC5" s="21">
        <v>2</v>
      </c>
      <c r="AD5" s="21" t="s">
        <v>283</v>
      </c>
      <c r="AE5" s="41">
        <f>SUM(AF5, AG5)</f>
        <v>750.68456811833596</v>
      </c>
      <c r="AF5" s="41">
        <f t="shared" si="1"/>
        <v>657.44476798848643</v>
      </c>
      <c r="AG5" s="175">
        <f t="shared" ref="AG5:AG36" si="4">AG4+SUM(AE369:AF369,BG369)</f>
        <v>93.239800129849542</v>
      </c>
      <c r="AH5" s="242">
        <f t="shared" ref="AH5:AH23" si="5">SUM(AI5:AJ5)</f>
        <v>17.873442098055619</v>
      </c>
      <c r="AI5" s="195">
        <f t="shared" ref="AI5:AI23" si="6">IFERROR(AF5/AA5,0)*1000000</f>
        <v>15.653446856868726</v>
      </c>
      <c r="AJ5" s="195">
        <f t="shared" si="2"/>
        <v>2.219995241186894</v>
      </c>
      <c r="AK5" s="197">
        <f t="shared" si="3"/>
        <v>4.439990482373787</v>
      </c>
      <c r="BH5" s="2"/>
      <c r="BI5" s="2"/>
    </row>
    <row r="6" spans="1:61" ht="13.8">
      <c r="A6" s="168" t="s">
        <v>285</v>
      </c>
      <c r="B6" s="25">
        <v>0.02</v>
      </c>
      <c r="C6" s="25" t="s">
        <v>286</v>
      </c>
      <c r="D6" s="54" t="s">
        <v>72</v>
      </c>
      <c r="AA6" s="180">
        <v>63000000</v>
      </c>
      <c r="AB6" s="41">
        <f t="shared" si="0"/>
        <v>75</v>
      </c>
      <c r="AC6" s="21">
        <v>3</v>
      </c>
      <c r="AD6" s="21" t="s">
        <v>283</v>
      </c>
      <c r="AE6" s="41">
        <f t="shared" ref="AE6:AE23" si="7">SUM(AF6, AG6)</f>
        <v>843.92436824818549</v>
      </c>
      <c r="AF6" s="41">
        <f t="shared" si="1"/>
        <v>657.44476798848643</v>
      </c>
      <c r="AG6" s="175">
        <f t="shared" si="4"/>
        <v>186.47960025969908</v>
      </c>
      <c r="AH6" s="242">
        <f t="shared" si="5"/>
        <v>13.395624892828341</v>
      </c>
      <c r="AI6" s="195">
        <f t="shared" si="6"/>
        <v>10.435631237912483</v>
      </c>
      <c r="AJ6" s="195">
        <f t="shared" si="2"/>
        <v>2.9599936549158583</v>
      </c>
      <c r="AK6" s="197">
        <f t="shared" si="3"/>
        <v>4.439990482373787</v>
      </c>
      <c r="BH6" s="2"/>
      <c r="BI6" s="2"/>
    </row>
    <row r="7" spans="1:61" ht="13.8">
      <c r="A7" s="168" t="s">
        <v>287</v>
      </c>
      <c r="B7" s="25">
        <v>1.2E-2</v>
      </c>
      <c r="C7" s="25" t="s">
        <v>288</v>
      </c>
      <c r="D7" s="54" t="s">
        <v>73</v>
      </c>
      <c r="AA7" s="180">
        <f>AA6+$AA$4</f>
        <v>84000000</v>
      </c>
      <c r="AB7" s="41">
        <f t="shared" si="0"/>
        <v>100</v>
      </c>
      <c r="AC7" s="21">
        <v>4</v>
      </c>
      <c r="AD7" s="21" t="s">
        <v>283</v>
      </c>
      <c r="AE7" s="41">
        <f t="shared" si="7"/>
        <v>937.16416837803513</v>
      </c>
      <c r="AF7" s="41">
        <f t="shared" si="1"/>
        <v>657.44476798848643</v>
      </c>
      <c r="AG7" s="175">
        <f t="shared" si="4"/>
        <v>279.71940038954864</v>
      </c>
      <c r="AH7" s="242">
        <f t="shared" si="5"/>
        <v>11.156716290214703</v>
      </c>
      <c r="AI7" s="195">
        <f t="shared" si="6"/>
        <v>7.826723428434363</v>
      </c>
      <c r="AJ7" s="195">
        <f t="shared" si="2"/>
        <v>3.3299928617803412</v>
      </c>
      <c r="AK7" s="197">
        <f t="shared" si="3"/>
        <v>4.4399904823737923</v>
      </c>
      <c r="BH7" s="2"/>
      <c r="BI7" s="2"/>
    </row>
    <row r="8" spans="1:61" ht="13.8">
      <c r="A8" s="168" t="s">
        <v>289</v>
      </c>
      <c r="B8" s="25">
        <v>10</v>
      </c>
      <c r="C8" s="25" t="s">
        <v>290</v>
      </c>
      <c r="D8" s="54" t="s">
        <v>73</v>
      </c>
      <c r="AA8" s="180">
        <f>AA7+$AA$4</f>
        <v>105000000</v>
      </c>
      <c r="AB8" s="41">
        <f t="shared" si="0"/>
        <v>125</v>
      </c>
      <c r="AC8" s="21">
        <v>5</v>
      </c>
      <c r="AD8" s="21" t="s">
        <v>283</v>
      </c>
      <c r="AE8" s="41">
        <f t="shared" si="7"/>
        <v>1030.4039685078847</v>
      </c>
      <c r="AF8" s="41">
        <f t="shared" si="1"/>
        <v>657.44476798848643</v>
      </c>
      <c r="AG8" s="175">
        <f t="shared" si="4"/>
        <v>372.95920051939817</v>
      </c>
      <c r="AH8" s="242">
        <f t="shared" si="5"/>
        <v>9.8133711286465193</v>
      </c>
      <c r="AI8" s="195">
        <f t="shared" si="6"/>
        <v>6.2613787427474898</v>
      </c>
      <c r="AJ8" s="195">
        <f t="shared" si="2"/>
        <v>3.5519923858990299</v>
      </c>
      <c r="AK8" s="197">
        <f t="shared" si="3"/>
        <v>4.439990482373787</v>
      </c>
      <c r="BH8" s="2"/>
      <c r="BI8" s="2"/>
    </row>
    <row r="9" spans="1:61" ht="13.8">
      <c r="A9" s="168" t="s">
        <v>270</v>
      </c>
      <c r="B9" s="25">
        <v>0.19</v>
      </c>
      <c r="C9" s="25" t="s">
        <v>291</v>
      </c>
      <c r="D9" s="54" t="s">
        <v>73</v>
      </c>
      <c r="AA9" s="180">
        <f>AA8+$AA$4</f>
        <v>126000000</v>
      </c>
      <c r="AB9" s="41">
        <f t="shared" si="0"/>
        <v>150</v>
      </c>
      <c r="AC9" s="21">
        <v>6</v>
      </c>
      <c r="AD9" s="21" t="s">
        <v>283</v>
      </c>
      <c r="AE9" s="41">
        <f t="shared" si="7"/>
        <v>1123.6437686377342</v>
      </c>
      <c r="AF9" s="41">
        <f t="shared" si="1"/>
        <v>657.44476798848643</v>
      </c>
      <c r="AG9" s="175">
        <f t="shared" si="4"/>
        <v>466.19900064924769</v>
      </c>
      <c r="AH9" s="242">
        <f t="shared" si="5"/>
        <v>8.9178076876010657</v>
      </c>
      <c r="AI9" s="195">
        <f t="shared" si="6"/>
        <v>5.2178156189562417</v>
      </c>
      <c r="AJ9" s="195">
        <f t="shared" si="2"/>
        <v>3.6999920686448231</v>
      </c>
      <c r="AK9" s="197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292</v>
      </c>
      <c r="D10" s="73" t="s">
        <v>10</v>
      </c>
      <c r="AA10" s="180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283</v>
      </c>
      <c r="AE10" s="41">
        <f t="shared" si="7"/>
        <v>1216.8835687675837</v>
      </c>
      <c r="AF10" s="41">
        <f t="shared" si="1"/>
        <v>657.44476798848643</v>
      </c>
      <c r="AG10" s="175">
        <f t="shared" si="4"/>
        <v>559.43880077909728</v>
      </c>
      <c r="AH10" s="242">
        <f t="shared" si="5"/>
        <v>8.2781195154257396</v>
      </c>
      <c r="AI10" s="195">
        <f t="shared" si="6"/>
        <v>4.4724133876767782</v>
      </c>
      <c r="AJ10" s="195">
        <f t="shared" si="2"/>
        <v>3.805706127748961</v>
      </c>
      <c r="AK10" s="197">
        <f t="shared" si="3"/>
        <v>4.439990482373787</v>
      </c>
      <c r="BH10" s="2"/>
      <c r="BI10" s="2"/>
    </row>
    <row r="11" spans="1:61" ht="13.8">
      <c r="AA11" s="180">
        <f t="shared" si="8"/>
        <v>168000000</v>
      </c>
      <c r="AB11" s="41">
        <f t="shared" si="0"/>
        <v>200</v>
      </c>
      <c r="AC11" s="21">
        <v>8</v>
      </c>
      <c r="AD11" s="21" t="s">
        <v>283</v>
      </c>
      <c r="AE11" s="41">
        <f t="shared" si="7"/>
        <v>1310.1233688974332</v>
      </c>
      <c r="AF11" s="41">
        <f t="shared" si="1"/>
        <v>657.44476798848643</v>
      </c>
      <c r="AG11" s="175">
        <f t="shared" si="4"/>
        <v>652.67860090894681</v>
      </c>
      <c r="AH11" s="242">
        <f t="shared" si="5"/>
        <v>7.7983533862942451</v>
      </c>
      <c r="AI11" s="195">
        <f t="shared" si="6"/>
        <v>3.9133617142171815</v>
      </c>
      <c r="AJ11" s="195">
        <f t="shared" si="2"/>
        <v>3.8849916720770641</v>
      </c>
      <c r="AK11" s="197">
        <f t="shared" si="3"/>
        <v>4.439990482373787</v>
      </c>
      <c r="BH11" s="2"/>
      <c r="BI11" s="2"/>
    </row>
    <row r="12" spans="1:61" ht="13.8">
      <c r="AA12" s="180">
        <f t="shared" si="8"/>
        <v>189000000</v>
      </c>
      <c r="AB12" s="41">
        <f t="shared" si="0"/>
        <v>225</v>
      </c>
      <c r="AC12" s="21">
        <v>9</v>
      </c>
      <c r="AD12" s="21" t="s">
        <v>283</v>
      </c>
      <c r="AE12" s="41">
        <f t="shared" si="7"/>
        <v>1403.3631690272828</v>
      </c>
      <c r="AF12" s="41">
        <f t="shared" si="1"/>
        <v>657.44476798848643</v>
      </c>
      <c r="AG12" s="175">
        <f t="shared" si="4"/>
        <v>745.91840103879633</v>
      </c>
      <c r="AH12" s="242">
        <f t="shared" si="5"/>
        <v>7.4252019525253061</v>
      </c>
      <c r="AI12" s="195">
        <f t="shared" si="6"/>
        <v>3.4785437459708275</v>
      </c>
      <c r="AJ12" s="195">
        <f t="shared" si="2"/>
        <v>3.9466582065544782</v>
      </c>
      <c r="AK12" s="197">
        <f t="shared" si="3"/>
        <v>4.439990482373787</v>
      </c>
      <c r="BH12" s="2"/>
      <c r="BI12" s="2"/>
    </row>
    <row r="13" spans="1:61" ht="13.8">
      <c r="A13" s="28" t="s">
        <v>4</v>
      </c>
      <c r="AA13" s="180">
        <f t="shared" si="8"/>
        <v>210000000</v>
      </c>
      <c r="AB13" s="41">
        <f t="shared" si="0"/>
        <v>250</v>
      </c>
      <c r="AC13" s="21">
        <v>10</v>
      </c>
      <c r="AD13" s="21" t="s">
        <v>283</v>
      </c>
      <c r="AE13" s="41">
        <f t="shared" si="7"/>
        <v>1496.6029691571323</v>
      </c>
      <c r="AF13" s="41">
        <f t="shared" si="1"/>
        <v>657.44476798848643</v>
      </c>
      <c r="AG13" s="175">
        <f t="shared" si="4"/>
        <v>839.15820116864586</v>
      </c>
      <c r="AH13" s="242">
        <f t="shared" si="5"/>
        <v>7.126680805510154</v>
      </c>
      <c r="AI13" s="195">
        <f t="shared" si="6"/>
        <v>3.1306893713737449</v>
      </c>
      <c r="AJ13" s="195">
        <f t="shared" si="2"/>
        <v>3.9959914341364091</v>
      </c>
      <c r="AK13" s="197">
        <f t="shared" si="3"/>
        <v>4.439990482373787</v>
      </c>
      <c r="BH13" s="2"/>
      <c r="BI13" s="2"/>
    </row>
    <row r="14" spans="1:61" ht="13.8">
      <c r="A14" s="2" t="s">
        <v>293</v>
      </c>
      <c r="AA14" s="180">
        <f t="shared" si="8"/>
        <v>231000000</v>
      </c>
      <c r="AB14" s="41">
        <f t="shared" si="0"/>
        <v>275</v>
      </c>
      <c r="AC14" s="21">
        <v>11</v>
      </c>
      <c r="AD14" s="21" t="s">
        <v>283</v>
      </c>
      <c r="AE14" s="41">
        <f t="shared" si="7"/>
        <v>1589.8427692869818</v>
      </c>
      <c r="AF14" s="41">
        <f t="shared" si="1"/>
        <v>657.44476798848643</v>
      </c>
      <c r="AG14" s="175">
        <f t="shared" si="4"/>
        <v>932.39800129849539</v>
      </c>
      <c r="AH14" s="242">
        <f t="shared" si="5"/>
        <v>6.8824362306795752</v>
      </c>
      <c r="AI14" s="195">
        <f t="shared" si="6"/>
        <v>2.8460812467034047</v>
      </c>
      <c r="AJ14" s="195">
        <f t="shared" si="2"/>
        <v>4.036354983976171</v>
      </c>
      <c r="AK14" s="197">
        <f t="shared" si="3"/>
        <v>4.439990482373787</v>
      </c>
      <c r="BH14" s="2"/>
      <c r="BI14" s="2"/>
    </row>
    <row r="15" spans="1:61" ht="13.8">
      <c r="A15" s="2" t="s">
        <v>294</v>
      </c>
      <c r="AA15" s="180">
        <f t="shared" si="8"/>
        <v>252000000</v>
      </c>
      <c r="AB15" s="41">
        <f t="shared" si="0"/>
        <v>300</v>
      </c>
      <c r="AC15" s="21">
        <v>12</v>
      </c>
      <c r="AD15" s="21" t="s">
        <v>283</v>
      </c>
      <c r="AE15" s="41">
        <f>SUM(AF15, AG15)</f>
        <v>1683.0825694168316</v>
      </c>
      <c r="AF15" s="41">
        <f t="shared" si="1"/>
        <v>657.44476798848643</v>
      </c>
      <c r="AG15" s="175">
        <f t="shared" si="4"/>
        <v>1025.637801428345</v>
      </c>
      <c r="AH15" s="242">
        <f t="shared" si="5"/>
        <v>6.6788990849874263</v>
      </c>
      <c r="AI15" s="195">
        <f t="shared" si="6"/>
        <v>2.6089078094781208</v>
      </c>
      <c r="AJ15" s="195">
        <f t="shared" si="2"/>
        <v>4.0699912755093051</v>
      </c>
      <c r="AK15" s="197">
        <f t="shared" si="3"/>
        <v>4.4399904823737977</v>
      </c>
      <c r="BH15" s="2"/>
      <c r="BI15" s="2"/>
    </row>
    <row r="16" spans="1:61" ht="13.8">
      <c r="A16" s="2" t="s">
        <v>295</v>
      </c>
      <c r="AA16" s="180">
        <f t="shared" si="8"/>
        <v>273000000</v>
      </c>
      <c r="AB16" s="41">
        <f t="shared" si="0"/>
        <v>325</v>
      </c>
      <c r="AC16" s="21">
        <v>13</v>
      </c>
      <c r="AD16" s="21" t="s">
        <v>283</v>
      </c>
      <c r="AE16" s="41">
        <f t="shared" si="7"/>
        <v>1776.3223695466809</v>
      </c>
      <c r="AF16" s="41">
        <f t="shared" si="1"/>
        <v>657.44476798848643</v>
      </c>
      <c r="AG16" s="175">
        <f t="shared" si="4"/>
        <v>1118.8776015581946</v>
      </c>
      <c r="AH16" s="242">
        <f t="shared" si="5"/>
        <v>6.5066753463248386</v>
      </c>
      <c r="AI16" s="195">
        <f t="shared" si="6"/>
        <v>2.4082225933644192</v>
      </c>
      <c r="AJ16" s="195">
        <f t="shared" si="2"/>
        <v>4.0984527529604193</v>
      </c>
      <c r="AK16" s="197">
        <f t="shared" si="3"/>
        <v>4.4399904823737764</v>
      </c>
      <c r="BH16" s="2"/>
      <c r="BI16" s="2"/>
    </row>
    <row r="17" spans="1:61" ht="13.8">
      <c r="A17" s="2" t="s">
        <v>296</v>
      </c>
      <c r="AA17" s="180">
        <f t="shared" si="8"/>
        <v>294000000</v>
      </c>
      <c r="AB17" s="41">
        <f t="shared" si="0"/>
        <v>350</v>
      </c>
      <c r="AC17" s="21">
        <v>14</v>
      </c>
      <c r="AD17" s="21" t="s">
        <v>283</v>
      </c>
      <c r="AE17" s="41">
        <f t="shared" si="7"/>
        <v>1869.5621696765306</v>
      </c>
      <c r="AF17" s="41">
        <f t="shared" si="1"/>
        <v>657.44476798848643</v>
      </c>
      <c r="AG17" s="175">
        <f t="shared" si="4"/>
        <v>1212.1174016880441</v>
      </c>
      <c r="AH17" s="242">
        <f t="shared" si="5"/>
        <v>6.3590549988997633</v>
      </c>
      <c r="AI17" s="195">
        <f t="shared" si="6"/>
        <v>2.2362066938383891</v>
      </c>
      <c r="AJ17" s="195">
        <f t="shared" si="2"/>
        <v>4.1228483050613747</v>
      </c>
      <c r="AK17" s="197">
        <f t="shared" si="3"/>
        <v>4.4399904823737977</v>
      </c>
      <c r="BH17" s="2"/>
      <c r="BI17" s="2"/>
    </row>
    <row r="18" spans="1:61" ht="13.8">
      <c r="A18" s="2" t="s">
        <v>360</v>
      </c>
      <c r="AA18" s="180">
        <f t="shared" si="8"/>
        <v>315000000</v>
      </c>
      <c r="AB18" s="41">
        <f t="shared" si="0"/>
        <v>375</v>
      </c>
      <c r="AC18" s="21">
        <v>15</v>
      </c>
      <c r="AD18" s="21" t="s">
        <v>283</v>
      </c>
      <c r="AE18" s="41">
        <f t="shared" si="7"/>
        <v>1962.8019698063799</v>
      </c>
      <c r="AF18" s="41">
        <f t="shared" si="1"/>
        <v>657.44476798848643</v>
      </c>
      <c r="AG18" s="175">
        <f t="shared" si="4"/>
        <v>1305.3572018178936</v>
      </c>
      <c r="AH18" s="242">
        <f t="shared" si="5"/>
        <v>6.2311173644646978</v>
      </c>
      <c r="AI18" s="195">
        <f t="shared" si="6"/>
        <v>2.0871262475824963</v>
      </c>
      <c r="AJ18" s="195">
        <f t="shared" si="2"/>
        <v>4.1439911168822015</v>
      </c>
      <c r="AK18" s="197">
        <f t="shared" si="3"/>
        <v>4.4399904823737764</v>
      </c>
      <c r="BH18" s="2"/>
      <c r="BI18" s="2"/>
    </row>
    <row r="19" spans="1:61" ht="13.8">
      <c r="A19" s="2" t="s">
        <v>297</v>
      </c>
      <c r="AA19" s="180">
        <f t="shared" si="8"/>
        <v>336000000</v>
      </c>
      <c r="AB19" s="41">
        <f t="shared" si="0"/>
        <v>400</v>
      </c>
      <c r="AC19" s="21">
        <v>16</v>
      </c>
      <c r="AD19" s="21" t="s">
        <v>283</v>
      </c>
      <c r="AE19" s="41">
        <f t="shared" si="7"/>
        <v>2056.0417699362297</v>
      </c>
      <c r="AF19" s="41">
        <f t="shared" si="1"/>
        <v>657.44476798848643</v>
      </c>
      <c r="AG19" s="175">
        <f t="shared" si="4"/>
        <v>1398.5970019477431</v>
      </c>
      <c r="AH19" s="242">
        <f t="shared" si="5"/>
        <v>6.119171934334017</v>
      </c>
      <c r="AI19" s="195">
        <f t="shared" si="6"/>
        <v>1.9566808571085907</v>
      </c>
      <c r="AJ19" s="195">
        <f t="shared" si="2"/>
        <v>4.1624910772254262</v>
      </c>
      <c r="AK19" s="197">
        <f t="shared" si="3"/>
        <v>4.4399904823737977</v>
      </c>
      <c r="BH19" s="2"/>
      <c r="BI19" s="2"/>
    </row>
    <row r="20" spans="1:61" ht="13.8">
      <c r="A20" s="2" t="s">
        <v>298</v>
      </c>
      <c r="AA20" s="180">
        <f t="shared" si="8"/>
        <v>357000000</v>
      </c>
      <c r="AB20" s="41">
        <f t="shared" si="0"/>
        <v>425</v>
      </c>
      <c r="AC20" s="21">
        <v>17</v>
      </c>
      <c r="AD20" s="21" t="s">
        <v>283</v>
      </c>
      <c r="AE20" s="41">
        <f t="shared" si="7"/>
        <v>2149.281570066079</v>
      </c>
      <c r="AF20" s="41">
        <f t="shared" si="1"/>
        <v>657.44476798848643</v>
      </c>
      <c r="AG20" s="175">
        <f t="shared" si="4"/>
        <v>1491.8368020775927</v>
      </c>
      <c r="AH20" s="242">
        <f t="shared" si="5"/>
        <v>6.0203965548069451</v>
      </c>
      <c r="AI20" s="195">
        <f t="shared" si="6"/>
        <v>1.8415819831610265</v>
      </c>
      <c r="AJ20" s="195">
        <f t="shared" si="2"/>
        <v>4.1788145716459182</v>
      </c>
      <c r="AK20" s="197">
        <f t="shared" si="3"/>
        <v>4.4399904823737764</v>
      </c>
      <c r="BH20" s="2"/>
      <c r="BI20" s="2"/>
    </row>
    <row r="21" spans="1:61" ht="13.8">
      <c r="A21" s="2" t="s">
        <v>365</v>
      </c>
      <c r="AA21" s="180">
        <f t="shared" si="8"/>
        <v>378000000</v>
      </c>
      <c r="AB21" s="41">
        <f t="shared" si="0"/>
        <v>450</v>
      </c>
      <c r="AC21" s="21">
        <v>18</v>
      </c>
      <c r="AD21" s="21" t="s">
        <v>283</v>
      </c>
      <c r="AE21" s="41">
        <f t="shared" si="7"/>
        <v>2242.5213701959287</v>
      </c>
      <c r="AF21" s="41">
        <f t="shared" si="1"/>
        <v>657.44476798848643</v>
      </c>
      <c r="AG21" s="175">
        <f t="shared" si="4"/>
        <v>1585.0766022074422</v>
      </c>
      <c r="AH21" s="242">
        <f t="shared" si="5"/>
        <v>5.9325962174495466</v>
      </c>
      <c r="AI21" s="195">
        <f t="shared" si="6"/>
        <v>1.7392718729854137</v>
      </c>
      <c r="AJ21" s="195">
        <f t="shared" si="2"/>
        <v>4.1933243444641333</v>
      </c>
      <c r="AK21" s="197">
        <f t="shared" si="3"/>
        <v>4.4399904823737977</v>
      </c>
      <c r="BH21" s="2"/>
      <c r="BI21" s="2"/>
    </row>
    <row r="22" spans="1:61" ht="13.8">
      <c r="AA22" s="180">
        <f t="shared" si="8"/>
        <v>399000000</v>
      </c>
      <c r="AB22" s="41">
        <f t="shared" si="0"/>
        <v>475</v>
      </c>
      <c r="AC22" s="21">
        <v>19</v>
      </c>
      <c r="AD22" s="21" t="s">
        <v>283</v>
      </c>
      <c r="AE22" s="41">
        <f t="shared" si="7"/>
        <v>2335.761170325778</v>
      </c>
      <c r="AF22" s="41">
        <f t="shared" si="1"/>
        <v>657.44476798848643</v>
      </c>
      <c r="AG22" s="175">
        <f t="shared" si="4"/>
        <v>1678.3164023372917</v>
      </c>
      <c r="AH22" s="242">
        <f t="shared" si="5"/>
        <v>5.8540380208666125</v>
      </c>
      <c r="AI22" s="195">
        <f t="shared" si="6"/>
        <v>1.6477312480914446</v>
      </c>
      <c r="AJ22" s="195">
        <f t="shared" si="2"/>
        <v>4.206306772775168</v>
      </c>
      <c r="AK22" s="197">
        <f t="shared" si="3"/>
        <v>4.4399904823737764</v>
      </c>
      <c r="BH22" s="2"/>
      <c r="BI22" s="2"/>
    </row>
    <row r="23" spans="1:61" thickBot="1">
      <c r="A23" s="493" t="s">
        <v>408</v>
      </c>
      <c r="B23" s="493"/>
      <c r="C23" s="493"/>
      <c r="D23" s="493"/>
      <c r="AA23" s="180">
        <f t="shared" si="8"/>
        <v>420000000</v>
      </c>
      <c r="AB23" s="41">
        <f t="shared" si="0"/>
        <v>500</v>
      </c>
      <c r="AC23" s="21">
        <v>20</v>
      </c>
      <c r="AD23" s="21" t="s">
        <v>283</v>
      </c>
      <c r="AE23" s="41">
        <f t="shared" si="7"/>
        <v>2429.0009704556278</v>
      </c>
      <c r="AF23" s="41">
        <f t="shared" si="1"/>
        <v>657.44476798848643</v>
      </c>
      <c r="AG23" s="175">
        <f t="shared" si="4"/>
        <v>1771.5562024671412</v>
      </c>
      <c r="AH23" s="242">
        <f t="shared" si="5"/>
        <v>5.7833356439419701</v>
      </c>
      <c r="AI23" s="195">
        <f t="shared" si="6"/>
        <v>1.5653446856868725</v>
      </c>
      <c r="AJ23" s="195">
        <f t="shared" si="2"/>
        <v>4.2179909582550978</v>
      </c>
      <c r="AK23" s="197">
        <f t="shared" si="3"/>
        <v>4.4399904823737977</v>
      </c>
      <c r="BH23" s="2"/>
      <c r="BI23" s="2"/>
    </row>
    <row r="24" spans="1:61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A24" s="180">
        <f t="shared" si="8"/>
        <v>441000000</v>
      </c>
      <c r="AB24" s="41">
        <f t="shared" si="0"/>
        <v>525</v>
      </c>
      <c r="AC24" s="21">
        <v>21</v>
      </c>
      <c r="AD24" s="21" t="s">
        <v>283</v>
      </c>
      <c r="AE24" s="41">
        <f t="shared" ref="AE24:AE57" si="9">SUM(AF24, AG24)</f>
        <v>2522.2407705854771</v>
      </c>
      <c r="AF24" s="41">
        <f t="shared" si="1"/>
        <v>657.44476798848643</v>
      </c>
      <c r="AG24" s="175">
        <f t="shared" si="4"/>
        <v>1864.7960025969908</v>
      </c>
      <c r="AH24" s="242">
        <f t="shared" ref="AH24:AH57" si="10">SUM(AI24:AJ24)</f>
        <v>5.7193668267244382</v>
      </c>
      <c r="AI24" s="195">
        <f t="shared" ref="AI24:AI57" si="11">IFERROR(AF24/AA24,0)*1000000</f>
        <v>1.4908044625589263</v>
      </c>
      <c r="AJ24" s="195">
        <f t="shared" ref="AJ24:AJ57" si="12">IFERROR(AG24/AA24,0)*1000000</f>
        <v>4.2285623641655121</v>
      </c>
      <c r="AK24" s="197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A25" s="180">
        <f t="shared" si="8"/>
        <v>462000000</v>
      </c>
      <c r="AB25" s="41">
        <f t="shared" si="0"/>
        <v>550</v>
      </c>
      <c r="AC25" s="21">
        <v>22</v>
      </c>
      <c r="AD25" s="21" t="s">
        <v>283</v>
      </c>
      <c r="AE25" s="41">
        <f t="shared" si="9"/>
        <v>2615.4805707153268</v>
      </c>
      <c r="AF25" s="41">
        <f t="shared" si="1"/>
        <v>657.44476798848643</v>
      </c>
      <c r="AG25" s="175">
        <f t="shared" si="4"/>
        <v>1958.0358027268403</v>
      </c>
      <c r="AH25" s="242">
        <f t="shared" si="10"/>
        <v>5.6612133565266811</v>
      </c>
      <c r="AI25" s="195">
        <f t="shared" si="11"/>
        <v>1.4230406233517023</v>
      </c>
      <c r="AJ25" s="195">
        <f t="shared" si="12"/>
        <v>4.238172733174979</v>
      </c>
      <c r="AK25" s="197">
        <f t="shared" si="13"/>
        <v>4.4399904823737977</v>
      </c>
      <c r="BH25" s="2"/>
      <c r="BI25" s="2"/>
    </row>
    <row r="26" spans="1:61" ht="13.8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A26" s="180">
        <f t="shared" si="8"/>
        <v>483000000</v>
      </c>
      <c r="AB26" s="41">
        <f t="shared" si="0"/>
        <v>575</v>
      </c>
      <c r="AC26" s="21">
        <v>23</v>
      </c>
      <c r="AD26" s="21" t="s">
        <v>283</v>
      </c>
      <c r="AE26" s="41">
        <f t="shared" si="9"/>
        <v>2708.7203708451766</v>
      </c>
      <c r="AF26" s="41">
        <f t="shared" si="1"/>
        <v>657.44476798848643</v>
      </c>
      <c r="AG26" s="175">
        <f t="shared" si="4"/>
        <v>2051.2756028566901</v>
      </c>
      <c r="AH26" s="242">
        <f t="shared" si="10"/>
        <v>5.6081167098243823</v>
      </c>
      <c r="AI26" s="195">
        <f t="shared" si="11"/>
        <v>1.3611692919016283</v>
      </c>
      <c r="AJ26" s="195">
        <f t="shared" si="12"/>
        <v>4.2469474179227538</v>
      </c>
      <c r="AK26" s="197">
        <f t="shared" si="13"/>
        <v>4.4399904823737977</v>
      </c>
      <c r="BH26" s="2"/>
      <c r="BI26" s="2"/>
    </row>
    <row r="27" spans="1:61" ht="13.8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A27" s="180">
        <f t="shared" si="8"/>
        <v>504000000</v>
      </c>
      <c r="AB27" s="41">
        <f t="shared" si="0"/>
        <v>600</v>
      </c>
      <c r="AC27" s="21">
        <v>24</v>
      </c>
      <c r="AD27" s="21" t="s">
        <v>283</v>
      </c>
      <c r="AE27" s="41">
        <f t="shared" si="9"/>
        <v>2801.9601709750264</v>
      </c>
      <c r="AF27" s="41">
        <f t="shared" si="1"/>
        <v>657.44476798848643</v>
      </c>
      <c r="AG27" s="175">
        <f t="shared" si="4"/>
        <v>2144.5154029865398</v>
      </c>
      <c r="AH27" s="242">
        <f t="shared" si="10"/>
        <v>5.5594447836806076</v>
      </c>
      <c r="AI27" s="195">
        <f t="shared" si="11"/>
        <v>1.3044539047390604</v>
      </c>
      <c r="AJ27" s="195">
        <f t="shared" si="12"/>
        <v>4.2549908789415474</v>
      </c>
      <c r="AK27" s="197">
        <f t="shared" si="13"/>
        <v>4.4399904823737977</v>
      </c>
      <c r="AM27" s="74"/>
      <c r="BH27" s="2"/>
      <c r="BI27" s="2"/>
    </row>
    <row r="28" spans="1:61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A28" s="180">
        <f t="shared" si="8"/>
        <v>525000000</v>
      </c>
      <c r="AB28" s="41">
        <f t="shared" si="0"/>
        <v>625</v>
      </c>
      <c r="AC28" s="21">
        <v>25</v>
      </c>
      <c r="AD28" s="21" t="s">
        <v>283</v>
      </c>
      <c r="AE28" s="41">
        <f t="shared" si="9"/>
        <v>2895.1999711048761</v>
      </c>
      <c r="AF28" s="41">
        <f t="shared" si="1"/>
        <v>657.44476798848643</v>
      </c>
      <c r="AG28" s="175">
        <f t="shared" si="4"/>
        <v>2237.7552031163896</v>
      </c>
      <c r="AH28" s="242">
        <f t="shared" si="10"/>
        <v>5.5146666116283356</v>
      </c>
      <c r="AI28" s="195">
        <f t="shared" si="11"/>
        <v>1.252275748549498</v>
      </c>
      <c r="AJ28" s="195">
        <f t="shared" si="12"/>
        <v>4.2623908630788376</v>
      </c>
      <c r="AK28" s="197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80">
        <f t="shared" si="8"/>
        <v>546000000</v>
      </c>
      <c r="AB29" s="41">
        <f t="shared" si="0"/>
        <v>650</v>
      </c>
      <c r="AC29" s="21">
        <v>26</v>
      </c>
      <c r="AD29" s="21" t="s">
        <v>283</v>
      </c>
      <c r="AE29" s="41">
        <f t="shared" si="9"/>
        <v>2988.4397712347259</v>
      </c>
      <c r="AF29" s="41">
        <f t="shared" si="1"/>
        <v>657.44476798848643</v>
      </c>
      <c r="AG29" s="175">
        <f t="shared" si="4"/>
        <v>2330.9950032462393</v>
      </c>
      <c r="AH29" s="242">
        <f t="shared" si="10"/>
        <v>5.4733329143493146</v>
      </c>
      <c r="AI29" s="195">
        <f t="shared" si="11"/>
        <v>1.2041112966822096</v>
      </c>
      <c r="AJ29" s="195">
        <f t="shared" si="12"/>
        <v>4.269221617667105</v>
      </c>
      <c r="AK29" s="197">
        <f t="shared" si="13"/>
        <v>4.4399904823737977</v>
      </c>
      <c r="BH29" s="2"/>
      <c r="BI29" s="2"/>
    </row>
    <row r="30" spans="1:61" ht="13.8">
      <c r="A30" s="27"/>
      <c r="B30" s="27"/>
      <c r="C30" s="169" t="s">
        <v>315</v>
      </c>
      <c r="D30" s="83">
        <f>SUM(D25:D27)/3</f>
        <v>3.5815952251811549E-2</v>
      </c>
      <c r="AA30" s="180">
        <f t="shared" si="8"/>
        <v>567000000</v>
      </c>
      <c r="AB30" s="41">
        <f t="shared" si="0"/>
        <v>675</v>
      </c>
      <c r="AC30" s="21">
        <v>27</v>
      </c>
      <c r="AD30" s="21" t="s">
        <v>283</v>
      </c>
      <c r="AE30" s="41">
        <f t="shared" si="9"/>
        <v>3081.6795713645756</v>
      </c>
      <c r="AF30" s="41">
        <f t="shared" si="1"/>
        <v>657.44476798848643</v>
      </c>
      <c r="AG30" s="175">
        <f t="shared" si="4"/>
        <v>2424.2348033760891</v>
      </c>
      <c r="AH30" s="242">
        <f t="shared" si="10"/>
        <v>5.4350609724242958</v>
      </c>
      <c r="AI30" s="195">
        <f t="shared" si="11"/>
        <v>1.1595145819902759</v>
      </c>
      <c r="AJ30" s="195">
        <f t="shared" si="12"/>
        <v>4.2755463904340196</v>
      </c>
      <c r="AK30" s="197">
        <f t="shared" si="13"/>
        <v>4.4399904823737977</v>
      </c>
      <c r="BH30" s="2"/>
      <c r="BI30" s="2"/>
    </row>
    <row r="31" spans="1:61" ht="13.8">
      <c r="A31" s="27"/>
      <c r="B31" s="27"/>
      <c r="C31" s="169" t="s">
        <v>316</v>
      </c>
      <c r="D31" s="83">
        <f>D28</f>
        <v>0.45454545454545453</v>
      </c>
      <c r="AA31" s="180">
        <f t="shared" si="8"/>
        <v>588000000</v>
      </c>
      <c r="AB31" s="41">
        <f t="shared" si="0"/>
        <v>700</v>
      </c>
      <c r="AC31" s="21">
        <v>28</v>
      </c>
      <c r="AD31" s="21" t="s">
        <v>283</v>
      </c>
      <c r="AE31" s="41">
        <f t="shared" si="9"/>
        <v>3174.9193714944254</v>
      </c>
      <c r="AF31" s="41">
        <f t="shared" si="1"/>
        <v>657.44476798848643</v>
      </c>
      <c r="AG31" s="175">
        <f t="shared" si="4"/>
        <v>2517.4746035059388</v>
      </c>
      <c r="AH31" s="242">
        <f t="shared" si="10"/>
        <v>5.3995227406367778</v>
      </c>
      <c r="AI31" s="195">
        <f t="shared" si="11"/>
        <v>1.1181033469191946</v>
      </c>
      <c r="AJ31" s="195">
        <f t="shared" si="12"/>
        <v>4.2814193937175835</v>
      </c>
      <c r="AK31" s="197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80">
        <f t="shared" si="8"/>
        <v>609000000</v>
      </c>
      <c r="AB32" s="41">
        <f t="shared" si="0"/>
        <v>725</v>
      </c>
      <c r="AC32" s="21">
        <v>29</v>
      </c>
      <c r="AD32" s="21" t="s">
        <v>283</v>
      </c>
      <c r="AE32" s="41">
        <f t="shared" si="9"/>
        <v>3268.1591716242751</v>
      </c>
      <c r="AF32" s="41">
        <f t="shared" si="1"/>
        <v>657.44476798848643</v>
      </c>
      <c r="AG32" s="175">
        <f t="shared" si="4"/>
        <v>2610.7144036357886</v>
      </c>
      <c r="AH32" s="242">
        <f t="shared" si="10"/>
        <v>5.3664354213863303</v>
      </c>
      <c r="AI32" s="195">
        <f t="shared" si="11"/>
        <v>1.0795480590943949</v>
      </c>
      <c r="AJ32" s="195">
        <f t="shared" si="12"/>
        <v>4.2868873622919352</v>
      </c>
      <c r="AK32" s="197">
        <f t="shared" si="13"/>
        <v>4.4399904823737977</v>
      </c>
      <c r="BH32" s="2"/>
      <c r="BI32" s="2"/>
    </row>
    <row r="33" spans="1:61" thickBot="1">
      <c r="A33" s="493" t="s">
        <v>409</v>
      </c>
      <c r="B33" s="493"/>
      <c r="C33" s="493"/>
      <c r="D33" s="493"/>
      <c r="AA33" s="180">
        <f t="shared" si="8"/>
        <v>630000000</v>
      </c>
      <c r="AB33" s="41">
        <f t="shared" si="0"/>
        <v>750</v>
      </c>
      <c r="AC33" s="21">
        <v>30</v>
      </c>
      <c r="AD33" s="21" t="s">
        <v>283</v>
      </c>
      <c r="AE33" s="41">
        <f t="shared" si="9"/>
        <v>3361.3989717541249</v>
      </c>
      <c r="AF33" s="41">
        <f t="shared" si="1"/>
        <v>657.44476798848643</v>
      </c>
      <c r="AG33" s="175">
        <f t="shared" si="4"/>
        <v>2703.9542037656383</v>
      </c>
      <c r="AH33" s="242">
        <f t="shared" si="10"/>
        <v>5.3355539234192459</v>
      </c>
      <c r="AI33" s="195">
        <f t="shared" si="11"/>
        <v>1.0435631237912482</v>
      </c>
      <c r="AJ33" s="195">
        <f t="shared" si="12"/>
        <v>4.2919907996279978</v>
      </c>
      <c r="AK33" s="197">
        <f t="shared" si="13"/>
        <v>4.4399904823737977</v>
      </c>
      <c r="BH33" s="2"/>
      <c r="BI33" s="2"/>
    </row>
    <row r="34" spans="1:61" ht="13.8">
      <c r="A34" s="164" t="s">
        <v>300</v>
      </c>
      <c r="B34" s="165" t="s">
        <v>317</v>
      </c>
      <c r="C34" s="165" t="s">
        <v>271</v>
      </c>
      <c r="D34" s="166" t="s">
        <v>318</v>
      </c>
      <c r="AA34" s="180">
        <f t="shared" si="8"/>
        <v>651000000</v>
      </c>
      <c r="AB34" s="41">
        <f t="shared" si="0"/>
        <v>775</v>
      </c>
      <c r="AC34" s="21">
        <v>31</v>
      </c>
      <c r="AD34" s="21" t="s">
        <v>283</v>
      </c>
      <c r="AE34" s="41">
        <f t="shared" si="9"/>
        <v>3454.6387718839746</v>
      </c>
      <c r="AF34" s="41">
        <f t="shared" si="1"/>
        <v>657.44476798848643</v>
      </c>
      <c r="AG34" s="175">
        <f t="shared" si="4"/>
        <v>2797.1940038954881</v>
      </c>
      <c r="AH34" s="242">
        <f t="shared" si="10"/>
        <v>5.3066647801597151</v>
      </c>
      <c r="AI34" s="195">
        <f t="shared" si="11"/>
        <v>1.0098997972173371</v>
      </c>
      <c r="AJ34" s="195">
        <f t="shared" si="12"/>
        <v>4.2967649829423777</v>
      </c>
      <c r="AK34" s="197">
        <f t="shared" si="13"/>
        <v>4.4399904823737977</v>
      </c>
      <c r="BH34" s="2"/>
      <c r="BI34" s="2"/>
    </row>
    <row r="35" spans="1:61" ht="13.8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180">
        <f t="shared" si="8"/>
        <v>672000000</v>
      </c>
      <c r="AB35" s="41">
        <f t="shared" si="0"/>
        <v>800</v>
      </c>
      <c r="AC35" s="21">
        <v>32</v>
      </c>
      <c r="AD35" s="21" t="s">
        <v>283</v>
      </c>
      <c r="AE35" s="41">
        <f t="shared" si="9"/>
        <v>3547.8785720138244</v>
      </c>
      <c r="AF35" s="41">
        <f t="shared" si="1"/>
        <v>657.44476798848643</v>
      </c>
      <c r="AG35" s="175">
        <f t="shared" si="4"/>
        <v>2890.4338040253378</v>
      </c>
      <c r="AH35" s="242">
        <f t="shared" si="10"/>
        <v>5.2795812083539051</v>
      </c>
      <c r="AI35" s="195">
        <f t="shared" si="11"/>
        <v>0.97834042855429537</v>
      </c>
      <c r="AJ35" s="195">
        <f t="shared" si="12"/>
        <v>4.3012407797996097</v>
      </c>
      <c r="AK35" s="197">
        <f t="shared" si="13"/>
        <v>4.4399904823737977</v>
      </c>
      <c r="BH35" s="2"/>
      <c r="BI35" s="2"/>
    </row>
    <row r="36" spans="1:61" ht="13.8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180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283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5">
        <f t="shared" si="4"/>
        <v>2983.6736041551876</v>
      </c>
      <c r="AH36" s="242">
        <f t="shared" si="10"/>
        <v>5.254139065142386</v>
      </c>
      <c r="AI36" s="195">
        <f t="shared" si="11"/>
        <v>0.94869374890113489</v>
      </c>
      <c r="AJ36" s="195">
        <f t="shared" si="12"/>
        <v>4.3054453162412516</v>
      </c>
      <c r="AK36" s="197">
        <f t="shared" si="13"/>
        <v>4.4399904823737977</v>
      </c>
      <c r="BH36" s="2"/>
      <c r="BI36" s="2"/>
    </row>
    <row r="37" spans="1:61" ht="13.8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180">
        <f t="shared" si="8"/>
        <v>714000000</v>
      </c>
      <c r="AB37" s="41">
        <f t="shared" si="14"/>
        <v>850</v>
      </c>
      <c r="AC37" s="21">
        <v>34</v>
      </c>
      <c r="AD37" s="21" t="s">
        <v>283</v>
      </c>
      <c r="AE37" s="41">
        <f t="shared" si="9"/>
        <v>3734.3581722735239</v>
      </c>
      <c r="AF37" s="41">
        <f t="shared" si="15"/>
        <v>657.44476798848643</v>
      </c>
      <c r="AG37" s="175">
        <f t="shared" ref="AG37:AG68" si="16">AG36+SUM(AE401:AF401,BG401)</f>
        <v>3076.9134042850374</v>
      </c>
      <c r="AH37" s="242">
        <f t="shared" si="10"/>
        <v>5.2301935185903696</v>
      </c>
      <c r="AI37" s="195">
        <f t="shared" si="11"/>
        <v>0.92079099158051325</v>
      </c>
      <c r="AJ37" s="195">
        <f t="shared" si="12"/>
        <v>4.3094025270098566</v>
      </c>
      <c r="AK37" s="197">
        <f t="shared" si="13"/>
        <v>4.4399904823737977</v>
      </c>
      <c r="BH37" s="2"/>
      <c r="BI37" s="2"/>
    </row>
    <row r="38" spans="1:61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180">
        <f t="shared" si="8"/>
        <v>735000000</v>
      </c>
      <c r="AB38" s="41">
        <f t="shared" si="14"/>
        <v>875</v>
      </c>
      <c r="AC38" s="21">
        <v>35</v>
      </c>
      <c r="AD38" s="21" t="s">
        <v>283</v>
      </c>
      <c r="AE38" s="41">
        <f t="shared" si="9"/>
        <v>3827.5979724033737</v>
      </c>
      <c r="AF38" s="41">
        <f t="shared" si="15"/>
        <v>657.44476798848643</v>
      </c>
      <c r="AG38" s="175">
        <f t="shared" si="16"/>
        <v>3170.1532044148871</v>
      </c>
      <c r="AH38" s="242">
        <f t="shared" si="10"/>
        <v>5.2076162889841822</v>
      </c>
      <c r="AI38" s="195">
        <f t="shared" si="11"/>
        <v>0.89448267753535571</v>
      </c>
      <c r="AJ38" s="195">
        <f t="shared" si="12"/>
        <v>4.3131336114488263</v>
      </c>
      <c r="AK38" s="197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80">
        <f t="shared" si="8"/>
        <v>756000000</v>
      </c>
      <c r="AB39" s="41">
        <f t="shared" si="14"/>
        <v>900</v>
      </c>
      <c r="AC39" s="21">
        <v>36</v>
      </c>
      <c r="AD39" s="21" t="s">
        <v>283</v>
      </c>
      <c r="AE39" s="41">
        <f t="shared" si="9"/>
        <v>3920.8377725332234</v>
      </c>
      <c r="AF39" s="41">
        <f t="shared" si="15"/>
        <v>657.44476798848643</v>
      </c>
      <c r="AG39" s="175">
        <f t="shared" si="16"/>
        <v>3263.3930045447369</v>
      </c>
      <c r="AH39" s="242">
        <f t="shared" si="10"/>
        <v>5.1862933499116712</v>
      </c>
      <c r="AI39" s="195">
        <f t="shared" si="11"/>
        <v>0.86963593649270687</v>
      </c>
      <c r="AJ39" s="195">
        <f t="shared" si="12"/>
        <v>4.3166574134189641</v>
      </c>
      <c r="AK39" s="197">
        <f t="shared" si="13"/>
        <v>4.4399904823737977</v>
      </c>
      <c r="BH39" s="2"/>
      <c r="BI39" s="2"/>
    </row>
    <row r="40" spans="1:61" ht="13.8">
      <c r="A40" s="27"/>
      <c r="B40" s="27"/>
      <c r="C40" s="169" t="s">
        <v>315</v>
      </c>
      <c r="D40" s="83">
        <f>SUM(D35:D37)/3</f>
        <v>4.1242200143019323</v>
      </c>
      <c r="AA40" s="180">
        <f t="shared" si="8"/>
        <v>777000000</v>
      </c>
      <c r="AB40" s="41">
        <f t="shared" si="14"/>
        <v>925</v>
      </c>
      <c r="AC40" s="21">
        <v>37</v>
      </c>
      <c r="AD40" s="21" t="s">
        <v>283</v>
      </c>
      <c r="AE40" s="41">
        <f t="shared" si="9"/>
        <v>4014.0775726630732</v>
      </c>
      <c r="AF40" s="41">
        <f t="shared" si="15"/>
        <v>657.44476798848643</v>
      </c>
      <c r="AG40" s="175">
        <f t="shared" si="16"/>
        <v>3356.6328046745866</v>
      </c>
      <c r="AH40" s="242">
        <f t="shared" si="10"/>
        <v>5.1661230021403775</v>
      </c>
      <c r="AI40" s="195">
        <f t="shared" si="11"/>
        <v>0.84613226253344453</v>
      </c>
      <c r="AJ40" s="195">
        <f t="shared" si="12"/>
        <v>4.3199907396069328</v>
      </c>
      <c r="AK40" s="197">
        <f t="shared" si="13"/>
        <v>4.4399904823737977</v>
      </c>
      <c r="BH40" s="2"/>
      <c r="BI40" s="2"/>
    </row>
    <row r="41" spans="1:61" ht="13.8">
      <c r="A41" s="27"/>
      <c r="B41" s="27"/>
      <c r="C41" s="169" t="s">
        <v>316</v>
      </c>
      <c r="D41" s="83">
        <f>D38</f>
        <v>109.09090909090909</v>
      </c>
      <c r="AA41" s="180">
        <f t="shared" si="8"/>
        <v>798000000</v>
      </c>
      <c r="AB41" s="41">
        <f t="shared" si="14"/>
        <v>950</v>
      </c>
      <c r="AC41" s="21">
        <v>38</v>
      </c>
      <c r="AD41" s="21" t="s">
        <v>283</v>
      </c>
      <c r="AE41" s="41">
        <f t="shared" si="9"/>
        <v>4107.3173727929225</v>
      </c>
      <c r="AF41" s="41">
        <f t="shared" si="15"/>
        <v>657.44476798848643</v>
      </c>
      <c r="AG41" s="175">
        <f t="shared" si="16"/>
        <v>3449.8726048044364</v>
      </c>
      <c r="AH41" s="242">
        <f t="shared" si="10"/>
        <v>5.1470142516202042</v>
      </c>
      <c r="AI41" s="195">
        <f t="shared" si="11"/>
        <v>0.82386562404572228</v>
      </c>
      <c r="AJ41" s="195">
        <f t="shared" si="12"/>
        <v>4.3231486275744819</v>
      </c>
      <c r="AK41" s="197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80">
        <f t="shared" si="8"/>
        <v>819000000</v>
      </c>
      <c r="AB42" s="41">
        <f t="shared" si="14"/>
        <v>975</v>
      </c>
      <c r="AC42" s="21">
        <v>39</v>
      </c>
      <c r="AD42" s="21" t="s">
        <v>283</v>
      </c>
      <c r="AE42" s="41">
        <f t="shared" si="9"/>
        <v>4200.5571729227722</v>
      </c>
      <c r="AF42" s="41">
        <f t="shared" si="15"/>
        <v>657.44476798848643</v>
      </c>
      <c r="AG42" s="175">
        <f t="shared" si="16"/>
        <v>3543.1124049342861</v>
      </c>
      <c r="AH42" s="242">
        <f t="shared" si="10"/>
        <v>5.1288854370241426</v>
      </c>
      <c r="AI42" s="195">
        <f t="shared" si="11"/>
        <v>0.80274086445480641</v>
      </c>
      <c r="AJ42" s="195">
        <f t="shared" si="12"/>
        <v>4.3261445725693362</v>
      </c>
      <c r="AK42" s="197">
        <f t="shared" si="13"/>
        <v>4.4399904823737977</v>
      </c>
      <c r="BH42" s="2"/>
      <c r="BI42" s="2"/>
    </row>
    <row r="43" spans="1:61" thickBot="1">
      <c r="A43" s="493" t="s">
        <v>410</v>
      </c>
      <c r="B43" s="493"/>
      <c r="C43" s="493"/>
      <c r="D43" s="493"/>
      <c r="AA43" s="180">
        <f t="shared" si="8"/>
        <v>840000000</v>
      </c>
      <c r="AB43" s="41">
        <f t="shared" si="14"/>
        <v>1000</v>
      </c>
      <c r="AC43" s="21">
        <v>40</v>
      </c>
      <c r="AD43" s="21" t="s">
        <v>283</v>
      </c>
      <c r="AE43" s="41">
        <f t="shared" si="9"/>
        <v>4293.796973052622</v>
      </c>
      <c r="AF43" s="41">
        <f t="shared" si="15"/>
        <v>657.44476798848643</v>
      </c>
      <c r="AG43" s="175">
        <f t="shared" si="16"/>
        <v>3636.3522050641359</v>
      </c>
      <c r="AH43" s="242">
        <f t="shared" si="10"/>
        <v>5.1116630631578834</v>
      </c>
      <c r="AI43" s="195">
        <f t="shared" si="11"/>
        <v>0.78267234284343623</v>
      </c>
      <c r="AJ43" s="195">
        <f t="shared" si="12"/>
        <v>4.3289907203144473</v>
      </c>
      <c r="AK43" s="197">
        <f t="shared" si="13"/>
        <v>4.4399904823737977</v>
      </c>
      <c r="BH43" s="2"/>
      <c r="BI43" s="2"/>
    </row>
    <row r="44" spans="1:61" ht="13.8">
      <c r="A44" s="164" t="s">
        <v>300</v>
      </c>
      <c r="B44" s="165" t="s">
        <v>270</v>
      </c>
      <c r="C44" s="165" t="s">
        <v>271</v>
      </c>
      <c r="D44" s="166" t="s">
        <v>319</v>
      </c>
      <c r="AA44" s="180">
        <f t="shared" si="8"/>
        <v>861000000</v>
      </c>
      <c r="AB44" s="41">
        <f t="shared" si="14"/>
        <v>1025</v>
      </c>
      <c r="AC44" s="21">
        <v>41</v>
      </c>
      <c r="AD44" s="21" t="s">
        <v>283</v>
      </c>
      <c r="AE44" s="41">
        <f t="shared" si="9"/>
        <v>4387.0367731824717</v>
      </c>
      <c r="AF44" s="41">
        <f t="shared" si="15"/>
        <v>657.44476798848643</v>
      </c>
      <c r="AG44" s="175">
        <f t="shared" si="16"/>
        <v>3729.5920051939856</v>
      </c>
      <c r="AH44" s="242">
        <f t="shared" si="10"/>
        <v>5.0952808050899785</v>
      </c>
      <c r="AI44" s="195">
        <f t="shared" si="11"/>
        <v>0.7635827735057914</v>
      </c>
      <c r="AJ44" s="195">
        <f t="shared" si="12"/>
        <v>4.3316980315841871</v>
      </c>
      <c r="AK44" s="197">
        <f t="shared" si="13"/>
        <v>4.4399904823737977</v>
      </c>
      <c r="BH44" s="2"/>
      <c r="BI44" s="2"/>
    </row>
    <row r="45" spans="1:61" ht="13.8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A45" s="180">
        <f t="shared" si="8"/>
        <v>882000000</v>
      </c>
      <c r="AB45" s="41">
        <f t="shared" si="14"/>
        <v>1050</v>
      </c>
      <c r="AC45" s="21">
        <v>42</v>
      </c>
      <c r="AD45" s="21" t="s">
        <v>283</v>
      </c>
      <c r="AE45" s="41">
        <f t="shared" si="9"/>
        <v>4480.2765733123215</v>
      </c>
      <c r="AF45" s="41">
        <f t="shared" si="15"/>
        <v>657.44476798848643</v>
      </c>
      <c r="AG45" s="175">
        <f t="shared" si="16"/>
        <v>3822.8318053238354</v>
      </c>
      <c r="AH45" s="242">
        <f t="shared" si="10"/>
        <v>5.0796786545491184</v>
      </c>
      <c r="AI45" s="195">
        <f t="shared" si="11"/>
        <v>0.74540223127946315</v>
      </c>
      <c r="AJ45" s="195">
        <f t="shared" si="12"/>
        <v>4.3342764232696549</v>
      </c>
      <c r="AK45" s="197">
        <f t="shared" si="13"/>
        <v>4.4399904823737977</v>
      </c>
      <c r="BH45" s="2"/>
      <c r="BI45" s="2"/>
    </row>
    <row r="46" spans="1:61" ht="13.8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A46" s="180">
        <f t="shared" si="8"/>
        <v>903000000</v>
      </c>
      <c r="AB46" s="41">
        <f t="shared" si="14"/>
        <v>1075</v>
      </c>
      <c r="AC46" s="21">
        <v>43</v>
      </c>
      <c r="AD46" s="21" t="s">
        <v>283</v>
      </c>
      <c r="AE46" s="41">
        <f t="shared" si="9"/>
        <v>4573.5163734421712</v>
      </c>
      <c r="AF46" s="41">
        <f t="shared" si="15"/>
        <v>657.44476798848643</v>
      </c>
      <c r="AG46" s="175">
        <f t="shared" si="16"/>
        <v>3916.0716054536852</v>
      </c>
      <c r="AH46" s="242">
        <f t="shared" si="10"/>
        <v>5.0648021854287615</v>
      </c>
      <c r="AI46" s="195">
        <f t="shared" si="11"/>
        <v>0.72806729566831285</v>
      </c>
      <c r="AJ46" s="195">
        <f t="shared" si="12"/>
        <v>4.3367348897604483</v>
      </c>
      <c r="AK46" s="197">
        <f t="shared" si="13"/>
        <v>4.4399904823737977</v>
      </c>
      <c r="BH46" s="2"/>
      <c r="BI46" s="2"/>
    </row>
    <row r="47" spans="1:61" ht="13.8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A47" s="180">
        <f t="shared" si="8"/>
        <v>924000000</v>
      </c>
      <c r="AB47" s="41">
        <f t="shared" si="14"/>
        <v>1100</v>
      </c>
      <c r="AC47" s="21">
        <v>44</v>
      </c>
      <c r="AD47" s="21" t="s">
        <v>283</v>
      </c>
      <c r="AE47" s="41">
        <f t="shared" si="9"/>
        <v>4666.756173572021</v>
      </c>
      <c r="AF47" s="41">
        <f t="shared" si="15"/>
        <v>657.44476798848643</v>
      </c>
      <c r="AG47" s="175">
        <f t="shared" si="16"/>
        <v>4009.3114055835349</v>
      </c>
      <c r="AH47" s="242">
        <f t="shared" si="10"/>
        <v>5.0506019194502398</v>
      </c>
      <c r="AI47" s="195">
        <f t="shared" si="11"/>
        <v>0.71152031167585117</v>
      </c>
      <c r="AJ47" s="195">
        <f t="shared" si="12"/>
        <v>4.3390816077743883</v>
      </c>
      <c r="AK47" s="197">
        <f t="shared" si="13"/>
        <v>4.4399904823737977</v>
      </c>
      <c r="BH47" s="2"/>
      <c r="BI47" s="2"/>
    </row>
    <row r="48" spans="1:61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A48" s="180">
        <f t="shared" si="8"/>
        <v>945000000</v>
      </c>
      <c r="AB48" s="41">
        <f t="shared" si="14"/>
        <v>1125</v>
      </c>
      <c r="AC48" s="21">
        <v>45</v>
      </c>
      <c r="AD48" s="21" t="s">
        <v>283</v>
      </c>
      <c r="AE48" s="41">
        <f t="shared" si="9"/>
        <v>4759.9959737018708</v>
      </c>
      <c r="AF48" s="41">
        <f t="shared" si="15"/>
        <v>657.44476798848643</v>
      </c>
      <c r="AG48" s="175">
        <f t="shared" si="16"/>
        <v>4102.5512057133847</v>
      </c>
      <c r="AH48" s="242">
        <f t="shared" si="10"/>
        <v>5.0370327764040956</v>
      </c>
      <c r="AI48" s="195">
        <f t="shared" si="11"/>
        <v>0.69570874919416548</v>
      </c>
      <c r="AJ48" s="195">
        <f t="shared" si="12"/>
        <v>4.3413240272099305</v>
      </c>
      <c r="AK48" s="197">
        <f t="shared" si="13"/>
        <v>4.4399904823737977</v>
      </c>
      <c r="BH48" s="2"/>
      <c r="BI48" s="2"/>
    </row>
    <row r="49" spans="1:61" ht="15" customHeight="1">
      <c r="A49" s="27" t="s">
        <v>364</v>
      </c>
      <c r="B49" s="27"/>
      <c r="C49" s="27"/>
      <c r="D49" s="27"/>
      <c r="AA49" s="180">
        <f t="shared" si="8"/>
        <v>966000000</v>
      </c>
      <c r="AB49" s="41">
        <f t="shared" si="14"/>
        <v>1150</v>
      </c>
      <c r="AC49" s="21">
        <v>46</v>
      </c>
      <c r="AD49" s="21" t="s">
        <v>283</v>
      </c>
      <c r="AE49" s="41">
        <f t="shared" si="9"/>
        <v>4853.2357738317205</v>
      </c>
      <c r="AF49" s="41">
        <f t="shared" si="15"/>
        <v>657.44476798848643</v>
      </c>
      <c r="AG49" s="175">
        <f t="shared" si="16"/>
        <v>4195.7910058432344</v>
      </c>
      <c r="AH49" s="242">
        <f t="shared" si="10"/>
        <v>5.0240535960990904</v>
      </c>
      <c r="AI49" s="195">
        <f t="shared" si="11"/>
        <v>0.68058464595081414</v>
      </c>
      <c r="AJ49" s="195">
        <f t="shared" si="12"/>
        <v>4.3434689501482762</v>
      </c>
      <c r="AK49" s="197">
        <f t="shared" si="13"/>
        <v>4.4399904823737977</v>
      </c>
      <c r="BH49" s="2"/>
      <c r="BI49" s="2"/>
    </row>
    <row r="50" spans="1:61" ht="13.8">
      <c r="A50" s="27"/>
      <c r="B50" s="27"/>
      <c r="C50" s="169" t="s">
        <v>315</v>
      </c>
      <c r="D50" s="83">
        <f>SUM(D45:D47)/3</f>
        <v>0.48583699721953683</v>
      </c>
      <c r="AA50" s="180">
        <f t="shared" si="8"/>
        <v>987000000</v>
      </c>
      <c r="AB50" s="41">
        <f t="shared" si="14"/>
        <v>1175</v>
      </c>
      <c r="AC50" s="21">
        <v>47</v>
      </c>
      <c r="AD50" s="21" t="s">
        <v>283</v>
      </c>
      <c r="AE50" s="41">
        <f t="shared" si="9"/>
        <v>4946.4755739615703</v>
      </c>
      <c r="AF50" s="41">
        <f t="shared" si="15"/>
        <v>657.44476798848643</v>
      </c>
      <c r="AG50" s="175">
        <f t="shared" si="16"/>
        <v>4289.0308059730842</v>
      </c>
      <c r="AH50" s="242">
        <f t="shared" si="10"/>
        <v>5.0116267213389776</v>
      </c>
      <c r="AI50" s="195">
        <f t="shared" si="11"/>
        <v>0.66610412156888188</v>
      </c>
      <c r="AJ50" s="195">
        <f t="shared" si="12"/>
        <v>4.3455225997700957</v>
      </c>
      <c r="AK50" s="197">
        <f t="shared" si="13"/>
        <v>4.4399904823737977</v>
      </c>
      <c r="BH50" s="2"/>
      <c r="BI50" s="2"/>
    </row>
    <row r="51" spans="1:61" ht="13.8">
      <c r="A51" s="27"/>
      <c r="B51" s="27"/>
      <c r="C51" s="169" t="s">
        <v>316</v>
      </c>
      <c r="D51" s="83">
        <f>D48</f>
        <v>45.454545454545453</v>
      </c>
      <c r="AA51" s="180">
        <f t="shared" si="8"/>
        <v>1008000000</v>
      </c>
      <c r="AB51" s="41">
        <f t="shared" si="14"/>
        <v>1200</v>
      </c>
      <c r="AC51" s="21">
        <v>48</v>
      </c>
      <c r="AD51" s="21" t="s">
        <v>283</v>
      </c>
      <c r="AE51" s="41">
        <f t="shared" si="9"/>
        <v>5039.71537409142</v>
      </c>
      <c r="AF51" s="41">
        <f t="shared" si="15"/>
        <v>657.44476798848643</v>
      </c>
      <c r="AG51" s="175">
        <f t="shared" si="16"/>
        <v>4382.2706061029339</v>
      </c>
      <c r="AH51" s="242">
        <f t="shared" si="10"/>
        <v>4.9997176330272026</v>
      </c>
      <c r="AI51" s="195">
        <f t="shared" si="11"/>
        <v>0.65222695236953021</v>
      </c>
      <c r="AJ51" s="195">
        <f t="shared" si="12"/>
        <v>4.3474906806576721</v>
      </c>
      <c r="AK51" s="197">
        <f t="shared" si="13"/>
        <v>4.4399904823737977</v>
      </c>
      <c r="BH51" s="2"/>
      <c r="BI51" s="2"/>
    </row>
    <row r="52" spans="1:61" ht="13.8">
      <c r="AA52" s="180">
        <f t="shared" si="8"/>
        <v>1029000000</v>
      </c>
      <c r="AB52" s="41">
        <f t="shared" si="14"/>
        <v>1225</v>
      </c>
      <c r="AC52" s="21">
        <v>49</v>
      </c>
      <c r="AD52" s="21" t="s">
        <v>283</v>
      </c>
      <c r="AE52" s="41">
        <f t="shared" si="9"/>
        <v>5132.9551742212698</v>
      </c>
      <c r="AF52" s="41">
        <f t="shared" si="15"/>
        <v>657.44476798848643</v>
      </c>
      <c r="AG52" s="175">
        <f t="shared" si="16"/>
        <v>4475.5104062327837</v>
      </c>
      <c r="AH52" s="242">
        <f t="shared" si="10"/>
        <v>4.9882946299526436</v>
      </c>
      <c r="AI52" s="195">
        <f t="shared" si="11"/>
        <v>0.63891619823953982</v>
      </c>
      <c r="AJ52" s="195">
        <f t="shared" si="12"/>
        <v>4.3493784317131041</v>
      </c>
      <c r="AK52" s="197">
        <f t="shared" si="13"/>
        <v>4.4399904823737977</v>
      </c>
      <c r="AM52" s="16"/>
      <c r="BH52" s="2"/>
      <c r="BI52" s="2"/>
    </row>
    <row r="53" spans="1:61" ht="13.8">
      <c r="A53" s="28" t="s">
        <v>325</v>
      </c>
      <c r="AA53" s="180">
        <f t="shared" si="8"/>
        <v>1050000000</v>
      </c>
      <c r="AB53" s="41">
        <f t="shared" si="14"/>
        <v>1250</v>
      </c>
      <c r="AC53" s="21">
        <v>50</v>
      </c>
      <c r="AD53" s="21" t="s">
        <v>283</v>
      </c>
      <c r="AE53" s="41">
        <f t="shared" si="9"/>
        <v>5226.1949743511195</v>
      </c>
      <c r="AF53" s="41">
        <f t="shared" si="15"/>
        <v>657.44476798848643</v>
      </c>
      <c r="AG53" s="175">
        <f t="shared" si="16"/>
        <v>4568.7502063626334</v>
      </c>
      <c r="AH53" s="242">
        <f t="shared" si="10"/>
        <v>4.9773285470010666</v>
      </c>
      <c r="AI53" s="195">
        <f t="shared" si="11"/>
        <v>0.62613787427474898</v>
      </c>
      <c r="AJ53" s="195">
        <f t="shared" si="12"/>
        <v>4.3511906727263172</v>
      </c>
      <c r="AK53" s="197">
        <f t="shared" si="13"/>
        <v>4.4399904823737977</v>
      </c>
      <c r="AM53" s="16"/>
      <c r="BH53" s="2"/>
      <c r="BI53" s="2"/>
    </row>
    <row r="54" spans="1:61" ht="13.8">
      <c r="A54" s="28" t="s">
        <v>326</v>
      </c>
      <c r="AA54" s="180">
        <f t="shared" si="8"/>
        <v>1071000000</v>
      </c>
      <c r="AB54" s="41">
        <f t="shared" si="14"/>
        <v>1275</v>
      </c>
      <c r="AC54" s="21">
        <v>51</v>
      </c>
      <c r="AD54" s="21" t="s">
        <v>283</v>
      </c>
      <c r="AE54" s="41">
        <f t="shared" si="9"/>
        <v>5319.4347744809693</v>
      </c>
      <c r="AF54" s="41">
        <f t="shared" si="15"/>
        <v>657.44476798848643</v>
      </c>
      <c r="AG54" s="175">
        <f t="shared" si="16"/>
        <v>4661.9900064924832</v>
      </c>
      <c r="AH54" s="242">
        <f t="shared" si="10"/>
        <v>4.9667925065181793</v>
      </c>
      <c r="AI54" s="195">
        <f t="shared" si="11"/>
        <v>0.61386066105367554</v>
      </c>
      <c r="AJ54" s="195">
        <f t="shared" si="12"/>
        <v>4.3529318454645036</v>
      </c>
      <c r="AK54" s="197">
        <f t="shared" si="13"/>
        <v>4.4399904823737977</v>
      </c>
      <c r="AM54" s="16"/>
      <c r="BH54" s="2"/>
      <c r="BI54" s="2"/>
    </row>
    <row r="55" spans="1:61" ht="13.8">
      <c r="A55" s="28" t="s">
        <v>327</v>
      </c>
      <c r="AA55" s="180">
        <f t="shared" si="8"/>
        <v>1092000000</v>
      </c>
      <c r="AB55" s="41">
        <f t="shared" si="14"/>
        <v>1300</v>
      </c>
      <c r="AC55" s="21">
        <v>52</v>
      </c>
      <c r="AD55" s="21" t="s">
        <v>283</v>
      </c>
      <c r="AE55" s="41">
        <f t="shared" si="9"/>
        <v>5412.674574610819</v>
      </c>
      <c r="AF55" s="41">
        <f t="shared" si="15"/>
        <v>657.44476798848643</v>
      </c>
      <c r="AG55" s="175">
        <f t="shared" si="16"/>
        <v>4755.2298066223329</v>
      </c>
      <c r="AH55" s="242">
        <f t="shared" si="10"/>
        <v>4.9566616983615557</v>
      </c>
      <c r="AI55" s="195">
        <f t="shared" si="11"/>
        <v>0.60205564834110481</v>
      </c>
      <c r="AJ55" s="195">
        <f t="shared" si="12"/>
        <v>4.3546060500204513</v>
      </c>
      <c r="AK55" s="197">
        <f t="shared" si="13"/>
        <v>4.4399904823737977</v>
      </c>
      <c r="AM55" s="16"/>
      <c r="BH55" s="2"/>
      <c r="BI55" s="2"/>
    </row>
    <row r="56" spans="1:61" ht="13.8">
      <c r="A56" s="28" t="s">
        <v>328</v>
      </c>
      <c r="AA56" s="180">
        <f t="shared" si="8"/>
        <v>1113000000</v>
      </c>
      <c r="AB56" s="41">
        <f t="shared" si="14"/>
        <v>1325</v>
      </c>
      <c r="AC56" s="21">
        <v>53</v>
      </c>
      <c r="AD56" s="21" t="s">
        <v>283</v>
      </c>
      <c r="AE56" s="41">
        <f t="shared" si="9"/>
        <v>5505.9143747406688</v>
      </c>
      <c r="AF56" s="41">
        <f t="shared" si="15"/>
        <v>657.44476798848643</v>
      </c>
      <c r="AG56" s="175">
        <f t="shared" si="16"/>
        <v>4848.4696067521827</v>
      </c>
      <c r="AH56" s="242">
        <f t="shared" si="10"/>
        <v>4.9469131848523533</v>
      </c>
      <c r="AI56" s="195">
        <f t="shared" si="11"/>
        <v>0.59069610780636694</v>
      </c>
      <c r="AJ56" s="195">
        <f t="shared" si="12"/>
        <v>4.3562170770459865</v>
      </c>
      <c r="AK56" s="197">
        <f t="shared" si="13"/>
        <v>4.4399904823737977</v>
      </c>
      <c r="AM56" s="16"/>
      <c r="BH56" s="2"/>
      <c r="BI56" s="2"/>
    </row>
    <row r="57" spans="1:61">
      <c r="AA57" s="180">
        <f t="shared" si="8"/>
        <v>1134000000</v>
      </c>
      <c r="AB57" s="41">
        <f t="shared" si="14"/>
        <v>1350</v>
      </c>
      <c r="AC57" s="21">
        <v>54</v>
      </c>
      <c r="AD57" s="21" t="s">
        <v>283</v>
      </c>
      <c r="AE57" s="41">
        <f t="shared" si="9"/>
        <v>5599.1541748705185</v>
      </c>
      <c r="AF57" s="41">
        <f t="shared" si="15"/>
        <v>657.44476798848643</v>
      </c>
      <c r="AG57" s="175">
        <f t="shared" si="16"/>
        <v>4941.7094068820325</v>
      </c>
      <c r="AH57" s="242">
        <f t="shared" si="10"/>
        <v>4.9375257273990467</v>
      </c>
      <c r="AI57" s="195">
        <f t="shared" si="11"/>
        <v>0.57975729099513795</v>
      </c>
      <c r="AJ57" s="195">
        <f t="shared" si="12"/>
        <v>4.3577684364039087</v>
      </c>
      <c r="AK57" s="197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80">
        <f t="shared" si="8"/>
        <v>1155000000</v>
      </c>
      <c r="AB58" s="41">
        <f t="shared" ref="AB58" si="17">AB240</f>
        <v>1375</v>
      </c>
      <c r="AC58" s="21">
        <v>55</v>
      </c>
      <c r="AD58" s="21" t="s">
        <v>283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5">
        <f t="shared" si="16"/>
        <v>5034.9492070118822</v>
      </c>
      <c r="AH58" s="242">
        <f t="shared" ref="AH58:AH121" si="20">SUM(AI58:AJ58)</f>
        <v>4.9284796320349509</v>
      </c>
      <c r="AI58" s="195">
        <f t="shared" ref="AI58:AI121" si="21">IFERROR(AF58/AA58,0)*1000000</f>
        <v>0.56921624934068082</v>
      </c>
      <c r="AJ58" s="195">
        <f t="shared" ref="AJ58:AJ121" si="22">IFERROR(AG58/AA58,0)*1000000</f>
        <v>4.3592633826942704</v>
      </c>
      <c r="AK58" s="197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80">
        <f t="shared" si="8"/>
        <v>1176000000</v>
      </c>
      <c r="AB59" s="41">
        <f t="shared" ref="AB59" si="24">AB241</f>
        <v>1400</v>
      </c>
      <c r="AC59" s="21">
        <v>56</v>
      </c>
      <c r="AD59" s="21" t="s">
        <v>283</v>
      </c>
      <c r="AE59" s="41">
        <f t="shared" si="18"/>
        <v>5785.6337751302181</v>
      </c>
      <c r="AF59" s="41">
        <f t="shared" si="19"/>
        <v>657.44476798848643</v>
      </c>
      <c r="AG59" s="175">
        <f t="shared" si="16"/>
        <v>5128.189007141732</v>
      </c>
      <c r="AH59" s="242">
        <f t="shared" si="20"/>
        <v>4.9197566115052878</v>
      </c>
      <c r="AI59" s="195">
        <f t="shared" si="21"/>
        <v>0.55905167345959728</v>
      </c>
      <c r="AJ59" s="195">
        <f t="shared" si="22"/>
        <v>4.3607049380456901</v>
      </c>
      <c r="AK59" s="197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80">
        <f t="shared" si="8"/>
        <v>1197000000</v>
      </c>
      <c r="AB60" s="41">
        <f t="shared" ref="AB60" si="25">AB242</f>
        <v>1425</v>
      </c>
      <c r="AC60" s="21">
        <v>57</v>
      </c>
      <c r="AD60" s="21" t="s">
        <v>283</v>
      </c>
      <c r="AE60" s="41">
        <f t="shared" si="18"/>
        <v>5878.8735752600678</v>
      </c>
      <c r="AF60" s="41">
        <f t="shared" si="19"/>
        <v>657.44476798848643</v>
      </c>
      <c r="AG60" s="175">
        <f t="shared" si="16"/>
        <v>5221.4288072715817</v>
      </c>
      <c r="AH60" s="242">
        <f t="shared" si="20"/>
        <v>4.911339661871402</v>
      </c>
      <c r="AI60" s="195">
        <f t="shared" si="21"/>
        <v>0.54924374936381493</v>
      </c>
      <c r="AJ60" s="195">
        <f t="shared" si="22"/>
        <v>4.3620959125075869</v>
      </c>
      <c r="AK60" s="197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80">
        <f t="shared" si="8"/>
        <v>1218000000</v>
      </c>
      <c r="AB61" s="41">
        <f t="shared" ref="AB61" si="26">AB243</f>
        <v>1450</v>
      </c>
      <c r="AC61" s="21">
        <v>58</v>
      </c>
      <c r="AD61" s="21" t="s">
        <v>283</v>
      </c>
      <c r="AE61" s="41">
        <f t="shared" si="18"/>
        <v>5972.1133753899176</v>
      </c>
      <c r="AF61" s="41">
        <f t="shared" si="19"/>
        <v>657.44476798848643</v>
      </c>
      <c r="AG61" s="175">
        <f t="shared" si="16"/>
        <v>5314.6686074014315</v>
      </c>
      <c r="AH61" s="242">
        <f t="shared" si="20"/>
        <v>4.9032129518800645</v>
      </c>
      <c r="AI61" s="195">
        <f t="shared" si="21"/>
        <v>0.53977402954719744</v>
      </c>
      <c r="AJ61" s="195">
        <f t="shared" si="22"/>
        <v>4.3634389223328673</v>
      </c>
      <c r="AK61" s="197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80">
        <f t="shared" si="8"/>
        <v>1239000000</v>
      </c>
      <c r="AB62" s="41">
        <f t="shared" ref="AB62" si="27">AB244</f>
        <v>1475</v>
      </c>
      <c r="AC62" s="21">
        <v>59</v>
      </c>
      <c r="AD62" s="21" t="s">
        <v>283</v>
      </c>
      <c r="AE62" s="41">
        <f t="shared" si="18"/>
        <v>6065.3531755197673</v>
      </c>
      <c r="AF62" s="41">
        <f t="shared" si="19"/>
        <v>657.44476798848643</v>
      </c>
      <c r="AG62" s="175">
        <f t="shared" si="16"/>
        <v>5407.9084075312812</v>
      </c>
      <c r="AH62" s="242">
        <f t="shared" si="20"/>
        <v>4.8953617235833482</v>
      </c>
      <c r="AI62" s="195">
        <f t="shared" si="21"/>
        <v>0.53062531718199057</v>
      </c>
      <c r="AJ62" s="195">
        <f t="shared" si="22"/>
        <v>4.3647364064013576</v>
      </c>
      <c r="AK62" s="197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80">
        <f t="shared" si="8"/>
        <v>1260000000</v>
      </c>
      <c r="AB63" s="41">
        <f t="shared" ref="AB63" si="28">AB245</f>
        <v>1500</v>
      </c>
      <c r="AC63" s="21">
        <v>60</v>
      </c>
      <c r="AD63" s="21" t="s">
        <v>283</v>
      </c>
      <c r="AE63" s="41">
        <f t="shared" si="18"/>
        <v>6158.5929756496171</v>
      </c>
      <c r="AF63" s="41">
        <f t="shared" si="19"/>
        <v>657.44476798848643</v>
      </c>
      <c r="AG63" s="175">
        <f t="shared" si="16"/>
        <v>5501.148207661131</v>
      </c>
      <c r="AH63" s="242">
        <f t="shared" si="20"/>
        <v>4.8877722028965218</v>
      </c>
      <c r="AI63" s="195">
        <f t="shared" si="21"/>
        <v>0.52178156189562408</v>
      </c>
      <c r="AJ63" s="195">
        <f t="shared" si="22"/>
        <v>4.3659906410008977</v>
      </c>
      <c r="AK63" s="197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80">
        <f t="shared" si="8"/>
        <v>1281000000</v>
      </c>
      <c r="AB64" s="41">
        <f t="shared" ref="AB64" si="29">AB246</f>
        <v>1525</v>
      </c>
      <c r="AC64" s="21">
        <v>61</v>
      </c>
      <c r="AD64" s="21" t="s">
        <v>283</v>
      </c>
      <c r="AE64" s="41">
        <f t="shared" si="18"/>
        <v>6251.8327757794668</v>
      </c>
      <c r="AF64" s="41">
        <f t="shared" si="19"/>
        <v>657.44476798848643</v>
      </c>
      <c r="AG64" s="175">
        <f t="shared" si="16"/>
        <v>5594.3880077909807</v>
      </c>
      <c r="AH64" s="242">
        <f t="shared" si="20"/>
        <v>4.880431518953527</v>
      </c>
      <c r="AI64" s="195">
        <f t="shared" si="21"/>
        <v>0.51322776579897456</v>
      </c>
      <c r="AJ64" s="195">
        <f t="shared" si="22"/>
        <v>4.367203753154552</v>
      </c>
      <c r="AK64" s="197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80">
        <f t="shared" si="8"/>
        <v>1302000000</v>
      </c>
      <c r="AB65" s="41">
        <f t="shared" ref="AB65" si="30">AB247</f>
        <v>1550</v>
      </c>
      <c r="AC65" s="21">
        <v>62</v>
      </c>
      <c r="AD65" s="21" t="s">
        <v>283</v>
      </c>
      <c r="AE65" s="41">
        <f t="shared" si="18"/>
        <v>6345.0725759093166</v>
      </c>
      <c r="AF65" s="41">
        <f t="shared" si="19"/>
        <v>657.44476798848643</v>
      </c>
      <c r="AG65" s="175">
        <f t="shared" si="16"/>
        <v>5687.6278079208305</v>
      </c>
      <c r="AH65" s="242">
        <f t="shared" si="20"/>
        <v>4.8733276312667568</v>
      </c>
      <c r="AI65" s="195">
        <f t="shared" si="21"/>
        <v>0.50494989860866857</v>
      </c>
      <c r="AJ65" s="195">
        <f t="shared" si="22"/>
        <v>4.3683777326580886</v>
      </c>
      <c r="AK65" s="197">
        <f t="shared" si="23"/>
        <v>4.4399904823737977</v>
      </c>
      <c r="BH65" s="2"/>
      <c r="BI65" s="2"/>
    </row>
    <row r="66" spans="1:75" ht="13.8">
      <c r="AA66" s="180">
        <f t="shared" si="8"/>
        <v>1323000000</v>
      </c>
      <c r="AB66" s="41">
        <f t="shared" ref="AB66" si="31">AB248</f>
        <v>1575</v>
      </c>
      <c r="AC66" s="21">
        <v>63</v>
      </c>
      <c r="AD66" s="21" t="s">
        <v>283</v>
      </c>
      <c r="AE66" s="41">
        <f t="shared" si="18"/>
        <v>6438.3123760391663</v>
      </c>
      <c r="AF66" s="41">
        <f t="shared" si="19"/>
        <v>657.44476798848643</v>
      </c>
      <c r="AG66" s="175">
        <f t="shared" si="16"/>
        <v>5780.8676080506802</v>
      </c>
      <c r="AH66" s="242">
        <f t="shared" si="20"/>
        <v>4.8664492638240109</v>
      </c>
      <c r="AI66" s="195">
        <f t="shared" si="21"/>
        <v>0.49693482085297536</v>
      </c>
      <c r="AJ66" s="195">
        <f t="shared" si="22"/>
        <v>4.3695144429710355</v>
      </c>
      <c r="AK66" s="197">
        <f t="shared" si="23"/>
        <v>4.4399904823737977</v>
      </c>
      <c r="BH66" s="2"/>
      <c r="BI66" s="2"/>
    </row>
    <row r="67" spans="1:75" ht="13.8">
      <c r="A67" s="2"/>
      <c r="AA67" s="180">
        <f t="shared" si="8"/>
        <v>1344000000</v>
      </c>
      <c r="AB67" s="41">
        <f t="shared" ref="AB67" si="32">AB249</f>
        <v>1600</v>
      </c>
      <c r="AC67" s="21">
        <v>64</v>
      </c>
      <c r="AD67" s="21" t="s">
        <v>283</v>
      </c>
      <c r="AE67" s="41">
        <f t="shared" si="18"/>
        <v>6531.5521761690161</v>
      </c>
      <c r="AF67" s="41">
        <f t="shared" si="19"/>
        <v>657.44476798848643</v>
      </c>
      <c r="AG67" s="175">
        <f t="shared" si="16"/>
        <v>5874.10740818053</v>
      </c>
      <c r="AH67" s="242">
        <f t="shared" si="20"/>
        <v>4.8597858453638514</v>
      </c>
      <c r="AI67" s="195">
        <f t="shared" si="21"/>
        <v>0.48917021427714769</v>
      </c>
      <c r="AJ67" s="195">
        <f t="shared" si="22"/>
        <v>4.3706156310867037</v>
      </c>
      <c r="AK67" s="197">
        <f t="shared" si="23"/>
        <v>4.4399904823737977</v>
      </c>
      <c r="BH67" s="2"/>
      <c r="BI67" s="2"/>
    </row>
    <row r="68" spans="1:75" ht="13.8">
      <c r="A68" s="2"/>
      <c r="AA68" s="180">
        <f t="shared" si="8"/>
        <v>1365000000</v>
      </c>
      <c r="AB68" s="41">
        <f t="shared" ref="AB68" si="33">AB250</f>
        <v>1625</v>
      </c>
      <c r="AC68" s="21">
        <v>65</v>
      </c>
      <c r="AD68" s="21" t="s">
        <v>283</v>
      </c>
      <c r="AE68" s="41">
        <f t="shared" si="18"/>
        <v>6624.7919762988658</v>
      </c>
      <c r="AF68" s="41">
        <f t="shared" si="19"/>
        <v>657.44476798848643</v>
      </c>
      <c r="AG68" s="175">
        <f t="shared" si="16"/>
        <v>5967.3472083103798</v>
      </c>
      <c r="AH68" s="242">
        <f t="shared" si="20"/>
        <v>4.8533274551640044</v>
      </c>
      <c r="AI68" s="195">
        <f t="shared" si="21"/>
        <v>0.48164451867288383</v>
      </c>
      <c r="AJ68" s="195">
        <f t="shared" si="22"/>
        <v>4.3716829364911209</v>
      </c>
      <c r="AK68" s="197">
        <f t="shared" si="23"/>
        <v>4.4399904823737977</v>
      </c>
      <c r="BH68" s="2"/>
      <c r="BI68" s="2"/>
    </row>
    <row r="69" spans="1:75" ht="13.8">
      <c r="A69" s="2"/>
      <c r="AA69" s="180">
        <f t="shared" si="8"/>
        <v>1386000000</v>
      </c>
      <c r="AB69" s="41">
        <f t="shared" ref="AB69" si="34">AB251</f>
        <v>1650</v>
      </c>
      <c r="AC69" s="21">
        <v>66</v>
      </c>
      <c r="AD69" s="21" t="s">
        <v>283</v>
      </c>
      <c r="AE69" s="41">
        <f t="shared" si="18"/>
        <v>6718.0317764287156</v>
      </c>
      <c r="AF69" s="41">
        <f t="shared" si="19"/>
        <v>657.44476798848643</v>
      </c>
      <c r="AG69" s="175">
        <f t="shared" ref="AG69:AG100" si="35">AG68+SUM(AE433:AF433,BG433)</f>
        <v>6060.5870084402295</v>
      </c>
      <c r="AH69" s="242">
        <f t="shared" si="20"/>
        <v>4.8470647737580927</v>
      </c>
      <c r="AI69" s="195">
        <f t="shared" si="21"/>
        <v>0.47434687445056745</v>
      </c>
      <c r="AJ69" s="195">
        <f t="shared" si="22"/>
        <v>4.3727178993075251</v>
      </c>
      <c r="AK69" s="197">
        <f t="shared" si="23"/>
        <v>4.4399904823737977</v>
      </c>
      <c r="BH69" s="2"/>
      <c r="BI69" s="2"/>
    </row>
    <row r="70" spans="1:75" ht="13.8">
      <c r="A70" s="2"/>
      <c r="AA70" s="180">
        <f t="shared" si="8"/>
        <v>1407000000</v>
      </c>
      <c r="AB70" s="41">
        <f t="shared" ref="AB70" si="36">AB252</f>
        <v>1675</v>
      </c>
      <c r="AC70" s="21">
        <v>67</v>
      </c>
      <c r="AD70" s="21" t="s">
        <v>283</v>
      </c>
      <c r="AE70" s="41">
        <f t="shared" si="18"/>
        <v>6811.2715765585654</v>
      </c>
      <c r="AF70" s="41">
        <f t="shared" si="19"/>
        <v>657.44476798848643</v>
      </c>
      <c r="AG70" s="175">
        <f t="shared" si="35"/>
        <v>6153.8268085700793</v>
      </c>
      <c r="AH70" s="242">
        <f t="shared" si="20"/>
        <v>4.8409890380657892</v>
      </c>
      <c r="AI70" s="195">
        <f t="shared" si="21"/>
        <v>0.46726707035429033</v>
      </c>
      <c r="AJ70" s="195">
        <f t="shared" si="22"/>
        <v>4.3737219677114991</v>
      </c>
      <c r="AK70" s="197">
        <f t="shared" si="23"/>
        <v>4.4399904823737977</v>
      </c>
      <c r="BH70" s="2"/>
      <c r="BI70" s="2"/>
    </row>
    <row r="71" spans="1:75" ht="13.8">
      <c r="AA71" s="180">
        <f t="shared" si="8"/>
        <v>1428000000</v>
      </c>
      <c r="AB71" s="41">
        <f t="shared" ref="AB71" si="37">AB253</f>
        <v>1700</v>
      </c>
      <c r="AC71" s="21">
        <v>68</v>
      </c>
      <c r="AD71" s="21" t="s">
        <v>283</v>
      </c>
      <c r="AE71" s="41">
        <f t="shared" si="18"/>
        <v>6904.5113766884151</v>
      </c>
      <c r="AF71" s="41">
        <f t="shared" si="19"/>
        <v>657.44476798848643</v>
      </c>
      <c r="AG71" s="175">
        <f t="shared" si="35"/>
        <v>6247.066608699929</v>
      </c>
      <c r="AH71" s="242">
        <f t="shared" si="20"/>
        <v>4.8350920004820841</v>
      </c>
      <c r="AI71" s="195">
        <f t="shared" si="21"/>
        <v>0.46039549579025663</v>
      </c>
      <c r="AJ71" s="195">
        <f t="shared" si="22"/>
        <v>4.3746965046918271</v>
      </c>
      <c r="AK71" s="197">
        <f t="shared" si="23"/>
        <v>4.4399904823737977</v>
      </c>
      <c r="BH71" s="2"/>
      <c r="BI71" s="2"/>
    </row>
    <row r="72" spans="1:75" ht="13.8">
      <c r="AA72" s="180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283</v>
      </c>
      <c r="AE72" s="41">
        <f t="shared" si="18"/>
        <v>6997.7511768182649</v>
      </c>
      <c r="AF72" s="41">
        <f t="shared" si="19"/>
        <v>657.44476798848643</v>
      </c>
      <c r="AG72" s="175">
        <f t="shared" si="35"/>
        <v>6340.3064088297788</v>
      </c>
      <c r="AH72" s="242">
        <f t="shared" si="20"/>
        <v>4.8293658915239925</v>
      </c>
      <c r="AI72" s="195">
        <f t="shared" si="21"/>
        <v>0.45372309730054272</v>
      </c>
      <c r="AJ72" s="195">
        <f t="shared" si="22"/>
        <v>4.3756427942234497</v>
      </c>
      <c r="AK72" s="197">
        <f t="shared" si="23"/>
        <v>4.4399904823737977</v>
      </c>
      <c r="BH72" s="2"/>
      <c r="BI72" s="2"/>
    </row>
    <row r="73" spans="1:75" ht="13.8">
      <c r="AA73" s="180">
        <f t="shared" si="38"/>
        <v>1470000000</v>
      </c>
      <c r="AB73" s="41">
        <f t="shared" ref="AB73" si="40">AB255</f>
        <v>1750</v>
      </c>
      <c r="AC73" s="21">
        <v>70</v>
      </c>
      <c r="AD73" s="21" t="s">
        <v>283</v>
      </c>
      <c r="AE73" s="41">
        <f t="shared" si="18"/>
        <v>7090.9909769481146</v>
      </c>
      <c r="AF73" s="41">
        <f t="shared" si="19"/>
        <v>657.44476798848643</v>
      </c>
      <c r="AG73" s="175">
        <f t="shared" si="35"/>
        <v>6433.5462089596285</v>
      </c>
      <c r="AH73" s="242">
        <f t="shared" si="20"/>
        <v>4.8238033856789899</v>
      </c>
      <c r="AI73" s="195">
        <f t="shared" si="21"/>
        <v>0.44724133876767785</v>
      </c>
      <c r="AJ73" s="195">
        <f t="shared" si="22"/>
        <v>4.376562046911312</v>
      </c>
      <c r="AK73" s="197">
        <f t="shared" si="23"/>
        <v>4.4399904823737977</v>
      </c>
      <c r="BH73" s="2"/>
      <c r="BI73" s="2"/>
    </row>
    <row r="74" spans="1:75" ht="13.8">
      <c r="AA74" s="180">
        <f t="shared" si="38"/>
        <v>1491000000</v>
      </c>
      <c r="AB74" s="41">
        <f t="shared" ref="AB74" si="41">AB256</f>
        <v>1775</v>
      </c>
      <c r="AC74" s="21">
        <v>71</v>
      </c>
      <c r="AD74" s="21" t="s">
        <v>283</v>
      </c>
      <c r="AE74" s="41">
        <f t="shared" si="18"/>
        <v>7184.2307770779644</v>
      </c>
      <c r="AF74" s="41">
        <f t="shared" si="19"/>
        <v>657.44476798848643</v>
      </c>
      <c r="AG74" s="175">
        <f t="shared" si="35"/>
        <v>6526.7860090894783</v>
      </c>
      <c r="AH74" s="242">
        <f t="shared" si="20"/>
        <v>4.8183975701394806</v>
      </c>
      <c r="AI74" s="195">
        <f t="shared" si="21"/>
        <v>0.44094216498221761</v>
      </c>
      <c r="AJ74" s="195">
        <f t="shared" si="22"/>
        <v>4.3774554051572627</v>
      </c>
      <c r="AK74" s="197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80">
        <f t="shared" si="38"/>
        <v>1512000000</v>
      </c>
      <c r="AB75" s="41">
        <f t="shared" ref="AB75" si="42">AB257</f>
        <v>1800</v>
      </c>
      <c r="AC75" s="21">
        <v>72</v>
      </c>
      <c r="AD75" s="21" t="s">
        <v>283</v>
      </c>
      <c r="AE75" s="41">
        <f t="shared" si="18"/>
        <v>7277.4705772078141</v>
      </c>
      <c r="AF75" s="41">
        <f t="shared" si="19"/>
        <v>657.44476798848643</v>
      </c>
      <c r="AG75" s="175">
        <f t="shared" si="35"/>
        <v>6620.025809219328</v>
      </c>
      <c r="AH75" s="242">
        <f t="shared" si="20"/>
        <v>4.813141916142734</v>
      </c>
      <c r="AI75" s="195">
        <f t="shared" si="21"/>
        <v>0.43481796824635344</v>
      </c>
      <c r="AJ75" s="195">
        <f t="shared" si="22"/>
        <v>4.3783239478963809</v>
      </c>
      <c r="AK75" s="197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80">
        <f t="shared" si="38"/>
        <v>1533000000</v>
      </c>
      <c r="AB76" s="41">
        <f t="shared" ref="AB76" si="43">AB258</f>
        <v>1825</v>
      </c>
      <c r="AC76" s="21">
        <v>73</v>
      </c>
      <c r="AD76" s="21" t="s">
        <v>283</v>
      </c>
      <c r="AE76" s="41">
        <f t="shared" si="18"/>
        <v>7370.7103773376639</v>
      </c>
      <c r="AF76" s="41">
        <f t="shared" si="19"/>
        <v>657.44476798848643</v>
      </c>
      <c r="AG76" s="175">
        <f t="shared" si="35"/>
        <v>6713.2656093491778</v>
      </c>
      <c r="AH76" s="242">
        <f t="shared" si="20"/>
        <v>4.8080302526664482</v>
      </c>
      <c r="AI76" s="195">
        <f t="shared" si="21"/>
        <v>0.42886155772243084</v>
      </c>
      <c r="AJ76" s="195">
        <f t="shared" si="22"/>
        <v>4.3791686949440169</v>
      </c>
      <c r="AK76" s="197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80">
        <f t="shared" si="38"/>
        <v>1554000000</v>
      </c>
      <c r="AB77" s="41">
        <f t="shared" ref="AB77" si="44">AB259</f>
        <v>1850</v>
      </c>
      <c r="AC77" s="21">
        <v>74</v>
      </c>
      <c r="AD77" s="21" t="s">
        <v>283</v>
      </c>
      <c r="AE77" s="41">
        <f t="shared" si="18"/>
        <v>7463.9501774675136</v>
      </c>
      <c r="AF77" s="41">
        <f t="shared" si="19"/>
        <v>657.44476798848643</v>
      </c>
      <c r="AG77" s="175">
        <f t="shared" si="35"/>
        <v>6806.5054094790275</v>
      </c>
      <c r="AH77" s="242">
        <f t="shared" si="20"/>
        <v>4.8030567422570876</v>
      </c>
      <c r="AI77" s="195">
        <f t="shared" si="21"/>
        <v>0.42306613126672227</v>
      </c>
      <c r="AJ77" s="195">
        <f t="shared" si="22"/>
        <v>4.3799906109903652</v>
      </c>
      <c r="AK77" s="197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80">
        <f t="shared" si="38"/>
        <v>1575000000</v>
      </c>
      <c r="AB78" s="41">
        <f t="shared" ref="AB78" si="45">AB260</f>
        <v>1875</v>
      </c>
      <c r="AC78" s="21">
        <v>75</v>
      </c>
      <c r="AD78" s="21" t="s">
        <v>283</v>
      </c>
      <c r="AE78" s="41">
        <f t="shared" si="18"/>
        <v>7557.1899775973634</v>
      </c>
      <c r="AF78" s="41">
        <f t="shared" si="19"/>
        <v>657.44476798848643</v>
      </c>
      <c r="AG78" s="175">
        <f t="shared" si="35"/>
        <v>6899.7452096088773</v>
      </c>
      <c r="AH78" s="242">
        <f t="shared" si="20"/>
        <v>4.798215858791977</v>
      </c>
      <c r="AI78" s="195">
        <f t="shared" si="21"/>
        <v>0.41742524951649934</v>
      </c>
      <c r="AJ78" s="195">
        <f t="shared" si="22"/>
        <v>4.3807906092754774</v>
      </c>
      <c r="AK78" s="197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80">
        <f t="shared" si="38"/>
        <v>1596000000</v>
      </c>
      <c r="AB79" s="41">
        <f t="shared" ref="AB79" si="46">AB261</f>
        <v>1900</v>
      </c>
      <c r="AC79" s="21">
        <v>76</v>
      </c>
      <c r="AD79" s="21" t="s">
        <v>283</v>
      </c>
      <c r="AE79" s="41">
        <f t="shared" si="18"/>
        <v>7650.4297777272131</v>
      </c>
      <c r="AF79" s="41">
        <f t="shared" si="19"/>
        <v>657.44476798848643</v>
      </c>
      <c r="AG79" s="175">
        <f t="shared" si="35"/>
        <v>6992.9850097387271</v>
      </c>
      <c r="AH79" s="242">
        <f t="shared" si="20"/>
        <v>4.7935023669970001</v>
      </c>
      <c r="AI79" s="195">
        <f t="shared" si="21"/>
        <v>0.41193281202286114</v>
      </c>
      <c r="AJ79" s="195">
        <f t="shared" si="22"/>
        <v>4.3815695549741394</v>
      </c>
      <c r="AK79" s="197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80">
        <f t="shared" si="38"/>
        <v>1617000000</v>
      </c>
      <c r="AB80" s="41">
        <f t="shared" ref="AB80" si="47">AB262</f>
        <v>1925</v>
      </c>
      <c r="AC80" s="21">
        <v>77</v>
      </c>
      <c r="AD80" s="21" t="s">
        <v>283</v>
      </c>
      <c r="AE80" s="41">
        <f t="shared" si="18"/>
        <v>7743.6695778570629</v>
      </c>
      <c r="AF80" s="41">
        <f t="shared" si="19"/>
        <v>657.44476798848643</v>
      </c>
      <c r="AG80" s="175">
        <f t="shared" si="35"/>
        <v>7086.2248098685768</v>
      </c>
      <c r="AH80" s="242">
        <f t="shared" si="20"/>
        <v>4.7889113035603366</v>
      </c>
      <c r="AI80" s="195">
        <f t="shared" si="21"/>
        <v>0.40658303524334349</v>
      </c>
      <c r="AJ80" s="195">
        <f t="shared" si="22"/>
        <v>4.3823282683169928</v>
      </c>
      <c r="AK80" s="197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80">
        <f t="shared" si="38"/>
        <v>1638000000</v>
      </c>
      <c r="AB81" s="41">
        <f t="shared" ref="AB81" si="48">AB263</f>
        <v>1950</v>
      </c>
      <c r="AC81" s="21">
        <v>78</v>
      </c>
      <c r="AD81" s="21" t="s">
        <v>283</v>
      </c>
      <c r="AE81" s="41">
        <f t="shared" si="18"/>
        <v>7836.9093779869127</v>
      </c>
      <c r="AF81" s="41">
        <f t="shared" si="19"/>
        <v>657.44476798848643</v>
      </c>
      <c r="AG81" s="175">
        <f t="shared" si="35"/>
        <v>7179.4646099984266</v>
      </c>
      <c r="AH81" s="242">
        <f t="shared" si="20"/>
        <v>4.7844379596989706</v>
      </c>
      <c r="AI81" s="195">
        <f t="shared" si="21"/>
        <v>0.40137043222740321</v>
      </c>
      <c r="AJ81" s="195">
        <f t="shared" si="22"/>
        <v>4.3830675274715674</v>
      </c>
      <c r="AK81" s="197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80">
        <f t="shared" si="38"/>
        <v>1659000000</v>
      </c>
      <c r="AB82" s="41">
        <f t="shared" ref="AB82" si="49">AB264</f>
        <v>1975</v>
      </c>
      <c r="AC82" s="21">
        <v>79</v>
      </c>
      <c r="AD82" s="21" t="s">
        <v>283</v>
      </c>
      <c r="AE82" s="41">
        <f t="shared" si="18"/>
        <v>7930.1491781167624</v>
      </c>
      <c r="AF82" s="41">
        <f t="shared" si="19"/>
        <v>657.44476798848643</v>
      </c>
      <c r="AG82" s="175">
        <f t="shared" si="35"/>
        <v>7272.7044101282763</v>
      </c>
      <c r="AH82" s="242">
        <f t="shared" si="20"/>
        <v>4.7800778650492841</v>
      </c>
      <c r="AI82" s="195">
        <f t="shared" si="21"/>
        <v>0.3962897938447778</v>
      </c>
      <c r="AJ82" s="195">
        <f t="shared" si="22"/>
        <v>4.3837880712045063</v>
      </c>
      <c r="AK82" s="197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80">
        <f t="shared" si="38"/>
        <v>1680000000</v>
      </c>
      <c r="AB83" s="41">
        <f t="shared" ref="AB83" si="50">AB265</f>
        <v>2000</v>
      </c>
      <c r="AC83" s="21">
        <v>80</v>
      </c>
      <c r="AD83" s="21" t="s">
        <v>283</v>
      </c>
      <c r="AE83" s="41">
        <f t="shared" si="18"/>
        <v>8023.3889782466122</v>
      </c>
      <c r="AF83" s="41">
        <f t="shared" si="19"/>
        <v>657.44476798848643</v>
      </c>
      <c r="AG83" s="175">
        <f t="shared" si="35"/>
        <v>7365.9442102581261</v>
      </c>
      <c r="AH83" s="242">
        <f t="shared" si="20"/>
        <v>4.775826772765841</v>
      </c>
      <c r="AI83" s="195">
        <f t="shared" si="21"/>
        <v>0.39133617142171812</v>
      </c>
      <c r="AJ83" s="195">
        <f t="shared" si="22"/>
        <v>4.3844906013441225</v>
      </c>
      <c r="AK83" s="197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80">
        <f t="shared" si="38"/>
        <v>1701000000</v>
      </c>
      <c r="AB84" s="41">
        <f t="shared" ref="AB84" si="51">AB266</f>
        <v>2025</v>
      </c>
      <c r="AC84" s="21">
        <v>81</v>
      </c>
      <c r="AD84" s="21" t="s">
        <v>283</v>
      </c>
      <c r="AE84" s="41">
        <f t="shared" si="18"/>
        <v>8116.6287783764619</v>
      </c>
      <c r="AF84" s="41">
        <f t="shared" si="19"/>
        <v>657.44476798848643</v>
      </c>
      <c r="AG84" s="175">
        <f t="shared" si="35"/>
        <v>7459.1840103879758</v>
      </c>
      <c r="AH84" s="242">
        <f t="shared" si="20"/>
        <v>4.771680645723964</v>
      </c>
      <c r="AI84" s="195">
        <f t="shared" si="21"/>
        <v>0.38650486066342532</v>
      </c>
      <c r="AJ84" s="195">
        <f t="shared" si="22"/>
        <v>4.3851757850605386</v>
      </c>
      <c r="AK84" s="197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80">
        <f t="shared" si="38"/>
        <v>1722000000</v>
      </c>
      <c r="AB85" s="41">
        <f t="shared" ref="AB85" si="52">AB267</f>
        <v>2050</v>
      </c>
      <c r="AC85" s="21">
        <v>82</v>
      </c>
      <c r="AD85" s="21" t="s">
        <v>283</v>
      </c>
      <c r="AE85" s="41">
        <f t="shared" si="18"/>
        <v>8209.8685785063117</v>
      </c>
      <c r="AF85" s="41">
        <f t="shared" si="19"/>
        <v>657.44476798848643</v>
      </c>
      <c r="AG85" s="175">
        <f t="shared" si="35"/>
        <v>7552.4238105178256</v>
      </c>
      <c r="AH85" s="242">
        <f t="shared" si="20"/>
        <v>4.7676356437318894</v>
      </c>
      <c r="AI85" s="195">
        <f t="shared" si="21"/>
        <v>0.3817913867528957</v>
      </c>
      <c r="AJ85" s="195">
        <f t="shared" si="22"/>
        <v>4.3858442569789933</v>
      </c>
      <c r="AK85" s="197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80">
        <f t="shared" si="38"/>
        <v>1743000000</v>
      </c>
      <c r="AB86" s="41">
        <f t="shared" ref="AB86" si="53">AB268</f>
        <v>2075</v>
      </c>
      <c r="AC86" s="21">
        <v>83</v>
      </c>
      <c r="AD86" s="21" t="s">
        <v>283</v>
      </c>
      <c r="AE86" s="41">
        <f t="shared" si="18"/>
        <v>8303.1083786361614</v>
      </c>
      <c r="AF86" s="41">
        <f t="shared" si="19"/>
        <v>657.44476798848643</v>
      </c>
      <c r="AG86" s="175">
        <f t="shared" si="35"/>
        <v>7645.6636106476753</v>
      </c>
      <c r="AH86" s="242">
        <f t="shared" si="20"/>
        <v>4.7636881116673333</v>
      </c>
      <c r="AI86" s="195">
        <f t="shared" si="21"/>
        <v>0.37719149052695722</v>
      </c>
      <c r="AJ86" s="195">
        <f t="shared" si="22"/>
        <v>4.3864966211403758</v>
      </c>
      <c r="AK86" s="197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80">
        <f t="shared" si="38"/>
        <v>1764000000</v>
      </c>
      <c r="AB87" s="41">
        <f t="shared" ref="AB87" si="54">AB269</f>
        <v>2100</v>
      </c>
      <c r="AC87" s="21">
        <v>84</v>
      </c>
      <c r="AD87" s="21" t="s">
        <v>283</v>
      </c>
      <c r="AE87" s="41">
        <f t="shared" si="18"/>
        <v>8396.3481787660112</v>
      </c>
      <c r="AF87" s="41">
        <f t="shared" si="19"/>
        <v>657.44476798848643</v>
      </c>
      <c r="AG87" s="175">
        <f t="shared" si="35"/>
        <v>7738.9034107775251</v>
      </c>
      <c r="AH87" s="242">
        <f t="shared" si="20"/>
        <v>4.7598345684614571</v>
      </c>
      <c r="AI87" s="195">
        <f t="shared" si="21"/>
        <v>0.37270111563973157</v>
      </c>
      <c r="AJ87" s="195">
        <f t="shared" si="22"/>
        <v>4.3871334528217254</v>
      </c>
      <c r="AK87" s="197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80">
        <f t="shared" si="38"/>
        <v>1785000000</v>
      </c>
      <c r="AB88" s="41">
        <f t="shared" ref="AB88" si="55">AB270</f>
        <v>2125</v>
      </c>
      <c r="AC88" s="21">
        <v>85</v>
      </c>
      <c r="AD88" s="21" t="s">
        <v>283</v>
      </c>
      <c r="AE88" s="41">
        <f t="shared" si="18"/>
        <v>8489.5879788958609</v>
      </c>
      <c r="AF88" s="41">
        <f t="shared" si="19"/>
        <v>657.44476798848643</v>
      </c>
      <c r="AG88" s="175">
        <f t="shared" si="35"/>
        <v>7832.1432109073749</v>
      </c>
      <c r="AH88" s="242">
        <f t="shared" si="20"/>
        <v>4.7560716968604266</v>
      </c>
      <c r="AI88" s="195">
        <f t="shared" si="21"/>
        <v>0.36831639663220528</v>
      </c>
      <c r="AJ88" s="195">
        <f t="shared" si="22"/>
        <v>4.3877553002282212</v>
      </c>
      <c r="AK88" s="197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80">
        <f t="shared" si="38"/>
        <v>1806000000</v>
      </c>
      <c r="AB89" s="41">
        <f t="shared" ref="AB89" si="56">AB271</f>
        <v>2150</v>
      </c>
      <c r="AC89" s="21">
        <v>86</v>
      </c>
      <c r="AD89" s="21" t="s">
        <v>283</v>
      </c>
      <c r="AE89" s="41">
        <f t="shared" si="18"/>
        <v>8582.8277790257107</v>
      </c>
      <c r="AF89" s="41">
        <f t="shared" si="19"/>
        <v>657.44476798848643</v>
      </c>
      <c r="AG89" s="175">
        <f t="shared" si="35"/>
        <v>7925.3830110372246</v>
      </c>
      <c r="AH89" s="242">
        <f t="shared" si="20"/>
        <v>4.7523963339012791</v>
      </c>
      <c r="AI89" s="195">
        <f t="shared" si="21"/>
        <v>0.36403364783415643</v>
      </c>
      <c r="AJ89" s="195">
        <f t="shared" si="22"/>
        <v>4.388362686067123</v>
      </c>
      <c r="AK89" s="197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80">
        <f t="shared" si="38"/>
        <v>1827000000</v>
      </c>
      <c r="AB90" s="41">
        <f t="shared" ref="AB90" si="57">AB272</f>
        <v>2175</v>
      </c>
      <c r="AC90" s="21">
        <v>87</v>
      </c>
      <c r="AD90" s="21" t="s">
        <v>283</v>
      </c>
      <c r="AE90" s="41">
        <f t="shared" si="18"/>
        <v>8676.0675791555605</v>
      </c>
      <c r="AF90" s="41">
        <f t="shared" si="19"/>
        <v>657.44476798848643</v>
      </c>
      <c r="AG90" s="175">
        <f t="shared" si="35"/>
        <v>8018.6228111670744</v>
      </c>
      <c r="AH90" s="242">
        <f t="shared" si="20"/>
        <v>4.7488054620446425</v>
      </c>
      <c r="AI90" s="195">
        <f t="shared" si="21"/>
        <v>0.35984935303146492</v>
      </c>
      <c r="AJ90" s="195">
        <f t="shared" si="22"/>
        <v>4.3889561090131775</v>
      </c>
      <c r="AK90" s="197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80">
        <f t="shared" si="38"/>
        <v>1848000000</v>
      </c>
      <c r="AB91" s="41">
        <f t="shared" ref="AB91" si="58">AB273</f>
        <v>2200</v>
      </c>
      <c r="AC91" s="21">
        <v>88</v>
      </c>
      <c r="AD91" s="21" t="s">
        <v>283</v>
      </c>
      <c r="AE91" s="41">
        <f t="shared" si="18"/>
        <v>8769.3073792854102</v>
      </c>
      <c r="AF91" s="41">
        <f t="shared" si="19"/>
        <v>657.44476798848643</v>
      </c>
      <c r="AG91" s="175">
        <f t="shared" si="35"/>
        <v>8111.8626112969241</v>
      </c>
      <c r="AH91" s="242">
        <f t="shared" si="20"/>
        <v>4.7452962009120183</v>
      </c>
      <c r="AI91" s="195">
        <f t="shared" si="21"/>
        <v>0.35576015583792558</v>
      </c>
      <c r="AJ91" s="195">
        <f t="shared" si="22"/>
        <v>4.3895360450740926</v>
      </c>
      <c r="AK91" s="197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80">
        <f t="shared" si="38"/>
        <v>1869000000</v>
      </c>
      <c r="AB92" s="41">
        <f t="shared" ref="AB92" si="59">AB274</f>
        <v>2225</v>
      </c>
      <c r="AC92" s="21">
        <v>89</v>
      </c>
      <c r="AD92" s="21" t="s">
        <v>283</v>
      </c>
      <c r="AE92" s="41">
        <f t="shared" si="18"/>
        <v>8862.54717941526</v>
      </c>
      <c r="AF92" s="41">
        <f t="shared" si="19"/>
        <v>657.44476798848643</v>
      </c>
      <c r="AG92" s="175">
        <f t="shared" si="35"/>
        <v>8205.102411426773</v>
      </c>
      <c r="AH92" s="242">
        <f t="shared" si="20"/>
        <v>4.7418657995801272</v>
      </c>
      <c r="AI92" s="195">
        <f t="shared" si="21"/>
        <v>0.3517628507161511</v>
      </c>
      <c r="AJ92" s="195">
        <f t="shared" si="22"/>
        <v>4.3901029488639765</v>
      </c>
      <c r="AK92" s="197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80">
        <f t="shared" si="38"/>
        <v>1890000000</v>
      </c>
      <c r="AB93" s="41">
        <f t="shared" ref="AB93" si="60">AB275</f>
        <v>2250</v>
      </c>
      <c r="AC93" s="21">
        <v>90</v>
      </c>
      <c r="AD93" s="21" t="s">
        <v>283</v>
      </c>
      <c r="AE93" s="41">
        <f t="shared" si="18"/>
        <v>8955.7869795451097</v>
      </c>
      <c r="AF93" s="41">
        <f t="shared" si="19"/>
        <v>657.44476798848643</v>
      </c>
      <c r="AG93" s="175">
        <f t="shared" si="35"/>
        <v>8298.3422115566227</v>
      </c>
      <c r="AH93" s="242">
        <f t="shared" si="20"/>
        <v>4.7385116293889462</v>
      </c>
      <c r="AI93" s="195">
        <f t="shared" si="21"/>
        <v>0.34785437459708274</v>
      </c>
      <c r="AJ93" s="195">
        <f t="shared" si="22"/>
        <v>4.3906572547918632</v>
      </c>
      <c r="AK93" s="197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80">
        <f t="shared" si="38"/>
        <v>1911000000</v>
      </c>
      <c r="AB94" s="41">
        <f t="shared" ref="AB94" si="61">AB276</f>
        <v>2275</v>
      </c>
      <c r="AC94" s="21">
        <v>91</v>
      </c>
      <c r="AD94" s="21" t="s">
        <v>283</v>
      </c>
      <c r="AE94" s="41">
        <f t="shared" si="18"/>
        <v>9049.0267796749595</v>
      </c>
      <c r="AF94" s="41">
        <f t="shared" si="19"/>
        <v>657.44476798848643</v>
      </c>
      <c r="AG94" s="175">
        <f t="shared" si="35"/>
        <v>8391.5820116864725</v>
      </c>
      <c r="AH94" s="242">
        <f t="shared" si="20"/>
        <v>4.7352311772239455</v>
      </c>
      <c r="AI94" s="195">
        <f t="shared" si="21"/>
        <v>0.34403179905205988</v>
      </c>
      <c r="AJ94" s="195">
        <f t="shared" si="22"/>
        <v>4.3911993781718852</v>
      </c>
      <c r="AK94" s="197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80">
        <f t="shared" si="38"/>
        <v>1932000000</v>
      </c>
      <c r="AB95" s="41">
        <f t="shared" ref="AB95" si="62">AB277</f>
        <v>2300</v>
      </c>
      <c r="AC95" s="21">
        <v>92</v>
      </c>
      <c r="AD95" s="21" t="s">
        <v>283</v>
      </c>
      <c r="AE95" s="41">
        <f t="shared" si="18"/>
        <v>9142.2665798048092</v>
      </c>
      <c r="AF95" s="41">
        <f t="shared" si="19"/>
        <v>657.44476798848643</v>
      </c>
      <c r="AG95" s="175">
        <f t="shared" si="35"/>
        <v>8484.8218118163222</v>
      </c>
      <c r="AH95" s="242">
        <f t="shared" si="20"/>
        <v>4.732022039236444</v>
      </c>
      <c r="AI95" s="195">
        <f t="shared" si="21"/>
        <v>0.34029232297540707</v>
      </c>
      <c r="AJ95" s="195">
        <f t="shared" si="22"/>
        <v>4.3917297162610369</v>
      </c>
      <c r="AK95" s="197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80">
        <f t="shared" si="38"/>
        <v>1953000000</v>
      </c>
      <c r="AB96" s="41">
        <f t="shared" ref="AB96" si="63">AB278</f>
        <v>2325</v>
      </c>
      <c r="AC96" s="21">
        <v>93</v>
      </c>
      <c r="AD96" s="21" t="s">
        <v>283</v>
      </c>
      <c r="AE96" s="41">
        <f t="shared" si="18"/>
        <v>9235.506379934659</v>
      </c>
      <c r="AF96" s="41">
        <f t="shared" si="19"/>
        <v>657.44476798848643</v>
      </c>
      <c r="AG96" s="175">
        <f t="shared" si="35"/>
        <v>8578.061611946172</v>
      </c>
      <c r="AH96" s="242">
        <f t="shared" si="20"/>
        <v>4.7288819149691026</v>
      </c>
      <c r="AI96" s="195">
        <f t="shared" si="21"/>
        <v>0.3366332657391124</v>
      </c>
      <c r="AJ96" s="195">
        <f t="shared" si="22"/>
        <v>4.3922486492299901</v>
      </c>
      <c r="AK96" s="197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80">
        <f t="shared" si="38"/>
        <v>1974000000</v>
      </c>
      <c r="AB97" s="41">
        <f t="shared" ref="AB97" si="64">AB279</f>
        <v>2350</v>
      </c>
      <c r="AC97" s="21">
        <v>94</v>
      </c>
      <c r="AD97" s="21" t="s">
        <v>283</v>
      </c>
      <c r="AE97" s="41">
        <f t="shared" si="18"/>
        <v>9328.7461800645087</v>
      </c>
      <c r="AF97" s="41">
        <f t="shared" si="19"/>
        <v>657.44476798848643</v>
      </c>
      <c r="AG97" s="175">
        <f t="shared" si="35"/>
        <v>8671.3014120760217</v>
      </c>
      <c r="AH97" s="242">
        <f t="shared" si="20"/>
        <v>4.7258086018563876</v>
      </c>
      <c r="AI97" s="195">
        <f t="shared" si="21"/>
        <v>0.33305206078444094</v>
      </c>
      <c r="AJ97" s="195">
        <f t="shared" si="22"/>
        <v>4.3927565410719467</v>
      </c>
      <c r="AK97" s="197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80">
        <f t="shared" si="38"/>
        <v>1995000000</v>
      </c>
      <c r="AB98" s="41">
        <f t="shared" ref="AB98" si="65">AB280</f>
        <v>2375</v>
      </c>
      <c r="AC98" s="21">
        <v>95</v>
      </c>
      <c r="AD98" s="21" t="s">
        <v>283</v>
      </c>
      <c r="AE98" s="41">
        <f t="shared" si="18"/>
        <v>9421.9859801943585</v>
      </c>
      <c r="AF98" s="41">
        <f t="shared" si="19"/>
        <v>657.44476798848643</v>
      </c>
      <c r="AG98" s="175">
        <f t="shared" si="35"/>
        <v>8764.5412122058715</v>
      </c>
      <c r="AH98" s="242">
        <f t="shared" si="20"/>
        <v>4.7227999900723603</v>
      </c>
      <c r="AI98" s="195">
        <f t="shared" si="21"/>
        <v>0.32954624961828893</v>
      </c>
      <c r="AJ98" s="195">
        <f t="shared" si="22"/>
        <v>4.393253740454071</v>
      </c>
      <c r="AK98" s="197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80">
        <f t="shared" si="38"/>
        <v>2016000000</v>
      </c>
      <c r="AB99" s="41">
        <f t="shared" ref="AB99" si="66">AB281</f>
        <v>2400</v>
      </c>
      <c r="AC99" s="21">
        <v>96</v>
      </c>
      <c r="AD99" s="21" t="s">
        <v>283</v>
      </c>
      <c r="AE99" s="41">
        <f t="shared" si="18"/>
        <v>9515.2257803242082</v>
      </c>
      <c r="AF99" s="41">
        <f t="shared" si="19"/>
        <v>657.44476798848643</v>
      </c>
      <c r="AG99" s="175">
        <f t="shared" si="35"/>
        <v>8857.7810123357212</v>
      </c>
      <c r="AH99" s="242">
        <f t="shared" si="20"/>
        <v>4.7198540577004993</v>
      </c>
      <c r="AI99" s="195">
        <f t="shared" si="21"/>
        <v>0.32611347618476511</v>
      </c>
      <c r="AJ99" s="195">
        <f t="shared" si="22"/>
        <v>4.3937405815157344</v>
      </c>
      <c r="AK99" s="197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80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283</v>
      </c>
      <c r="AE100" s="41">
        <f t="shared" si="18"/>
        <v>9608.465580454058</v>
      </c>
      <c r="AF100" s="41">
        <f t="shared" si="19"/>
        <v>657.44476798848643</v>
      </c>
      <c r="AG100" s="175">
        <f t="shared" si="35"/>
        <v>8951.020812465571</v>
      </c>
      <c r="AH100" s="242">
        <f t="shared" si="20"/>
        <v>4.7169688662022864</v>
      </c>
      <c r="AI100" s="195">
        <f t="shared" si="21"/>
        <v>0.32275148158492217</v>
      </c>
      <c r="AJ100" s="195">
        <f t="shared" si="22"/>
        <v>4.394217384617364</v>
      </c>
      <c r="AK100" s="197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80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283</v>
      </c>
      <c r="AE101" s="41">
        <f t="shared" si="18"/>
        <v>9701.7053805839078</v>
      </c>
      <c r="AF101" s="41">
        <f t="shared" si="19"/>
        <v>657.44476798848643</v>
      </c>
      <c r="AG101" s="175">
        <f t="shared" ref="AG101:AG132" si="69">AG100+SUM(AE465:AF465,BG465)</f>
        <v>9044.2606125954208</v>
      </c>
      <c r="AH101" s="242">
        <f t="shared" si="20"/>
        <v>4.7141425561632211</v>
      </c>
      <c r="AI101" s="195">
        <f t="shared" si="21"/>
        <v>0.31945809911976991</v>
      </c>
      <c r="AJ101" s="195">
        <f t="shared" si="22"/>
        <v>4.3946844570434509</v>
      </c>
      <c r="AK101" s="197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80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283</v>
      </c>
      <c r="AE102" s="41">
        <f t="shared" si="18"/>
        <v>9794.9451807137575</v>
      </c>
      <c r="AF102" s="41">
        <f t="shared" si="19"/>
        <v>657.44476798848643</v>
      </c>
      <c r="AG102" s="175">
        <f t="shared" si="69"/>
        <v>9137.5004127252705</v>
      </c>
      <c r="AH102" s="242">
        <f t="shared" si="20"/>
        <v>4.7113733432966605</v>
      </c>
      <c r="AI102" s="195">
        <f t="shared" si="21"/>
        <v>0.31623124963371163</v>
      </c>
      <c r="AJ102" s="195">
        <f t="shared" si="22"/>
        <v>4.3951420936629484</v>
      </c>
      <c r="AK102" s="197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80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283</v>
      </c>
      <c r="AE103" s="41">
        <f t="shared" si="18"/>
        <v>9888.1849808436073</v>
      </c>
      <c r="AF103" s="41">
        <f t="shared" si="19"/>
        <v>657.44476798848643</v>
      </c>
      <c r="AG103" s="175">
        <f t="shared" si="69"/>
        <v>9230.7402128551203</v>
      </c>
      <c r="AH103" s="242">
        <f t="shared" si="20"/>
        <v>4.7086595146874313</v>
      </c>
      <c r="AI103" s="195">
        <f t="shared" si="21"/>
        <v>0.31306893713737449</v>
      </c>
      <c r="AJ103" s="195">
        <f t="shared" si="22"/>
        <v>4.395590577550057</v>
      </c>
      <c r="AK103" s="197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80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283</v>
      </c>
      <c r="AE104" s="41">
        <f t="shared" si="18"/>
        <v>9981.424780973457</v>
      </c>
      <c r="AF104" s="41">
        <f t="shared" si="19"/>
        <v>657.44476798848643</v>
      </c>
      <c r="AG104" s="175">
        <f t="shared" si="69"/>
        <v>9323.98001298497</v>
      </c>
      <c r="AH104" s="242">
        <f t="shared" si="20"/>
        <v>4.7059994252585833</v>
      </c>
      <c r="AI104" s="195">
        <f t="shared" si="21"/>
        <v>0.30996924469046977</v>
      </c>
      <c r="AJ104" s="195">
        <f t="shared" si="22"/>
        <v>4.3960301805681139</v>
      </c>
      <c r="AK104" s="197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80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283</v>
      </c>
      <c r="AE105" s="41">
        <f t="shared" si="18"/>
        <v>10074.664581103307</v>
      </c>
      <c r="AF105" s="41">
        <f t="shared" si="19"/>
        <v>657.44476798848643</v>
      </c>
      <c r="AG105" s="175">
        <f t="shared" si="69"/>
        <v>9417.2198131148198</v>
      </c>
      <c r="AH105" s="242">
        <f t="shared" si="20"/>
        <v>4.7033914944459871</v>
      </c>
      <c r="AI105" s="195">
        <f t="shared" si="21"/>
        <v>0.30693033052683777</v>
      </c>
      <c r="AJ105" s="195">
        <f t="shared" si="22"/>
        <v>4.3964611639191498</v>
      </c>
      <c r="AK105" s="197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80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283</v>
      </c>
      <c r="AE106" s="41">
        <f t="shared" si="18"/>
        <v>10167.904381233157</v>
      </c>
      <c r="AF106" s="41">
        <f t="shared" si="19"/>
        <v>657.44476798848643</v>
      </c>
      <c r="AG106" s="175">
        <f t="shared" si="69"/>
        <v>9510.4596132446695</v>
      </c>
      <c r="AH106" s="242">
        <f t="shared" si="20"/>
        <v>4.7008342030666466</v>
      </c>
      <c r="AI106" s="195">
        <f t="shared" si="21"/>
        <v>0.30395042440521791</v>
      </c>
      <c r="AJ106" s="195">
        <f t="shared" si="22"/>
        <v>4.3968837786614285</v>
      </c>
      <c r="AK106" s="197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80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283</v>
      </c>
      <c r="AE107" s="41">
        <f t="shared" si="18"/>
        <v>10261.144181363006</v>
      </c>
      <c r="AF107" s="41">
        <f t="shared" si="19"/>
        <v>657.44476798848643</v>
      </c>
      <c r="AG107" s="175">
        <f t="shared" si="69"/>
        <v>9603.6994133745193</v>
      </c>
      <c r="AH107" s="242">
        <f t="shared" si="20"/>
        <v>4.6983260903676776</v>
      </c>
      <c r="AI107" s="195">
        <f t="shared" si="21"/>
        <v>0.3010278241705524</v>
      </c>
      <c r="AJ107" s="195">
        <f t="shared" si="22"/>
        <v>4.3972982661971249</v>
      </c>
      <c r="AK107" s="197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80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283</v>
      </c>
      <c r="AE108" s="41">
        <f t="shared" si="18"/>
        <v>10354.383981492856</v>
      </c>
      <c r="AF108" s="41">
        <f t="shared" si="19"/>
        <v>657.44476798848643</v>
      </c>
      <c r="AG108" s="175">
        <f t="shared" si="69"/>
        <v>9696.939213504369</v>
      </c>
      <c r="AH108" s="242">
        <f t="shared" si="20"/>
        <v>4.6958657512439261</v>
      </c>
      <c r="AI108" s="195">
        <f t="shared" si="21"/>
        <v>0.29816089251178524</v>
      </c>
      <c r="AJ108" s="195">
        <f t="shared" si="22"/>
        <v>4.3977048587321406</v>
      </c>
      <c r="AK108" s="197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80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283</v>
      </c>
      <c r="AE109" s="41">
        <f t="shared" si="18"/>
        <v>10447.623781622706</v>
      </c>
      <c r="AF109" s="41">
        <f t="shared" si="19"/>
        <v>657.44476798848643</v>
      </c>
      <c r="AG109" s="175">
        <f t="shared" si="69"/>
        <v>9790.1790136342188</v>
      </c>
      <c r="AH109" s="242">
        <f t="shared" si="20"/>
        <v>4.6934518336130751</v>
      </c>
      <c r="AI109" s="195">
        <f t="shared" si="21"/>
        <v>0.29534805390318347</v>
      </c>
      <c r="AJ109" s="195">
        <f t="shared" si="22"/>
        <v>4.3981037797098912</v>
      </c>
      <c r="AK109" s="197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80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283</v>
      </c>
      <c r="AE110" s="41">
        <f t="shared" si="18"/>
        <v>10540.863581752556</v>
      </c>
      <c r="AF110" s="41">
        <f t="shared" si="19"/>
        <v>657.44476798848643</v>
      </c>
      <c r="AG110" s="175">
        <f t="shared" si="69"/>
        <v>9883.4188137640685</v>
      </c>
      <c r="AH110" s="242">
        <f t="shared" si="20"/>
        <v>4.6910830359379414</v>
      </c>
      <c r="AI110" s="195">
        <f t="shared" si="21"/>
        <v>0.29258779171717242</v>
      </c>
      <c r="AJ110" s="195">
        <f t="shared" si="22"/>
        <v>4.3984952442207694</v>
      </c>
      <c r="AK110" s="197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80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283</v>
      </c>
      <c r="AE111" s="41">
        <f t="shared" si="18"/>
        <v>10634.103381882405</v>
      </c>
      <c r="AF111" s="41">
        <f t="shared" si="19"/>
        <v>657.44476798848643</v>
      </c>
      <c r="AG111" s="175">
        <f t="shared" si="69"/>
        <v>9976.6586138939183</v>
      </c>
      <c r="AH111" s="242">
        <f t="shared" si="20"/>
        <v>4.6887581048864222</v>
      </c>
      <c r="AI111" s="195">
        <f t="shared" si="21"/>
        <v>0.28987864549756898</v>
      </c>
      <c r="AJ111" s="195">
        <f t="shared" si="22"/>
        <v>4.3988794593888532</v>
      </c>
      <c r="AK111" s="197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80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283</v>
      </c>
      <c r="AE112" s="41">
        <f t="shared" si="18"/>
        <v>10727.343182012255</v>
      </c>
      <c r="AF112" s="41">
        <f t="shared" si="19"/>
        <v>657.44476798848643</v>
      </c>
      <c r="AG112" s="175">
        <f t="shared" si="69"/>
        <v>10069.898414023768</v>
      </c>
      <c r="AH112" s="242">
        <f t="shared" si="20"/>
        <v>4.6864758331202507</v>
      </c>
      <c r="AI112" s="195">
        <f t="shared" si="21"/>
        <v>0.28721920838291243</v>
      </c>
      <c r="AJ112" s="195">
        <f t="shared" si="22"/>
        <v>4.3992566247373386</v>
      </c>
      <c r="AK112" s="197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80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283</v>
      </c>
      <c r="AE113" s="41">
        <f t="shared" si="18"/>
        <v>10820.582982142105</v>
      </c>
      <c r="AF113" s="41">
        <f t="shared" si="19"/>
        <v>657.44476798848643</v>
      </c>
      <c r="AG113" s="175">
        <f t="shared" si="69"/>
        <v>10163.138214153618</v>
      </c>
      <c r="AH113" s="242">
        <f t="shared" si="20"/>
        <v>4.6842350572043738</v>
      </c>
      <c r="AI113" s="195">
        <f t="shared" si="21"/>
        <v>0.28460812467034041</v>
      </c>
      <c r="AJ113" s="195">
        <f t="shared" si="22"/>
        <v>4.3996269325340336</v>
      </c>
      <c r="AK113" s="197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80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283</v>
      </c>
      <c r="AE114" s="41">
        <f t="shared" si="18"/>
        <v>10913.822782271955</v>
      </c>
      <c r="AF114" s="41">
        <f t="shared" si="19"/>
        <v>657.44476798848643</v>
      </c>
      <c r="AG114" s="175">
        <f t="shared" si="69"/>
        <v>10256.378014283468</v>
      </c>
      <c r="AH114" s="242">
        <f t="shared" si="20"/>
        <v>4.682034655629324</v>
      </c>
      <c r="AI114" s="195">
        <f t="shared" si="21"/>
        <v>0.28204408751114818</v>
      </c>
      <c r="AJ114" s="195">
        <f t="shared" si="22"/>
        <v>4.3999905681181755</v>
      </c>
      <c r="AK114" s="197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80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283</v>
      </c>
      <c r="AE115" s="41">
        <f t="shared" si="18"/>
        <v>11007.062582401804</v>
      </c>
      <c r="AF115" s="41">
        <f t="shared" si="19"/>
        <v>657.44476798848643</v>
      </c>
      <c r="AG115" s="175">
        <f t="shared" si="69"/>
        <v>10349.617814413317</v>
      </c>
      <c r="AH115" s="242">
        <f t="shared" si="20"/>
        <v>4.6798735469395423</v>
      </c>
      <c r="AI115" s="195">
        <f t="shared" si="21"/>
        <v>0.27952583672979864</v>
      </c>
      <c r="AJ115" s="195">
        <f t="shared" si="22"/>
        <v>4.4003477102097435</v>
      </c>
      <c r="AK115" s="197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80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283</v>
      </c>
      <c r="AE116" s="41">
        <f t="shared" si="18"/>
        <v>11100.302382531654</v>
      </c>
      <c r="AF116" s="41">
        <f t="shared" si="19"/>
        <v>657.44476798848643</v>
      </c>
      <c r="AG116" s="175">
        <f t="shared" si="69"/>
        <v>10442.857614543167</v>
      </c>
      <c r="AH116" s="242">
        <f t="shared" si="20"/>
        <v>4.6777506879610851</v>
      </c>
      <c r="AI116" s="195">
        <f t="shared" si="21"/>
        <v>0.27705215675873851</v>
      </c>
      <c r="AJ116" s="195">
        <f t="shared" si="22"/>
        <v>4.4006985312023463</v>
      </c>
      <c r="AK116" s="197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80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283</v>
      </c>
      <c r="AE117" s="41">
        <f t="shared" si="18"/>
        <v>11193.542182661504</v>
      </c>
      <c r="AF117" s="41">
        <f t="shared" si="19"/>
        <v>657.44476798848643</v>
      </c>
      <c r="AG117" s="175">
        <f t="shared" si="69"/>
        <v>10536.097414673017</v>
      </c>
      <c r="AH117" s="242">
        <f t="shared" si="20"/>
        <v>4.6756650721225999</v>
      </c>
      <c r="AI117" s="195">
        <f t="shared" si="21"/>
        <v>0.27462187468190746</v>
      </c>
      <c r="AJ117" s="195">
        <f t="shared" si="22"/>
        <v>4.4010431974406927</v>
      </c>
      <c r="AK117" s="197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80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283</v>
      </c>
      <c r="AE118" s="41">
        <f t="shared" si="18"/>
        <v>11286.781982791354</v>
      </c>
      <c r="AF118" s="41">
        <f t="shared" si="19"/>
        <v>657.44476798848643</v>
      </c>
      <c r="AG118" s="175">
        <f t="shared" si="69"/>
        <v>10629.337214802867</v>
      </c>
      <c r="AH118" s="242">
        <f t="shared" si="20"/>
        <v>4.6736157278639148</v>
      </c>
      <c r="AI118" s="195">
        <f t="shared" si="21"/>
        <v>0.27223385838032566</v>
      </c>
      <c r="AJ118" s="195">
        <f t="shared" si="22"/>
        <v>4.4013818694835889</v>
      </c>
      <c r="AK118" s="197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80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283</v>
      </c>
      <c r="AE119" s="41">
        <f t="shared" si="18"/>
        <v>11380.021782921203</v>
      </c>
      <c r="AF119" s="41">
        <f t="shared" si="19"/>
        <v>657.44476798848643</v>
      </c>
      <c r="AG119" s="175">
        <f t="shared" si="69"/>
        <v>10722.577014932716</v>
      </c>
      <c r="AH119" s="242">
        <f t="shared" si="20"/>
        <v>4.6716017171269311</v>
      </c>
      <c r="AI119" s="195">
        <f t="shared" si="21"/>
        <v>0.26988701477359872</v>
      </c>
      <c r="AJ119" s="195">
        <f t="shared" si="22"/>
        <v>4.4017147023533321</v>
      </c>
      <c r="AK119" s="197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80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283</v>
      </c>
      <c r="AE120" s="41">
        <f t="shared" si="18"/>
        <v>11473.261583051053</v>
      </c>
      <c r="AF120" s="41">
        <f t="shared" si="19"/>
        <v>657.44476798848643</v>
      </c>
      <c r="AG120" s="175">
        <f t="shared" si="69"/>
        <v>10815.816815062566</v>
      </c>
      <c r="AH120" s="242">
        <f t="shared" si="20"/>
        <v>4.6696221339239115</v>
      </c>
      <c r="AI120" s="195">
        <f t="shared" si="21"/>
        <v>0.26758028815160212</v>
      </c>
      <c r="AJ120" s="195">
        <f t="shared" si="22"/>
        <v>4.4020418457723096</v>
      </c>
      <c r="AK120" s="197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80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283</v>
      </c>
      <c r="AE121" s="41">
        <f t="shared" si="18"/>
        <v>11566.501383180903</v>
      </c>
      <c r="AF121" s="41">
        <f t="shared" si="19"/>
        <v>657.44476798848643</v>
      </c>
      <c r="AG121" s="175">
        <f t="shared" si="69"/>
        <v>10909.056615192416</v>
      </c>
      <c r="AH121" s="242">
        <f t="shared" si="20"/>
        <v>4.6676761029785734</v>
      </c>
      <c r="AI121" s="195">
        <f t="shared" si="21"/>
        <v>0.26531265859099529</v>
      </c>
      <c r="AJ121" s="195">
        <f t="shared" si="22"/>
        <v>4.4023634443875777</v>
      </c>
      <c r="AK121" s="197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80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283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5">
        <f t="shared" si="69"/>
        <v>11002.296415322266</v>
      </c>
      <c r="AH122" s="242">
        <f t="shared" ref="AH122:AH180" si="93">SUM(AI122:AJ122)</f>
        <v>4.6657627784356741</v>
      </c>
      <c r="AI122" s="195">
        <f t="shared" ref="AI122:AI180" si="94">IFERROR(AF122/AA122,0)*1000000</f>
        <v>0.26308314045157516</v>
      </c>
      <c r="AJ122" s="195">
        <f t="shared" ref="AJ122:AJ180" si="95">IFERROR(AG122/AA122,0)*1000000</f>
        <v>4.4026796379840993</v>
      </c>
      <c r="AK122" s="197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80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283</v>
      </c>
      <c r="AE123" s="41">
        <f t="shared" si="91"/>
        <v>11752.980983440602</v>
      </c>
      <c r="AF123" s="41">
        <f t="shared" si="92"/>
        <v>657.44476798848643</v>
      </c>
      <c r="AG123" s="175">
        <f t="shared" si="69"/>
        <v>11095.536215452115</v>
      </c>
      <c r="AH123" s="242">
        <f t="shared" si="93"/>
        <v>4.6638813426351602</v>
      </c>
      <c r="AI123" s="195">
        <f t="shared" si="94"/>
        <v>0.26089078094781204</v>
      </c>
      <c r="AJ123" s="195">
        <f t="shared" si="95"/>
        <v>4.4029905616873481</v>
      </c>
      <c r="AK123" s="197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80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283</v>
      </c>
      <c r="AE124" s="41">
        <f t="shared" si="91"/>
        <v>11846.220783570452</v>
      </c>
      <c r="AF124" s="41">
        <f t="shared" si="92"/>
        <v>657.44476798848643</v>
      </c>
      <c r="AG124" s="175">
        <f t="shared" si="69"/>
        <v>11188.776015581965</v>
      </c>
      <c r="AH124" s="242">
        <f t="shared" si="93"/>
        <v>4.6620310049470488</v>
      </c>
      <c r="AI124" s="195">
        <f t="shared" si="94"/>
        <v>0.2587346587912186</v>
      </c>
      <c r="AJ124" s="195">
        <f t="shared" si="95"/>
        <v>4.4032963461558303</v>
      </c>
      <c r="AK124" s="197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80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283</v>
      </c>
      <c r="AE125" s="41">
        <f t="shared" si="91"/>
        <v>11939.460583700302</v>
      </c>
      <c r="AF125" s="41">
        <f t="shared" si="92"/>
        <v>657.44476798848643</v>
      </c>
      <c r="AG125" s="175">
        <f t="shared" si="69"/>
        <v>11282.015815711815</v>
      </c>
      <c r="AH125" s="242">
        <f t="shared" si="93"/>
        <v>4.6602110006636623</v>
      </c>
      <c r="AI125" s="195">
        <f t="shared" si="94"/>
        <v>0.25661388289948728</v>
      </c>
      <c r="AJ125" s="195">
        <f t="shared" si="95"/>
        <v>4.4035971177641748</v>
      </c>
      <c r="AK125" s="197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80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283</v>
      </c>
      <c r="AE126" s="41">
        <f t="shared" si="91"/>
        <v>12032.700383830152</v>
      </c>
      <c r="AF126" s="41">
        <f t="shared" si="92"/>
        <v>657.44476798848643</v>
      </c>
      <c r="AG126" s="175">
        <f t="shared" si="69"/>
        <v>11375.255615841665</v>
      </c>
      <c r="AH126" s="242">
        <f t="shared" si="93"/>
        <v>4.6584205899458579</v>
      </c>
      <c r="AI126" s="195">
        <f t="shared" si="94"/>
        <v>0.25452759116859713</v>
      </c>
      <c r="AJ126" s="195">
        <f t="shared" si="95"/>
        <v>4.4038929987772608</v>
      </c>
      <c r="AK126" s="197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80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283</v>
      </c>
      <c r="AE127" s="41">
        <f t="shared" si="91"/>
        <v>12125.940183960001</v>
      </c>
      <c r="AF127" s="41">
        <f t="shared" si="92"/>
        <v>657.44476798848643</v>
      </c>
      <c r="AG127" s="175">
        <f t="shared" si="69"/>
        <v>11468.495415971514</v>
      </c>
      <c r="AH127" s="242">
        <f t="shared" si="93"/>
        <v>4.6566590568202768</v>
      </c>
      <c r="AI127" s="195">
        <f t="shared" si="94"/>
        <v>0.25247494930433428</v>
      </c>
      <c r="AJ127" s="195">
        <f t="shared" si="95"/>
        <v>4.4041841075159427</v>
      </c>
      <c r="AK127" s="197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80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283</v>
      </c>
      <c r="AE128" s="41">
        <f t="shared" si="91"/>
        <v>12219.179984089851</v>
      </c>
      <c r="AF128" s="41">
        <f t="shared" si="92"/>
        <v>657.44476798848643</v>
      </c>
      <c r="AG128" s="175">
        <f t="shared" si="69"/>
        <v>11561.735216101364</v>
      </c>
      <c r="AH128" s="242">
        <f t="shared" si="93"/>
        <v>4.6549257082247051</v>
      </c>
      <c r="AI128" s="195">
        <f t="shared" si="94"/>
        <v>0.25045514970989957</v>
      </c>
      <c r="AJ128" s="195">
        <f t="shared" si="95"/>
        <v>4.4044705585148058</v>
      </c>
      <c r="AK128" s="197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80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283</v>
      </c>
      <c r="AE129" s="41">
        <f t="shared" si="91"/>
        <v>12312.419784219701</v>
      </c>
      <c r="AF129" s="41">
        <f t="shared" si="92"/>
        <v>657.44476798848643</v>
      </c>
      <c r="AG129" s="175">
        <f t="shared" si="69"/>
        <v>11654.975016231214</v>
      </c>
      <c r="AH129" s="242">
        <f t="shared" si="93"/>
        <v>4.6532198730989034</v>
      </c>
      <c r="AI129" s="195">
        <f t="shared" si="94"/>
        <v>0.24846741042648768</v>
      </c>
      <c r="AJ129" s="195">
        <f t="shared" si="95"/>
        <v>4.4047524626724162</v>
      </c>
      <c r="AK129" s="197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80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283</v>
      </c>
      <c r="AE130" s="41">
        <f t="shared" si="91"/>
        <v>12405.659584349551</v>
      </c>
      <c r="AF130" s="41">
        <f t="shared" si="92"/>
        <v>657.44476798848643</v>
      </c>
      <c r="AG130" s="175">
        <f t="shared" si="69"/>
        <v>11748.214816361064</v>
      </c>
      <c r="AH130" s="242">
        <f t="shared" si="93"/>
        <v>4.6515409015183913</v>
      </c>
      <c r="AI130" s="195">
        <f t="shared" si="94"/>
        <v>0.24651097412391693</v>
      </c>
      <c r="AJ130" s="195">
        <f t="shared" si="95"/>
        <v>4.405029927394474</v>
      </c>
      <c r="AK130" s="197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80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283</v>
      </c>
      <c r="AE131" s="41">
        <f t="shared" si="91"/>
        <v>12498.8993844794</v>
      </c>
      <c r="AF131" s="41">
        <f t="shared" si="92"/>
        <v>657.44476798848643</v>
      </c>
      <c r="AG131" s="175">
        <f t="shared" si="69"/>
        <v>11841.454616490913</v>
      </c>
      <c r="AH131" s="242">
        <f t="shared" si="93"/>
        <v>4.649888163868825</v>
      </c>
      <c r="AI131" s="195">
        <f t="shared" si="94"/>
        <v>0.24458510713857384</v>
      </c>
      <c r="AJ131" s="195">
        <f t="shared" si="95"/>
        <v>4.4053030567302507</v>
      </c>
      <c r="AK131" s="197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80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283</v>
      </c>
      <c r="AE132" s="41">
        <f t="shared" si="91"/>
        <v>12592.13918460925</v>
      </c>
      <c r="AF132" s="41">
        <f t="shared" si="92"/>
        <v>657.44476798848643</v>
      </c>
      <c r="AG132" s="175">
        <f t="shared" si="69"/>
        <v>11934.694416620763</v>
      </c>
      <c r="AH132" s="242">
        <f t="shared" si="93"/>
        <v>4.6482610500587853</v>
      </c>
      <c r="AI132" s="195">
        <f t="shared" si="94"/>
        <v>0.24268909855610427</v>
      </c>
      <c r="AJ132" s="195">
        <f t="shared" si="95"/>
        <v>4.4055719515026812</v>
      </c>
      <c r="AK132" s="197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80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283</v>
      </c>
      <c r="AE133" s="41">
        <f t="shared" si="91"/>
        <v>12685.3789847391</v>
      </c>
      <c r="AF133" s="41">
        <f t="shared" si="92"/>
        <v>657.44476798848643</v>
      </c>
      <c r="AG133" s="175">
        <f t="shared" ref="AG133:AG164" si="108">AG132+SUM(AE497:AF497,BG497)</f>
        <v>12027.934216750613</v>
      </c>
      <c r="AH133" s="242">
        <f t="shared" si="93"/>
        <v>4.6466589687689011</v>
      </c>
      <c r="AI133" s="195">
        <f t="shared" si="94"/>
        <v>0.24082225933644191</v>
      </c>
      <c r="AJ133" s="195">
        <f t="shared" si="95"/>
        <v>4.4058367094324593</v>
      </c>
      <c r="AK133" s="197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80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283</v>
      </c>
      <c r="AE134" s="41">
        <f t="shared" si="91"/>
        <v>12778.61878486895</v>
      </c>
      <c r="AF134" s="41">
        <f t="shared" si="92"/>
        <v>657.44476798848643</v>
      </c>
      <c r="AG134" s="175">
        <f t="shared" si="108"/>
        <v>12121.174016880463</v>
      </c>
      <c r="AH134" s="242">
        <f t="shared" si="93"/>
        <v>4.6450813467353509</v>
      </c>
      <c r="AI134" s="195">
        <f t="shared" si="94"/>
        <v>0.23898392147891181</v>
      </c>
      <c r="AJ134" s="195">
        <f t="shared" si="95"/>
        <v>4.4060974252564389</v>
      </c>
      <c r="AK134" s="197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80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283</v>
      </c>
      <c r="AE135" s="41">
        <f t="shared" si="91"/>
        <v>12871.858584998799</v>
      </c>
      <c r="AF135" s="41">
        <f t="shared" si="92"/>
        <v>657.44476798848643</v>
      </c>
      <c r="AG135" s="175">
        <f t="shared" si="108"/>
        <v>12214.413817010312</v>
      </c>
      <c r="AH135" s="242">
        <f t="shared" si="93"/>
        <v>4.6435276280659448</v>
      </c>
      <c r="AI135" s="195">
        <f t="shared" si="94"/>
        <v>0.23717343722528372</v>
      </c>
      <c r="AJ135" s="195">
        <f t="shared" si="95"/>
        <v>4.4063541908406609</v>
      </c>
      <c r="AK135" s="197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80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283</v>
      </c>
      <c r="AE136" s="41">
        <f t="shared" si="91"/>
        <v>12965.098385128649</v>
      </c>
      <c r="AF136" s="41">
        <f t="shared" si="92"/>
        <v>657.44476798848643</v>
      </c>
      <c r="AG136" s="175">
        <f t="shared" si="108"/>
        <v>12307.653617140162</v>
      </c>
      <c r="AH136" s="242">
        <f t="shared" si="93"/>
        <v>4.6419972735870569</v>
      </c>
      <c r="AI136" s="195">
        <f t="shared" si="94"/>
        <v>0.23539017829877781</v>
      </c>
      <c r="AJ136" s="195">
        <f t="shared" si="95"/>
        <v>4.4066070952882788</v>
      </c>
      <c r="AK136" s="197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80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283</v>
      </c>
      <c r="AE137" s="41">
        <f t="shared" si="91"/>
        <v>13058.338185258499</v>
      </c>
      <c r="AF137" s="41">
        <f t="shared" si="92"/>
        <v>657.44476798848643</v>
      </c>
      <c r="AG137" s="175">
        <f t="shared" si="108"/>
        <v>12400.893417270012</v>
      </c>
      <c r="AH137" s="242">
        <f t="shared" si="93"/>
        <v>4.6404897602197934</v>
      </c>
      <c r="AI137" s="195">
        <f t="shared" si="94"/>
        <v>0.23363353517714516</v>
      </c>
      <c r="AJ137" s="195">
        <f t="shared" si="95"/>
        <v>4.406856225042648</v>
      </c>
      <c r="AK137" s="197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80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283</v>
      </c>
      <c r="AE138" s="41">
        <f t="shared" si="91"/>
        <v>13151.577985388349</v>
      </c>
      <c r="AF138" s="41">
        <f t="shared" si="92"/>
        <v>657.44476798848643</v>
      </c>
      <c r="AG138" s="175">
        <f t="shared" si="108"/>
        <v>12494.133217399862</v>
      </c>
      <c r="AH138" s="242">
        <f t="shared" si="93"/>
        <v>4.6390045803838964</v>
      </c>
      <c r="AI138" s="195">
        <f t="shared" si="94"/>
        <v>0.23190291639805519</v>
      </c>
      <c r="AJ138" s="195">
        <f t="shared" si="95"/>
        <v>4.4071016639858414</v>
      </c>
      <c r="AK138" s="197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80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283</v>
      </c>
      <c r="AE139" s="41">
        <f t="shared" si="91"/>
        <v>13244.817785518198</v>
      </c>
      <c r="AF139" s="41">
        <f t="shared" si="92"/>
        <v>657.44476798848643</v>
      </c>
      <c r="AG139" s="175">
        <f t="shared" si="108"/>
        <v>12587.373017529711</v>
      </c>
      <c r="AH139" s="242">
        <f t="shared" si="93"/>
        <v>4.6375412414279404</v>
      </c>
      <c r="AI139" s="195">
        <f t="shared" si="94"/>
        <v>0.23019774789512831</v>
      </c>
      <c r="AJ139" s="195">
        <f t="shared" si="95"/>
        <v>4.407343493532812</v>
      </c>
      <c r="AK139" s="197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80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283</v>
      </c>
      <c r="AE140" s="41">
        <f t="shared" si="91"/>
        <v>13338.057585648048</v>
      </c>
      <c r="AF140" s="41">
        <f t="shared" si="92"/>
        <v>657.44476798848643</v>
      </c>
      <c r="AG140" s="175">
        <f t="shared" si="108"/>
        <v>12680.612817659561</v>
      </c>
      <c r="AH140" s="242">
        <f t="shared" si="93"/>
        <v>4.6360992650844794</v>
      </c>
      <c r="AI140" s="195">
        <f t="shared" si="94"/>
        <v>0.22851747236304709</v>
      </c>
      <c r="AJ140" s="195">
        <f t="shared" si="95"/>
        <v>4.407581792721432</v>
      </c>
      <c r="AK140" s="197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80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283</v>
      </c>
      <c r="AE141" s="41">
        <f t="shared" si="91"/>
        <v>13431.297385777898</v>
      </c>
      <c r="AF141" s="41">
        <f t="shared" si="92"/>
        <v>657.44476798848643</v>
      </c>
      <c r="AG141" s="175">
        <f t="shared" si="108"/>
        <v>12773.852617789411</v>
      </c>
      <c r="AH141" s="242">
        <f t="shared" si="93"/>
        <v>4.6346781869488947</v>
      </c>
      <c r="AI141" s="195">
        <f t="shared" si="94"/>
        <v>0.22686154865027136</v>
      </c>
      <c r="AJ141" s="195">
        <f t="shared" si="95"/>
        <v>4.4078166382986232</v>
      </c>
      <c r="AK141" s="197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80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283</v>
      </c>
      <c r="AE142" s="41">
        <f t="shared" si="91"/>
        <v>13524.537185907748</v>
      </c>
      <c r="AF142" s="41">
        <f t="shared" si="92"/>
        <v>657.44476798848643</v>
      </c>
      <c r="AG142" s="175">
        <f t="shared" si="108"/>
        <v>12867.092417919261</v>
      </c>
      <c r="AH142" s="242">
        <f t="shared" si="93"/>
        <v>4.6332775559807287</v>
      </c>
      <c r="AI142" s="195">
        <f t="shared" si="94"/>
        <v>0.22522945117796728</v>
      </c>
      <c r="AJ142" s="195">
        <f t="shared" si="95"/>
        <v>4.4080481048027611</v>
      </c>
      <c r="AK142" s="197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80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283</v>
      </c>
      <c r="AE143" s="41">
        <f t="shared" si="91"/>
        <v>13617.776986037597</v>
      </c>
      <c r="AF143" s="41">
        <f t="shared" si="92"/>
        <v>657.44476798848643</v>
      </c>
      <c r="AG143" s="175">
        <f t="shared" si="108"/>
        <v>12960.33221804911</v>
      </c>
      <c r="AH143" s="242">
        <f t="shared" si="93"/>
        <v>4.6318969340263925</v>
      </c>
      <c r="AI143" s="195">
        <f t="shared" si="94"/>
        <v>0.22362066938383893</v>
      </c>
      <c r="AJ143" s="195">
        <f t="shared" si="95"/>
        <v>4.408276264642554</v>
      </c>
      <c r="AK143" s="197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80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283</v>
      </c>
      <c r="AE144" s="41">
        <f t="shared" si="91"/>
        <v>13711.016786167447</v>
      </c>
      <c r="AF144" s="41">
        <f t="shared" si="92"/>
        <v>657.44476798848643</v>
      </c>
      <c r="AG144" s="175">
        <f t="shared" si="108"/>
        <v>13053.57201817896</v>
      </c>
      <c r="AH144" s="242">
        <f t="shared" si="93"/>
        <v>4.6305358953621907</v>
      </c>
      <c r="AI144" s="195">
        <f t="shared" si="94"/>
        <v>0.22203470718962728</v>
      </c>
      <c r="AJ144" s="195">
        <f t="shared" si="95"/>
        <v>4.4085011881725631</v>
      </c>
      <c r="AK144" s="197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80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283</v>
      </c>
      <c r="AE145" s="41">
        <f t="shared" si="91"/>
        <v>13804.256586297297</v>
      </c>
      <c r="AF145" s="41">
        <f t="shared" si="92"/>
        <v>657.44476798848643</v>
      </c>
      <c r="AG145" s="175">
        <f t="shared" si="108"/>
        <v>13146.81181830881</v>
      </c>
      <c r="AH145" s="242">
        <f t="shared" si="93"/>
        <v>4.6291940262566387</v>
      </c>
      <c r="AI145" s="195">
        <f t="shared" si="94"/>
        <v>0.22047108249110881</v>
      </c>
      <c r="AJ145" s="195">
        <f t="shared" si="95"/>
        <v>4.4087229437655298</v>
      </c>
      <c r="AK145" s="197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80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283</v>
      </c>
      <c r="AE146" s="41">
        <f t="shared" si="91"/>
        <v>13897.496386427147</v>
      </c>
      <c r="AF146" s="41">
        <f t="shared" si="92"/>
        <v>657.44476798848643</v>
      </c>
      <c r="AG146" s="175">
        <f t="shared" si="108"/>
        <v>13240.05161843866</v>
      </c>
      <c r="AH146" s="242">
        <f t="shared" si="93"/>
        <v>4.6278709245511642</v>
      </c>
      <c r="AI146" s="195">
        <f t="shared" si="94"/>
        <v>0.21892932666949266</v>
      </c>
      <c r="AJ146" s="195">
        <f t="shared" si="95"/>
        <v>4.4089415978816717</v>
      </c>
      <c r="AK146" s="197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80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283</v>
      </c>
      <c r="AE147" s="41">
        <f t="shared" si="91"/>
        <v>13990.736186556996</v>
      </c>
      <c r="AF147" s="41">
        <f t="shared" si="92"/>
        <v>657.44476798848643</v>
      </c>
      <c r="AG147" s="175">
        <f t="shared" si="108"/>
        <v>13333.291418568509</v>
      </c>
      <c r="AH147" s="242">
        <f t="shared" si="93"/>
        <v>4.6265661992582663</v>
      </c>
      <c r="AI147" s="195">
        <f t="shared" si="94"/>
        <v>0.21740898412317672</v>
      </c>
      <c r="AJ147" s="195">
        <f t="shared" si="95"/>
        <v>4.4091572151350897</v>
      </c>
      <c r="AK147" s="197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80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283</v>
      </c>
      <c r="AE148" s="41">
        <f t="shared" si="91"/>
        <v>14083.975986686846</v>
      </c>
      <c r="AF148" s="41">
        <f t="shared" si="92"/>
        <v>657.44476798848643</v>
      </c>
      <c r="AG148" s="175">
        <f t="shared" si="108"/>
        <v>13426.531218698359</v>
      </c>
      <c r="AH148" s="242">
        <f t="shared" si="93"/>
        <v>4.625279470176304</v>
      </c>
      <c r="AI148" s="195">
        <f t="shared" si="94"/>
        <v>0.21590961181887897</v>
      </c>
      <c r="AJ148" s="195">
        <f t="shared" si="95"/>
        <v>4.409369858357425</v>
      </c>
      <c r="AK148" s="197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80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283</v>
      </c>
      <c r="AE149" s="41">
        <f t="shared" si="91"/>
        <v>14177.215786816696</v>
      </c>
      <c r="AF149" s="41">
        <f t="shared" si="92"/>
        <v>657.44476798848643</v>
      </c>
      <c r="AG149" s="175">
        <f t="shared" si="108"/>
        <v>13519.771018828209</v>
      </c>
      <c r="AH149" s="242">
        <f t="shared" si="93"/>
        <v>4.624010367520123</v>
      </c>
      <c r="AI149" s="195">
        <f t="shared" si="94"/>
        <v>0.21443077886121542</v>
      </c>
      <c r="AJ149" s="195">
        <f t="shared" si="95"/>
        <v>4.4095795886589073</v>
      </c>
      <c r="AK149" s="197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80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283</v>
      </c>
      <c r="AE150" s="41">
        <f t="shared" si="91"/>
        <v>14270.455586946546</v>
      </c>
      <c r="AF150" s="41">
        <f t="shared" si="92"/>
        <v>657.44476798848643</v>
      </c>
      <c r="AG150" s="175">
        <f t="shared" si="108"/>
        <v>13613.010818958059</v>
      </c>
      <c r="AH150" s="242">
        <f t="shared" si="93"/>
        <v>4.6227585315667454</v>
      </c>
      <c r="AI150" s="195">
        <f t="shared" si="94"/>
        <v>0.21297206607984662</v>
      </c>
      <c r="AJ150" s="195">
        <f t="shared" si="95"/>
        <v>4.4097864654868992</v>
      </c>
      <c r="AK150" s="197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80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283</v>
      </c>
      <c r="AE151" s="41">
        <f t="shared" si="91"/>
        <v>14363.695387076395</v>
      </c>
      <c r="AF151" s="41">
        <f t="shared" si="92"/>
        <v>657.44476798848643</v>
      </c>
      <c r="AG151" s="175">
        <f t="shared" si="108"/>
        <v>13706.250619087908</v>
      </c>
      <c r="AH151" s="242">
        <f t="shared" si="93"/>
        <v>4.6215236123154426</v>
      </c>
      <c r="AI151" s="195">
        <f t="shared" si="94"/>
        <v>0.21153306563336113</v>
      </c>
      <c r="AJ151" s="195">
        <f t="shared" si="95"/>
        <v>4.4099905466820815</v>
      </c>
      <c r="AK151" s="197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80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283</v>
      </c>
      <c r="AE152" s="41">
        <f t="shared" si="91"/>
        <v>14456.935187206245</v>
      </c>
      <c r="AF152" s="41">
        <f t="shared" si="92"/>
        <v>657.44476798848643</v>
      </c>
      <c r="AG152" s="175">
        <f t="shared" si="108"/>
        <v>13799.490419217758</v>
      </c>
      <c r="AH152" s="242">
        <f t="shared" si="93"/>
        <v>4.620305269161471</v>
      </c>
      <c r="AI152" s="195">
        <f t="shared" si="94"/>
        <v>0.21011338062911039</v>
      </c>
      <c r="AJ152" s="195">
        <f t="shared" si="95"/>
        <v>4.4101918885323608</v>
      </c>
      <c r="AK152" s="197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80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283</v>
      </c>
      <c r="AE153" s="41">
        <f t="shared" si="91"/>
        <v>14550.174987336095</v>
      </c>
      <c r="AF153" s="41">
        <f t="shared" si="92"/>
        <v>657.44476798848643</v>
      </c>
      <c r="AG153" s="175">
        <f t="shared" si="108"/>
        <v>13892.730219347608</v>
      </c>
      <c r="AH153" s="242">
        <f t="shared" si="93"/>
        <v>4.6191031705828873</v>
      </c>
      <c r="AI153" s="195">
        <f t="shared" si="94"/>
        <v>0.20871262475824967</v>
      </c>
      <c r="AJ153" s="195">
        <f t="shared" si="95"/>
        <v>4.4103905458246375</v>
      </c>
      <c r="AK153" s="197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80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283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5">
        <f t="shared" si="108"/>
        <v>13985.970019477458</v>
      </c>
      <c r="AH154" s="242">
        <f t="shared" si="93"/>
        <v>4.6179169938397804</v>
      </c>
      <c r="AI154" s="195">
        <f t="shared" si="94"/>
        <v>0.20733042194528112</v>
      </c>
      <c r="AJ154" s="195">
        <f t="shared" si="95"/>
        <v>4.4105865718944992</v>
      </c>
      <c r="AK154" s="197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80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283</v>
      </c>
      <c r="AE155" s="41">
        <f t="shared" si="91"/>
        <v>14736.654587595795</v>
      </c>
      <c r="AF155" s="41">
        <f t="shared" si="131"/>
        <v>657.44476798848643</v>
      </c>
      <c r="AG155" s="175">
        <f t="shared" si="108"/>
        <v>14079.209819607308</v>
      </c>
      <c r="AH155" s="242">
        <f t="shared" si="93"/>
        <v>4.6167464246853989</v>
      </c>
      <c r="AI155" s="195">
        <f t="shared" si="94"/>
        <v>0.20596640601143057</v>
      </c>
      <c r="AJ155" s="195">
        <f t="shared" si="95"/>
        <v>4.4107800186739681</v>
      </c>
      <c r="AK155" s="197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80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283</v>
      </c>
      <c r="AE156" s="41">
        <f t="shared" si="91"/>
        <v>14829.894387725644</v>
      </c>
      <c r="AF156" s="41">
        <f t="shared" si="131"/>
        <v>657.44476798848643</v>
      </c>
      <c r="AG156" s="175">
        <f t="shared" si="108"/>
        <v>14172.449619737157</v>
      </c>
      <c r="AH156" s="242">
        <f t="shared" si="93"/>
        <v>4.6155911570885912</v>
      </c>
      <c r="AI156" s="195">
        <f t="shared" si="94"/>
        <v>0.20462022035122518</v>
      </c>
      <c r="AJ156" s="195">
        <f t="shared" si="95"/>
        <v>4.4109709367373657</v>
      </c>
      <c r="AK156" s="197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80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283</v>
      </c>
      <c r="AE157" s="41">
        <f t="shared" si="91"/>
        <v>14923.134187855494</v>
      </c>
      <c r="AF157" s="41">
        <f t="shared" si="131"/>
        <v>657.44476798848643</v>
      </c>
      <c r="AG157" s="175">
        <f t="shared" si="108"/>
        <v>14265.689419867007</v>
      </c>
      <c r="AH157" s="242">
        <f t="shared" si="93"/>
        <v>4.6144508929670662</v>
      </c>
      <c r="AI157" s="195">
        <f t="shared" si="94"/>
        <v>0.20329151762167175</v>
      </c>
      <c r="AJ157" s="195">
        <f t="shared" si="95"/>
        <v>4.4111593753453944</v>
      </c>
      <c r="AK157" s="197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80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283</v>
      </c>
      <c r="AE158" s="41">
        <f t="shared" si="91"/>
        <v>15016.373987985344</v>
      </c>
      <c r="AF158" s="41">
        <f t="shared" si="131"/>
        <v>657.44476798848643</v>
      </c>
      <c r="AG158" s="175">
        <f t="shared" si="108"/>
        <v>14358.929219996857</v>
      </c>
      <c r="AH158" s="242">
        <f t="shared" si="93"/>
        <v>4.613325341930981</v>
      </c>
      <c r="AI158" s="195">
        <f t="shared" si="94"/>
        <v>0.20197995944346742</v>
      </c>
      <c r="AJ158" s="195">
        <f t="shared" si="95"/>
        <v>4.4113453824875135</v>
      </c>
      <c r="AK158" s="197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80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283</v>
      </c>
      <c r="AE159" s="41">
        <f t="shared" si="91"/>
        <v>15109.613788115194</v>
      </c>
      <c r="AF159" s="41">
        <f t="shared" si="131"/>
        <v>657.44476798848643</v>
      </c>
      <c r="AG159" s="175">
        <f t="shared" si="108"/>
        <v>14452.169020126707</v>
      </c>
      <c r="AH159" s="242">
        <f t="shared" si="93"/>
        <v>4.6122142210363837</v>
      </c>
      <c r="AI159" s="195">
        <f t="shared" si="94"/>
        <v>0.2006852161137016</v>
      </c>
      <c r="AJ159" s="195">
        <f t="shared" si="95"/>
        <v>4.4115290049226825</v>
      </c>
      <c r="AK159" s="197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80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283</v>
      </c>
      <c r="AE160" s="41">
        <f t="shared" si="91"/>
        <v>15202.853588245043</v>
      </c>
      <c r="AF160" s="41">
        <f t="shared" si="131"/>
        <v>657.44476798848643</v>
      </c>
      <c r="AG160" s="175">
        <f t="shared" si="108"/>
        <v>14545.408820256556</v>
      </c>
      <c r="AH160" s="242">
        <f t="shared" si="93"/>
        <v>4.6111172545480876</v>
      </c>
      <c r="AI160" s="195">
        <f t="shared" si="94"/>
        <v>0.19940696632953789</v>
      </c>
      <c r="AJ160" s="195">
        <f t="shared" si="95"/>
        <v>4.4117102882185497</v>
      </c>
      <c r="AK160" s="197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80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283</v>
      </c>
      <c r="AE161" s="41">
        <f t="shared" si="91"/>
        <v>15296.093388374893</v>
      </c>
      <c r="AF161" s="41">
        <f t="shared" si="131"/>
        <v>657.44476798848643</v>
      </c>
      <c r="AG161" s="175">
        <f t="shared" si="108"/>
        <v>14638.648620386406</v>
      </c>
      <c r="AH161" s="242">
        <f t="shared" si="93"/>
        <v>4.61003417371154</v>
      </c>
      <c r="AI161" s="195">
        <f t="shared" si="94"/>
        <v>0.1981448969223889</v>
      </c>
      <c r="AJ161" s="195">
        <f t="shared" si="95"/>
        <v>4.4118892767891511</v>
      </c>
      <c r="AK161" s="197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80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283</v>
      </c>
      <c r="AE162" s="41">
        <f t="shared" si="91"/>
        <v>15389.333188504743</v>
      </c>
      <c r="AF162" s="41">
        <f t="shared" si="131"/>
        <v>657.44476798848643</v>
      </c>
      <c r="AG162" s="175">
        <f t="shared" si="108"/>
        <v>14731.888420516256</v>
      </c>
      <c r="AH162" s="242">
        <f t="shared" si="93"/>
        <v>4.6089647165333165</v>
      </c>
      <c r="AI162" s="195">
        <f t="shared" si="94"/>
        <v>0.19689870260212231</v>
      </c>
      <c r="AJ162" s="195">
        <f t="shared" si="95"/>
        <v>4.4120660139311942</v>
      </c>
      <c r="AK162" s="197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80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283</v>
      </c>
      <c r="AE163" s="41">
        <f t="shared" si="91"/>
        <v>15482.572988634593</v>
      </c>
      <c r="AF163" s="41">
        <f t="shared" si="131"/>
        <v>657.44476798848643</v>
      </c>
      <c r="AG163" s="175">
        <f t="shared" si="108"/>
        <v>14825.128220646106</v>
      </c>
      <c r="AH163" s="242">
        <f t="shared" si="93"/>
        <v>4.6079086275698193</v>
      </c>
      <c r="AI163" s="195">
        <f t="shared" si="94"/>
        <v>0.19566808571085906</v>
      </c>
      <c r="AJ163" s="195">
        <f t="shared" si="95"/>
        <v>4.4122405418589601</v>
      </c>
      <c r="AK163" s="197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80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283</v>
      </c>
      <c r="AE164" s="41">
        <f t="shared" si="91"/>
        <v>15575.812788764442</v>
      </c>
      <c r="AF164" s="41">
        <f t="shared" si="131"/>
        <v>657.44476798848643</v>
      </c>
      <c r="AG164" s="175">
        <f t="shared" si="108"/>
        <v>14918.368020775955</v>
      </c>
      <c r="AH164" s="242">
        <f t="shared" si="93"/>
        <v>4.6068656577238807</v>
      </c>
      <c r="AI164" s="195">
        <f t="shared" si="94"/>
        <v>0.19445275598594688</v>
      </c>
      <c r="AJ164" s="195">
        <f t="shared" si="95"/>
        <v>4.4124129017379339</v>
      </c>
      <c r="AK164" s="197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80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283</v>
      </c>
      <c r="AE165" s="41">
        <f t="shared" si="91"/>
        <v>15669.052588894292</v>
      </c>
      <c r="AF165" s="41">
        <f t="shared" si="131"/>
        <v>657.44476798848643</v>
      </c>
      <c r="AG165" s="175">
        <f t="shared" ref="AG165:AG180" si="143">AG164+SUM(AE529:AF529,BG529)</f>
        <v>15011.607820905805</v>
      </c>
      <c r="AH165" s="242">
        <f t="shared" si="93"/>
        <v>4.6058355640488804</v>
      </c>
      <c r="AI165" s="195">
        <f t="shared" si="94"/>
        <v>0.19325243033171266</v>
      </c>
      <c r="AJ165" s="195">
        <f t="shared" si="95"/>
        <v>4.4125831337171677</v>
      </c>
      <c r="AK165" s="197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80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283</v>
      </c>
      <c r="AE166" s="41">
        <f t="shared" si="91"/>
        <v>15762.292389024142</v>
      </c>
      <c r="AF166" s="41">
        <f t="shared" si="131"/>
        <v>657.44476798848643</v>
      </c>
      <c r="AG166" s="175">
        <f t="shared" si="143"/>
        <v>15104.847621035655</v>
      </c>
      <c r="AH166" s="242">
        <f t="shared" si="93"/>
        <v>4.6048181095600764</v>
      </c>
      <c r="AI166" s="195">
        <f t="shared" si="94"/>
        <v>0.19206683259961627</v>
      </c>
      <c r="AJ166" s="195">
        <f t="shared" si="95"/>
        <v>4.41275127696046</v>
      </c>
      <c r="AK166" s="197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80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283</v>
      </c>
      <c r="AE167" s="41">
        <f t="shared" si="91"/>
        <v>15855.532189153992</v>
      </c>
      <c r="AF167" s="41">
        <f t="shared" si="131"/>
        <v>657.44476798848643</v>
      </c>
      <c r="AG167" s="175">
        <f t="shared" si="143"/>
        <v>15198.087421165505</v>
      </c>
      <c r="AH167" s="242">
        <f t="shared" si="93"/>
        <v>4.6038130630528435</v>
      </c>
      <c r="AI167" s="195">
        <f t="shared" si="94"/>
        <v>0.19089569337644785</v>
      </c>
      <c r="AJ167" s="195">
        <f t="shared" si="95"/>
        <v>4.4129173696763955</v>
      </c>
      <c r="AK167" s="197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80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283</v>
      </c>
      <c r="AE168" s="41">
        <f t="shared" si="91"/>
        <v>15948.771989283841</v>
      </c>
      <c r="AF168" s="41">
        <f t="shared" si="131"/>
        <v>657.44476798848643</v>
      </c>
      <c r="AG168" s="175">
        <f t="shared" si="143"/>
        <v>15291.327221295354</v>
      </c>
      <c r="AH168" s="242">
        <f t="shared" si="93"/>
        <v>4.6028201989275157</v>
      </c>
      <c r="AI168" s="195">
        <f t="shared" si="94"/>
        <v>0.18973874978022698</v>
      </c>
      <c r="AJ168" s="195">
        <f t="shared" si="95"/>
        <v>4.4130814491472883</v>
      </c>
      <c r="AK168" s="197">
        <f t="shared" si="96"/>
        <v>4.4399904823737977</v>
      </c>
      <c r="BH168" s="2"/>
      <c r="BI168" s="2"/>
    </row>
    <row r="169" spans="4:75" ht="13.8">
      <c r="AA169" s="180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283</v>
      </c>
      <c r="AE169" s="41">
        <f t="shared" si="91"/>
        <v>16042.011789413691</v>
      </c>
      <c r="AF169" s="41">
        <f t="shared" si="131"/>
        <v>657.44476798848643</v>
      </c>
      <c r="AG169" s="175">
        <f t="shared" si="143"/>
        <v>15384.567021425204</v>
      </c>
      <c r="AH169" s="242">
        <f t="shared" si="93"/>
        <v>4.6018392970205655</v>
      </c>
      <c r="AI169" s="195">
        <f t="shared" si="94"/>
        <v>0.18859574526347861</v>
      </c>
      <c r="AJ169" s="195">
        <f t="shared" si="95"/>
        <v>4.4132435517570867</v>
      </c>
      <c r="AK169" s="197">
        <f t="shared" si="96"/>
        <v>4.4399904823737977</v>
      </c>
      <c r="BH169" s="2"/>
      <c r="BI169" s="2"/>
    </row>
    <row r="170" spans="4:75" ht="13.8">
      <c r="AA170" s="180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283</v>
      </c>
      <c r="AE170" s="41">
        <f t="shared" si="91"/>
        <v>16135.251589543541</v>
      </c>
      <c r="AF170" s="41">
        <f t="shared" si="131"/>
        <v>657.44476798848643</v>
      </c>
      <c r="AG170" s="175">
        <f t="shared" si="143"/>
        <v>15477.806821555054</v>
      </c>
      <c r="AH170" s="242">
        <f t="shared" si="93"/>
        <v>4.6008701424418419</v>
      </c>
      <c r="AI170" s="195">
        <f t="shared" si="94"/>
        <v>0.18746642942357755</v>
      </c>
      <c r="AJ170" s="195">
        <f t="shared" si="95"/>
        <v>4.4134037130182646</v>
      </c>
      <c r="AK170" s="197">
        <f t="shared" si="96"/>
        <v>4.4399904823737977</v>
      </c>
      <c r="BH170" s="2"/>
      <c r="BI170" s="2"/>
    </row>
    <row r="171" spans="4:75" ht="13.8">
      <c r="AA171" s="180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283</v>
      </c>
      <c r="AE171" s="41">
        <f t="shared" si="91"/>
        <v>16228.491389673391</v>
      </c>
      <c r="AF171" s="41">
        <f t="shared" si="131"/>
        <v>657.44476798848643</v>
      </c>
      <c r="AG171" s="175">
        <f t="shared" si="143"/>
        <v>15571.046621684904</v>
      </c>
      <c r="AH171" s="242">
        <f t="shared" si="93"/>
        <v>4.5999125254176274</v>
      </c>
      <c r="AI171" s="195">
        <f t="shared" si="94"/>
        <v>0.18635055781986579</v>
      </c>
      <c r="AJ171" s="195">
        <f t="shared" si="95"/>
        <v>4.4135619675977615</v>
      </c>
      <c r="AK171" s="197">
        <f t="shared" si="96"/>
        <v>4.4399904823737977</v>
      </c>
      <c r="BH171" s="2"/>
      <c r="BI171" s="2"/>
    </row>
    <row r="172" spans="4:75" ht="13.8">
      <c r="AA172" s="180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283</v>
      </c>
      <c r="AE172" s="41">
        <f t="shared" si="91"/>
        <v>16321.73118980324</v>
      </c>
      <c r="AF172" s="41">
        <f t="shared" si="131"/>
        <v>657.44476798848643</v>
      </c>
      <c r="AG172" s="175">
        <f t="shared" si="143"/>
        <v>15664.286421814753</v>
      </c>
      <c r="AH172" s="242">
        <f t="shared" si="93"/>
        <v>4.5989662411392622</v>
      </c>
      <c r="AI172" s="195">
        <f t="shared" si="94"/>
        <v>0.185247891797263</v>
      </c>
      <c r="AJ172" s="195">
        <f t="shared" si="95"/>
        <v>4.4137183493419991</v>
      </c>
      <c r="AK172" s="197">
        <f t="shared" si="96"/>
        <v>4.4399904823737977</v>
      </c>
      <c r="BH172" s="2"/>
      <c r="BI172" s="2"/>
    </row>
    <row r="173" spans="4:75" ht="13.8">
      <c r="AA173" s="180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283</v>
      </c>
      <c r="AE173" s="41">
        <f t="shared" si="91"/>
        <v>16414.970989933088</v>
      </c>
      <c r="AF173" s="41">
        <f t="shared" si="131"/>
        <v>657.44476798848643</v>
      </c>
      <c r="AG173" s="175">
        <f t="shared" si="143"/>
        <v>15757.526221944603</v>
      </c>
      <c r="AH173" s="242">
        <f t="shared" si="93"/>
        <v>4.5980310896171117</v>
      </c>
      <c r="AI173" s="195">
        <f t="shared" si="94"/>
        <v>0.18415819831610264</v>
      </c>
      <c r="AJ173" s="195">
        <f t="shared" si="95"/>
        <v>4.4138728913010095</v>
      </c>
      <c r="AK173" s="197">
        <f t="shared" si="96"/>
        <v>4.4399904823737115</v>
      </c>
      <c r="BH173" s="2"/>
      <c r="BI173" s="2"/>
    </row>
    <row r="174" spans="4:75" ht="13.8">
      <c r="AA174" s="180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283</v>
      </c>
      <c r="AE174" s="41">
        <f t="shared" si="91"/>
        <v>16508.210790062938</v>
      </c>
      <c r="AF174" s="41">
        <f t="shared" si="131"/>
        <v>657.44476798848643</v>
      </c>
      <c r="AG174" s="175">
        <f t="shared" si="143"/>
        <v>15850.766022074453</v>
      </c>
      <c r="AH174" s="242">
        <f t="shared" si="93"/>
        <v>4.5971068755396658</v>
      </c>
      <c r="AI174" s="195">
        <f t="shared" si="94"/>
        <v>0.1830812497879383</v>
      </c>
      <c r="AJ174" s="195">
        <f t="shared" si="95"/>
        <v>4.4140256257517274</v>
      </c>
      <c r="AK174" s="197">
        <f t="shared" si="96"/>
        <v>4.4399904823737977</v>
      </c>
      <c r="BH174" s="2"/>
      <c r="BI174" s="2"/>
    </row>
    <row r="175" spans="4:75" ht="13.8">
      <c r="AA175" s="180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283</v>
      </c>
      <c r="AE175" s="41">
        <f t="shared" si="91"/>
        <v>16601.450590192788</v>
      </c>
      <c r="AF175" s="41">
        <f t="shared" si="131"/>
        <v>657.44476798848643</v>
      </c>
      <c r="AG175" s="175">
        <f t="shared" si="143"/>
        <v>15944.005822204303</v>
      </c>
      <c r="AH175" s="242">
        <f t="shared" si="93"/>
        <v>4.5961934081375393</v>
      </c>
      <c r="AI175" s="195">
        <f t="shared" si="94"/>
        <v>0.18201682391707821</v>
      </c>
      <c r="AJ175" s="195">
        <f t="shared" si="95"/>
        <v>4.4141765842204608</v>
      </c>
      <c r="AK175" s="197">
        <f t="shared" si="96"/>
        <v>4.4399904823737977</v>
      </c>
      <c r="BH175" s="2"/>
      <c r="BI175" s="2"/>
    </row>
    <row r="176" spans="4:75" ht="13.8">
      <c r="AA176" s="180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283</v>
      </c>
      <c r="AE176" s="41">
        <f t="shared" si="91"/>
        <v>16694.690390322638</v>
      </c>
      <c r="AF176" s="41">
        <f t="shared" si="131"/>
        <v>657.44476798848643</v>
      </c>
      <c r="AG176" s="175">
        <f t="shared" si="143"/>
        <v>16037.245622334152</v>
      </c>
      <c r="AH176" s="242">
        <f t="shared" si="93"/>
        <v>4.5952905010521992</v>
      </c>
      <c r="AI176" s="195">
        <f t="shared" si="94"/>
        <v>0.18096470354761532</v>
      </c>
      <c r="AJ176" s="195">
        <f t="shared" si="95"/>
        <v>4.414325797504584</v>
      </c>
      <c r="AK176" s="197">
        <f t="shared" si="96"/>
        <v>4.4399904823737977</v>
      </c>
      <c r="BH176" s="2"/>
      <c r="BI176" s="2"/>
    </row>
    <row r="177" spans="27:61" ht="13.8">
      <c r="AA177" s="180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283</v>
      </c>
      <c r="AE177" s="41">
        <f t="shared" si="91"/>
        <v>16787.930190452487</v>
      </c>
      <c r="AF177" s="41">
        <f t="shared" si="131"/>
        <v>657.44476798848643</v>
      </c>
      <c r="AG177" s="175">
        <f t="shared" si="143"/>
        <v>16130.485422464002</v>
      </c>
      <c r="AH177" s="242">
        <f t="shared" si="93"/>
        <v>4.5943979722092188</v>
      </c>
      <c r="AI177" s="195">
        <f t="shared" si="94"/>
        <v>0.17992467651573246</v>
      </c>
      <c r="AJ177" s="195">
        <f t="shared" si="95"/>
        <v>4.4144732956934867</v>
      </c>
      <c r="AK177" s="197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80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283</v>
      </c>
      <c r="AE178" s="41">
        <f t="shared" si="91"/>
        <v>16881.169990582337</v>
      </c>
      <c r="AF178" s="41">
        <f t="shared" si="131"/>
        <v>657.44476798848643</v>
      </c>
      <c r="AG178" s="175">
        <f t="shared" si="143"/>
        <v>16223.725222593852</v>
      </c>
      <c r="AH178" s="242">
        <f t="shared" si="93"/>
        <v>4.5935156436958744</v>
      </c>
      <c r="AI178" s="195">
        <f t="shared" si="94"/>
        <v>0.17889653550707113</v>
      </c>
      <c r="AJ178" s="195">
        <f t="shared" si="95"/>
        <v>4.4146191081888029</v>
      </c>
      <c r="AK178" s="197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80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283</v>
      </c>
      <c r="AE179" s="41">
        <f t="shared" si="91"/>
        <v>16974.409790712187</v>
      </c>
      <c r="AF179" s="41">
        <f t="shared" si="131"/>
        <v>657.44476798848643</v>
      </c>
      <c r="AG179" s="175">
        <f t="shared" si="143"/>
        <v>16316.965022723702</v>
      </c>
      <c r="AH179" s="242">
        <f t="shared" si="93"/>
        <v>4.5926433416429084</v>
      </c>
      <c r="AI179" s="195">
        <f t="shared" si="94"/>
        <v>0.17788007791896279</v>
      </c>
      <c r="AJ179" s="195">
        <f t="shared" si="95"/>
        <v>4.4147632637239456</v>
      </c>
      <c r="AK179" s="197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8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283</v>
      </c>
      <c r="AE180" s="40">
        <f t="shared" si="91"/>
        <v>17067.649590842037</v>
      </c>
      <c r="AF180" s="40">
        <f t="shared" si="131"/>
        <v>657.44476798848643</v>
      </c>
      <c r="AG180" s="177">
        <f t="shared" si="143"/>
        <v>16410.20482285355</v>
      </c>
      <c r="AH180" s="243">
        <f t="shared" si="93"/>
        <v>4.591780896110313</v>
      </c>
      <c r="AI180" s="198">
        <f t="shared" si="94"/>
        <v>0.1768751057273302</v>
      </c>
      <c r="AJ180" s="198">
        <f t="shared" si="95"/>
        <v>4.4149057903829831</v>
      </c>
      <c r="AK180" s="199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36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36"/>
      <c r="AI182"/>
      <c r="AJ182"/>
      <c r="AK182"/>
    </row>
    <row r="183" spans="27:61" ht="16.2" thickBot="1">
      <c r="AA183" s="496" t="s">
        <v>399</v>
      </c>
      <c r="AB183" s="496"/>
      <c r="AC183" s="496"/>
      <c r="AD183" s="496"/>
      <c r="AE183" s="496"/>
      <c r="AF183" s="496"/>
      <c r="AG183" s="496"/>
      <c r="AH183" s="496"/>
      <c r="AI183" s="496"/>
      <c r="AJ183" s="496"/>
      <c r="AK183" s="496"/>
      <c r="AL183" s="191"/>
      <c r="AM183" s="16"/>
      <c r="AS183" s="16"/>
      <c r="AT183" s="93"/>
      <c r="AU183" s="16"/>
      <c r="AV183" s="74"/>
      <c r="AW183" s="13"/>
      <c r="AX183" s="2"/>
    </row>
    <row r="184" spans="27:61">
      <c r="AA184" s="238" t="s">
        <v>261</v>
      </c>
      <c r="AB184" s="210" t="s">
        <v>390</v>
      </c>
      <c r="AC184" s="210" t="s">
        <v>274</v>
      </c>
      <c r="AD184" s="210" t="s">
        <v>242</v>
      </c>
      <c r="AE184" s="210" t="s">
        <v>275</v>
      </c>
      <c r="AF184" s="210" t="s">
        <v>276</v>
      </c>
      <c r="AG184" s="210" t="s">
        <v>301</v>
      </c>
      <c r="AH184" s="241" t="s">
        <v>278</v>
      </c>
      <c r="AI184" s="210" t="s">
        <v>279</v>
      </c>
      <c r="AJ184" s="179" t="s">
        <v>388</v>
      </c>
      <c r="AK184" s="211" t="s">
        <v>389</v>
      </c>
      <c r="AM184" s="16"/>
      <c r="AS184" s="16"/>
      <c r="AT184" s="93"/>
      <c r="AU184" s="16"/>
      <c r="AV184" s="74"/>
      <c r="AW184" s="13"/>
      <c r="AX184" s="2"/>
    </row>
    <row r="185" spans="27:61">
      <c r="AA185" s="18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42">
        <v>0</v>
      </c>
      <c r="AI185" s="21">
        <v>0</v>
      </c>
      <c r="AJ185" s="21">
        <v>0</v>
      </c>
      <c r="AK185" s="200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80">
        <f>AA4</f>
        <v>21000000</v>
      </c>
      <c r="AB186" s="41">
        <v>25</v>
      </c>
      <c r="AC186" s="21">
        <v>1</v>
      </c>
      <c r="AD186" s="21" t="s">
        <v>283</v>
      </c>
      <c r="AE186" s="175">
        <f>(AB186-AB185)*4</f>
        <v>100</v>
      </c>
      <c r="AF186" s="175">
        <f>AE186</f>
        <v>100</v>
      </c>
      <c r="AG186" s="183">
        <v>10</v>
      </c>
      <c r="AH186" s="242">
        <f>AG186*10</f>
        <v>100</v>
      </c>
      <c r="AI186" s="183">
        <f>(AB186/100)+2</f>
        <v>2.25</v>
      </c>
      <c r="AJ186" s="41">
        <f t="shared" ref="AJ186:AJ249" si="159">$B$8</f>
        <v>10</v>
      </c>
      <c r="AK186" s="197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80">
        <f t="shared" ref="AA187:AA250" si="160">AA5</f>
        <v>42000000</v>
      </c>
      <c r="AB187" s="41">
        <v>50</v>
      </c>
      <c r="AC187" s="21">
        <v>2</v>
      </c>
      <c r="AD187" s="21" t="s">
        <v>283</v>
      </c>
      <c r="AE187" s="175">
        <f>(AB187-AB186)*4</f>
        <v>100</v>
      </c>
      <c r="AF187" s="21">
        <f t="shared" ref="AF187:AF205" si="161">AE187</f>
        <v>100</v>
      </c>
      <c r="AG187" s="83">
        <v>0.79500000000000004</v>
      </c>
      <c r="AH187" s="242">
        <f>AG187*10</f>
        <v>7.95</v>
      </c>
      <c r="AI187" s="21">
        <v>0.13</v>
      </c>
      <c r="AJ187" s="41">
        <f t="shared" si="159"/>
        <v>10</v>
      </c>
      <c r="AK187" s="197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80">
        <f t="shared" si="160"/>
        <v>63000000</v>
      </c>
      <c r="AB188" s="41">
        <v>75</v>
      </c>
      <c r="AC188" s="21">
        <v>3</v>
      </c>
      <c r="AD188" s="21" t="s">
        <v>283</v>
      </c>
      <c r="AE188" s="175">
        <f>(AB188-AB187)*4</f>
        <v>100</v>
      </c>
      <c r="AF188" s="21">
        <f t="shared" si="161"/>
        <v>100</v>
      </c>
      <c r="AG188" s="83">
        <v>0.79500000000000004</v>
      </c>
      <c r="AH188" s="242">
        <f t="shared" ref="AH188:AH204" si="163">AG188*10</f>
        <v>7.95</v>
      </c>
      <c r="AI188" s="21">
        <v>0.13</v>
      </c>
      <c r="AJ188" s="41">
        <f t="shared" si="159"/>
        <v>10</v>
      </c>
      <c r="AK188" s="197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80">
        <f t="shared" si="160"/>
        <v>84000000</v>
      </c>
      <c r="AB189" s="41">
        <v>100</v>
      </c>
      <c r="AC189" s="21">
        <v>4</v>
      </c>
      <c r="AD189" s="21" t="s">
        <v>283</v>
      </c>
      <c r="AE189" s="175">
        <f>(AB189-AB188)*4</f>
        <v>100</v>
      </c>
      <c r="AF189" s="21">
        <f t="shared" si="161"/>
        <v>100</v>
      </c>
      <c r="AG189" s="83">
        <v>0.79500000000000004</v>
      </c>
      <c r="AH189" s="242">
        <f t="shared" si="163"/>
        <v>7.95</v>
      </c>
      <c r="AI189" s="21">
        <v>0.13</v>
      </c>
      <c r="AJ189" s="41">
        <f t="shared" si="159"/>
        <v>10</v>
      </c>
      <c r="AK189" s="197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80">
        <f t="shared" si="160"/>
        <v>105000000</v>
      </c>
      <c r="AB190" s="41">
        <v>125</v>
      </c>
      <c r="AC190" s="21">
        <v>5</v>
      </c>
      <c r="AD190" s="21" t="s">
        <v>283</v>
      </c>
      <c r="AE190" s="175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42">
        <f t="shared" si="163"/>
        <v>7.95</v>
      </c>
      <c r="AI190" s="21">
        <v>0.13</v>
      </c>
      <c r="AJ190" s="41">
        <f t="shared" si="159"/>
        <v>10</v>
      </c>
      <c r="AK190" s="197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80">
        <f t="shared" si="160"/>
        <v>126000000</v>
      </c>
      <c r="AB191" s="41">
        <v>150</v>
      </c>
      <c r="AC191" s="21">
        <v>6</v>
      </c>
      <c r="AD191" s="21" t="s">
        <v>283</v>
      </c>
      <c r="AE191" s="175">
        <f t="shared" si="164"/>
        <v>100</v>
      </c>
      <c r="AF191" s="21">
        <f t="shared" si="161"/>
        <v>100</v>
      </c>
      <c r="AG191" s="83">
        <v>0.79500000000000004</v>
      </c>
      <c r="AH191" s="242">
        <f t="shared" si="163"/>
        <v>7.95</v>
      </c>
      <c r="AI191" s="21">
        <v>0.13</v>
      </c>
      <c r="AJ191" s="41">
        <f t="shared" si="159"/>
        <v>10</v>
      </c>
      <c r="AK191" s="197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80">
        <f t="shared" si="160"/>
        <v>147000000</v>
      </c>
      <c r="AB192" s="41">
        <v>175</v>
      </c>
      <c r="AC192" s="21">
        <v>7</v>
      </c>
      <c r="AD192" s="21" t="s">
        <v>283</v>
      </c>
      <c r="AE192" s="175">
        <f t="shared" si="164"/>
        <v>100</v>
      </c>
      <c r="AF192" s="21">
        <f t="shared" si="161"/>
        <v>100</v>
      </c>
      <c r="AG192" s="83">
        <v>0.79500000000000004</v>
      </c>
      <c r="AH192" s="242">
        <f t="shared" si="163"/>
        <v>7.95</v>
      </c>
      <c r="AI192" s="21">
        <v>0.13</v>
      </c>
      <c r="AJ192" s="41">
        <f t="shared" si="159"/>
        <v>10</v>
      </c>
      <c r="AK192" s="197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80">
        <f t="shared" si="160"/>
        <v>168000000</v>
      </c>
      <c r="AB193" s="41">
        <v>200</v>
      </c>
      <c r="AC193" s="21">
        <v>8</v>
      </c>
      <c r="AD193" s="21" t="s">
        <v>283</v>
      </c>
      <c r="AE193" s="175">
        <f t="shared" si="164"/>
        <v>100</v>
      </c>
      <c r="AF193" s="21">
        <f t="shared" si="161"/>
        <v>100</v>
      </c>
      <c r="AG193" s="83">
        <v>0.79500000000000004</v>
      </c>
      <c r="AH193" s="242">
        <f t="shared" si="163"/>
        <v>7.95</v>
      </c>
      <c r="AI193" s="21">
        <v>0.13</v>
      </c>
      <c r="AJ193" s="41">
        <f t="shared" si="159"/>
        <v>10</v>
      </c>
      <c r="AK193" s="197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80">
        <f t="shared" si="160"/>
        <v>189000000</v>
      </c>
      <c r="AB194" s="41">
        <v>225</v>
      </c>
      <c r="AC194" s="21">
        <v>9</v>
      </c>
      <c r="AD194" s="21" t="s">
        <v>283</v>
      </c>
      <c r="AE194" s="175">
        <f t="shared" si="164"/>
        <v>100</v>
      </c>
      <c r="AF194" s="21">
        <f t="shared" si="161"/>
        <v>100</v>
      </c>
      <c r="AG194" s="83">
        <v>0.79500000000000004</v>
      </c>
      <c r="AH194" s="242">
        <f t="shared" si="163"/>
        <v>7.95</v>
      </c>
      <c r="AI194" s="21">
        <v>0.13</v>
      </c>
      <c r="AJ194" s="41">
        <f t="shared" si="159"/>
        <v>10</v>
      </c>
      <c r="AK194" s="197">
        <f t="shared" si="162"/>
        <v>12.145924930488421</v>
      </c>
      <c r="AM194" s="16"/>
    </row>
    <row r="195" spans="27:59">
      <c r="AA195" s="180">
        <f t="shared" si="160"/>
        <v>210000000</v>
      </c>
      <c r="AB195" s="41">
        <v>250</v>
      </c>
      <c r="AC195" s="21">
        <v>10</v>
      </c>
      <c r="AD195" s="21" t="s">
        <v>283</v>
      </c>
      <c r="AE195" s="175">
        <f t="shared" si="164"/>
        <v>100</v>
      </c>
      <c r="AF195" s="21">
        <f t="shared" si="161"/>
        <v>100</v>
      </c>
      <c r="AG195" s="83">
        <v>0.79500000000000004</v>
      </c>
      <c r="AH195" s="242">
        <f t="shared" si="163"/>
        <v>7.95</v>
      </c>
      <c r="AI195" s="21">
        <v>0.13</v>
      </c>
      <c r="AJ195" s="41">
        <f t="shared" si="159"/>
        <v>10</v>
      </c>
      <c r="AK195" s="197">
        <f t="shared" si="162"/>
        <v>12.145924930488421</v>
      </c>
      <c r="AM195" s="16"/>
    </row>
    <row r="196" spans="27:59">
      <c r="AA196" s="180">
        <f t="shared" si="160"/>
        <v>231000000</v>
      </c>
      <c r="AB196" s="41">
        <v>275</v>
      </c>
      <c r="AC196" s="21">
        <v>11</v>
      </c>
      <c r="AD196" s="21" t="s">
        <v>283</v>
      </c>
      <c r="AE196" s="175">
        <f t="shared" si="164"/>
        <v>100</v>
      </c>
      <c r="AF196" s="21">
        <f t="shared" si="161"/>
        <v>100</v>
      </c>
      <c r="AG196" s="83">
        <v>0.79500000000000004</v>
      </c>
      <c r="AH196" s="242">
        <f t="shared" si="163"/>
        <v>7.95</v>
      </c>
      <c r="AI196" s="21">
        <v>0.13</v>
      </c>
      <c r="AJ196" s="41">
        <f t="shared" si="159"/>
        <v>10</v>
      </c>
      <c r="AK196" s="197">
        <f t="shared" si="162"/>
        <v>12.145924930488421</v>
      </c>
      <c r="AM196" s="16"/>
    </row>
    <row r="197" spans="27:59">
      <c r="AA197" s="180">
        <f t="shared" si="160"/>
        <v>252000000</v>
      </c>
      <c r="AB197" s="41">
        <v>300</v>
      </c>
      <c r="AC197" s="21">
        <v>12</v>
      </c>
      <c r="AD197" s="21" t="s">
        <v>283</v>
      </c>
      <c r="AE197" s="175">
        <f t="shared" si="164"/>
        <v>100</v>
      </c>
      <c r="AF197" s="21">
        <f t="shared" si="161"/>
        <v>100</v>
      </c>
      <c r="AG197" s="83">
        <v>0.79500000000000004</v>
      </c>
      <c r="AH197" s="242">
        <f t="shared" si="163"/>
        <v>7.95</v>
      </c>
      <c r="AI197" s="21">
        <v>0.13</v>
      </c>
      <c r="AJ197" s="41">
        <f t="shared" si="159"/>
        <v>10</v>
      </c>
      <c r="AK197" s="197">
        <f t="shared" si="162"/>
        <v>12.145924930488421</v>
      </c>
    </row>
    <row r="198" spans="27:59">
      <c r="AA198" s="180">
        <f t="shared" si="160"/>
        <v>273000000</v>
      </c>
      <c r="AB198" s="41">
        <v>325</v>
      </c>
      <c r="AC198" s="21">
        <v>13</v>
      </c>
      <c r="AD198" s="21" t="s">
        <v>283</v>
      </c>
      <c r="AE198" s="175">
        <f t="shared" si="164"/>
        <v>100</v>
      </c>
      <c r="AF198" s="21">
        <f t="shared" si="161"/>
        <v>100</v>
      </c>
      <c r="AG198" s="83">
        <v>0.79500000000000004</v>
      </c>
      <c r="AH198" s="242">
        <f t="shared" si="163"/>
        <v>7.95</v>
      </c>
      <c r="AI198" s="21">
        <v>0.13</v>
      </c>
      <c r="AJ198" s="41">
        <f t="shared" si="159"/>
        <v>10</v>
      </c>
      <c r="AK198" s="197">
        <f t="shared" si="162"/>
        <v>12.145924930488421</v>
      </c>
    </row>
    <row r="199" spans="27:59">
      <c r="AA199" s="180">
        <f t="shared" si="160"/>
        <v>294000000</v>
      </c>
      <c r="AB199" s="41">
        <v>350</v>
      </c>
      <c r="AC199" s="21">
        <v>14</v>
      </c>
      <c r="AD199" s="21" t="s">
        <v>283</v>
      </c>
      <c r="AE199" s="175">
        <f t="shared" si="164"/>
        <v>100</v>
      </c>
      <c r="AF199" s="21">
        <f t="shared" si="161"/>
        <v>100</v>
      </c>
      <c r="AG199" s="83">
        <v>0.79500000000000004</v>
      </c>
      <c r="AH199" s="242">
        <f t="shared" si="163"/>
        <v>7.95</v>
      </c>
      <c r="AI199" s="21">
        <v>0.13</v>
      </c>
      <c r="AJ199" s="41">
        <f t="shared" si="159"/>
        <v>10</v>
      </c>
      <c r="AK199" s="197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80">
        <f t="shared" si="160"/>
        <v>315000000</v>
      </c>
      <c r="AB200" s="41">
        <v>375</v>
      </c>
      <c r="AC200" s="21">
        <v>15</v>
      </c>
      <c r="AD200" s="21" t="s">
        <v>283</v>
      </c>
      <c r="AE200" s="175">
        <f t="shared" si="164"/>
        <v>100</v>
      </c>
      <c r="AF200" s="21">
        <f t="shared" si="161"/>
        <v>100</v>
      </c>
      <c r="AG200" s="83">
        <v>0.79500000000000004</v>
      </c>
      <c r="AH200" s="242">
        <f t="shared" si="163"/>
        <v>7.95</v>
      </c>
      <c r="AI200" s="21">
        <v>0.13</v>
      </c>
      <c r="AJ200" s="41">
        <f t="shared" si="159"/>
        <v>10</v>
      </c>
      <c r="AK200" s="197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80">
        <f t="shared" si="160"/>
        <v>336000000</v>
      </c>
      <c r="AB201" s="41">
        <v>400</v>
      </c>
      <c r="AC201" s="21">
        <v>16</v>
      </c>
      <c r="AD201" s="21" t="s">
        <v>283</v>
      </c>
      <c r="AE201" s="175">
        <f t="shared" si="164"/>
        <v>100</v>
      </c>
      <c r="AF201" s="21">
        <f t="shared" si="161"/>
        <v>100</v>
      </c>
      <c r="AG201" s="83">
        <v>0.79500000000000004</v>
      </c>
      <c r="AH201" s="242">
        <f t="shared" si="163"/>
        <v>7.95</v>
      </c>
      <c r="AI201" s="21">
        <v>0.13</v>
      </c>
      <c r="AJ201" s="41">
        <f t="shared" si="159"/>
        <v>10</v>
      </c>
      <c r="AK201" s="197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80">
        <f t="shared" si="160"/>
        <v>357000000</v>
      </c>
      <c r="AB202" s="41">
        <v>425</v>
      </c>
      <c r="AC202" s="21">
        <v>17</v>
      </c>
      <c r="AD202" s="21" t="s">
        <v>283</v>
      </c>
      <c r="AE202" s="175">
        <f t="shared" si="164"/>
        <v>100</v>
      </c>
      <c r="AF202" s="21">
        <f t="shared" si="161"/>
        <v>100</v>
      </c>
      <c r="AG202" s="83">
        <v>0.79500000000000004</v>
      </c>
      <c r="AH202" s="242">
        <f t="shared" si="163"/>
        <v>7.95</v>
      </c>
      <c r="AI202" s="21">
        <v>0.13</v>
      </c>
      <c r="AJ202" s="41">
        <f t="shared" si="159"/>
        <v>10</v>
      </c>
      <c r="AK202" s="197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80">
        <f t="shared" si="160"/>
        <v>378000000</v>
      </c>
      <c r="AB203" s="41">
        <v>450</v>
      </c>
      <c r="AC203" s="21">
        <v>18</v>
      </c>
      <c r="AD203" s="21" t="s">
        <v>283</v>
      </c>
      <c r="AE203" s="175">
        <f t="shared" si="164"/>
        <v>100</v>
      </c>
      <c r="AF203" s="21">
        <f t="shared" si="161"/>
        <v>100</v>
      </c>
      <c r="AG203" s="83">
        <v>0.79500000000000004</v>
      </c>
      <c r="AH203" s="242">
        <f t="shared" si="163"/>
        <v>7.95</v>
      </c>
      <c r="AI203" s="21">
        <v>0.13</v>
      </c>
      <c r="AJ203" s="41">
        <f t="shared" si="159"/>
        <v>10</v>
      </c>
      <c r="AK203" s="197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80">
        <f t="shared" si="160"/>
        <v>399000000</v>
      </c>
      <c r="AB204" s="41">
        <v>475</v>
      </c>
      <c r="AC204" s="21">
        <v>19</v>
      </c>
      <c r="AD204" s="21" t="s">
        <v>283</v>
      </c>
      <c r="AE204" s="175">
        <f t="shared" si="164"/>
        <v>100</v>
      </c>
      <c r="AF204" s="21">
        <f t="shared" si="161"/>
        <v>100</v>
      </c>
      <c r="AG204" s="83">
        <v>0.79500000000000004</v>
      </c>
      <c r="AH204" s="242">
        <f t="shared" si="163"/>
        <v>7.95</v>
      </c>
      <c r="AI204" s="21">
        <v>0.13</v>
      </c>
      <c r="AJ204" s="41">
        <f t="shared" si="159"/>
        <v>10</v>
      </c>
      <c r="AK204" s="197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80">
        <f t="shared" si="160"/>
        <v>420000000</v>
      </c>
      <c r="AB205" s="41">
        <v>500</v>
      </c>
      <c r="AC205" s="21">
        <v>20</v>
      </c>
      <c r="AD205" s="21" t="s">
        <v>283</v>
      </c>
      <c r="AE205" s="175">
        <f t="shared" si="164"/>
        <v>100</v>
      </c>
      <c r="AF205" s="21">
        <f t="shared" si="161"/>
        <v>100</v>
      </c>
      <c r="AG205" s="83">
        <v>0.79500000000000004</v>
      </c>
      <c r="AH205" s="242">
        <f>AG205*10</f>
        <v>7.95</v>
      </c>
      <c r="AI205" s="21">
        <v>0.13</v>
      </c>
      <c r="AJ205" s="41">
        <f t="shared" si="159"/>
        <v>10</v>
      </c>
      <c r="AK205" s="197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80">
        <f t="shared" si="160"/>
        <v>441000000</v>
      </c>
      <c r="AB206" s="41">
        <v>525</v>
      </c>
      <c r="AC206" s="21">
        <v>20</v>
      </c>
      <c r="AD206" s="21" t="s">
        <v>283</v>
      </c>
      <c r="AE206" s="175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42">
        <f t="shared" ref="AH206:AH269" si="167">AG206*10</f>
        <v>7.95</v>
      </c>
      <c r="AI206" s="21">
        <v>0.13</v>
      </c>
      <c r="AJ206" s="41">
        <f t="shared" si="159"/>
        <v>10</v>
      </c>
      <c r="AK206" s="197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80">
        <f t="shared" si="160"/>
        <v>462000000</v>
      </c>
      <c r="AB207" s="41">
        <v>550</v>
      </c>
      <c r="AC207" s="21">
        <v>20</v>
      </c>
      <c r="AD207" s="21" t="s">
        <v>283</v>
      </c>
      <c r="AE207" s="175">
        <f t="shared" si="165"/>
        <v>100</v>
      </c>
      <c r="AF207" s="21">
        <f t="shared" si="166"/>
        <v>100</v>
      </c>
      <c r="AG207" s="83">
        <v>0.79500000000000004</v>
      </c>
      <c r="AH207" s="242">
        <f t="shared" si="167"/>
        <v>7.95</v>
      </c>
      <c r="AI207" s="21">
        <v>0.13</v>
      </c>
      <c r="AJ207" s="41">
        <f t="shared" si="159"/>
        <v>10</v>
      </c>
      <c r="AK207" s="197">
        <f t="shared" si="162"/>
        <v>12.145924930488421</v>
      </c>
    </row>
    <row r="208" spans="27:59">
      <c r="AA208" s="180">
        <f t="shared" si="160"/>
        <v>483000000</v>
      </c>
      <c r="AB208" s="41">
        <v>575</v>
      </c>
      <c r="AC208" s="21">
        <v>20</v>
      </c>
      <c r="AD208" s="21" t="s">
        <v>283</v>
      </c>
      <c r="AE208" s="175">
        <f t="shared" si="165"/>
        <v>100</v>
      </c>
      <c r="AF208" s="21">
        <f t="shared" si="166"/>
        <v>100</v>
      </c>
      <c r="AG208" s="83">
        <v>0.79500000000000004</v>
      </c>
      <c r="AH208" s="242">
        <f t="shared" si="167"/>
        <v>7.95</v>
      </c>
      <c r="AI208" s="21">
        <v>0.13</v>
      </c>
      <c r="AJ208" s="41">
        <f t="shared" si="159"/>
        <v>10</v>
      </c>
      <c r="AK208" s="197">
        <f t="shared" si="162"/>
        <v>12.145924930488421</v>
      </c>
    </row>
    <row r="209" spans="27:37">
      <c r="AA209" s="180">
        <f t="shared" si="160"/>
        <v>504000000</v>
      </c>
      <c r="AB209" s="41">
        <v>600</v>
      </c>
      <c r="AC209" s="21">
        <v>20</v>
      </c>
      <c r="AD209" s="21" t="s">
        <v>283</v>
      </c>
      <c r="AE209" s="175">
        <f t="shared" si="165"/>
        <v>100</v>
      </c>
      <c r="AF209" s="21">
        <f t="shared" si="166"/>
        <v>100</v>
      </c>
      <c r="AG209" s="83">
        <v>0.79500000000000004</v>
      </c>
      <c r="AH209" s="242">
        <f t="shared" si="167"/>
        <v>7.95</v>
      </c>
      <c r="AI209" s="21">
        <v>0.13</v>
      </c>
      <c r="AJ209" s="41">
        <f t="shared" si="159"/>
        <v>10</v>
      </c>
      <c r="AK209" s="197">
        <f t="shared" si="162"/>
        <v>12.145924930488421</v>
      </c>
    </row>
    <row r="210" spans="27:37">
      <c r="AA210" s="180">
        <f t="shared" si="160"/>
        <v>525000000</v>
      </c>
      <c r="AB210" s="41">
        <v>625</v>
      </c>
      <c r="AC210" s="21">
        <v>20</v>
      </c>
      <c r="AD210" s="21" t="s">
        <v>283</v>
      </c>
      <c r="AE210" s="175">
        <f t="shared" si="165"/>
        <v>100</v>
      </c>
      <c r="AF210" s="21">
        <f t="shared" si="166"/>
        <v>100</v>
      </c>
      <c r="AG210" s="83">
        <v>0.79500000000000004</v>
      </c>
      <c r="AH210" s="242">
        <f t="shared" si="167"/>
        <v>7.95</v>
      </c>
      <c r="AI210" s="21">
        <v>0.13</v>
      </c>
      <c r="AJ210" s="41">
        <f t="shared" si="159"/>
        <v>10</v>
      </c>
      <c r="AK210" s="197">
        <f t="shared" si="162"/>
        <v>12.145924930488421</v>
      </c>
    </row>
    <row r="211" spans="27:37">
      <c r="AA211" s="180">
        <f t="shared" si="160"/>
        <v>546000000</v>
      </c>
      <c r="AB211" s="41">
        <v>650</v>
      </c>
      <c r="AC211" s="21">
        <v>20</v>
      </c>
      <c r="AD211" s="21" t="s">
        <v>283</v>
      </c>
      <c r="AE211" s="175">
        <f t="shared" si="165"/>
        <v>100</v>
      </c>
      <c r="AF211" s="21">
        <f t="shared" si="166"/>
        <v>100</v>
      </c>
      <c r="AG211" s="83">
        <v>0.79500000000000004</v>
      </c>
      <c r="AH211" s="242">
        <f t="shared" si="167"/>
        <v>7.95</v>
      </c>
      <c r="AI211" s="21">
        <v>0.13</v>
      </c>
      <c r="AJ211" s="41">
        <f t="shared" si="159"/>
        <v>10</v>
      </c>
      <c r="AK211" s="197">
        <f t="shared" si="162"/>
        <v>12.145924930488421</v>
      </c>
    </row>
    <row r="212" spans="27:37">
      <c r="AA212" s="180">
        <f t="shared" si="160"/>
        <v>567000000</v>
      </c>
      <c r="AB212" s="41">
        <v>675</v>
      </c>
      <c r="AC212" s="21">
        <v>20</v>
      </c>
      <c r="AD212" s="21" t="s">
        <v>283</v>
      </c>
      <c r="AE212" s="175">
        <f t="shared" si="165"/>
        <v>100</v>
      </c>
      <c r="AF212" s="21">
        <f t="shared" si="166"/>
        <v>100</v>
      </c>
      <c r="AG212" s="83">
        <v>0.79500000000000004</v>
      </c>
      <c r="AH212" s="242">
        <f t="shared" si="167"/>
        <v>7.95</v>
      </c>
      <c r="AI212" s="21">
        <v>0.13</v>
      </c>
      <c r="AJ212" s="41">
        <f t="shared" si="159"/>
        <v>10</v>
      </c>
      <c r="AK212" s="197">
        <f t="shared" si="162"/>
        <v>12.145924930488421</v>
      </c>
    </row>
    <row r="213" spans="27:37">
      <c r="AA213" s="180">
        <f t="shared" si="160"/>
        <v>588000000</v>
      </c>
      <c r="AB213" s="41">
        <v>700</v>
      </c>
      <c r="AC213" s="21">
        <v>20</v>
      </c>
      <c r="AD213" s="21" t="s">
        <v>283</v>
      </c>
      <c r="AE213" s="175">
        <f t="shared" si="165"/>
        <v>100</v>
      </c>
      <c r="AF213" s="21">
        <f t="shared" si="166"/>
        <v>100</v>
      </c>
      <c r="AG213" s="83">
        <v>0.79500000000000004</v>
      </c>
      <c r="AH213" s="242">
        <f t="shared" si="167"/>
        <v>7.95</v>
      </c>
      <c r="AI213" s="21">
        <v>0.13</v>
      </c>
      <c r="AJ213" s="41">
        <f t="shared" si="159"/>
        <v>10</v>
      </c>
      <c r="AK213" s="197">
        <f t="shared" si="162"/>
        <v>12.145924930488421</v>
      </c>
    </row>
    <row r="214" spans="27:37">
      <c r="AA214" s="180">
        <f t="shared" si="160"/>
        <v>609000000</v>
      </c>
      <c r="AB214" s="41">
        <v>725</v>
      </c>
      <c r="AC214" s="21">
        <v>20</v>
      </c>
      <c r="AD214" s="21" t="s">
        <v>283</v>
      </c>
      <c r="AE214" s="175">
        <f t="shared" si="165"/>
        <v>100</v>
      </c>
      <c r="AF214" s="21">
        <f t="shared" si="166"/>
        <v>100</v>
      </c>
      <c r="AG214" s="83">
        <v>0.79500000000000004</v>
      </c>
      <c r="AH214" s="242">
        <f t="shared" si="167"/>
        <v>7.95</v>
      </c>
      <c r="AI214" s="21">
        <v>0.13</v>
      </c>
      <c r="AJ214" s="41">
        <f t="shared" si="159"/>
        <v>10</v>
      </c>
      <c r="AK214" s="197">
        <f t="shared" si="162"/>
        <v>12.145924930488421</v>
      </c>
    </row>
    <row r="215" spans="27:37">
      <c r="AA215" s="180">
        <f t="shared" si="160"/>
        <v>630000000</v>
      </c>
      <c r="AB215" s="41">
        <v>750</v>
      </c>
      <c r="AC215" s="21">
        <v>20</v>
      </c>
      <c r="AD215" s="21" t="s">
        <v>283</v>
      </c>
      <c r="AE215" s="175">
        <f t="shared" si="165"/>
        <v>100</v>
      </c>
      <c r="AF215" s="21">
        <f t="shared" si="166"/>
        <v>100</v>
      </c>
      <c r="AG215" s="83">
        <v>0.79500000000000004</v>
      </c>
      <c r="AH215" s="242">
        <f t="shared" si="167"/>
        <v>7.95</v>
      </c>
      <c r="AI215" s="21">
        <v>0.13</v>
      </c>
      <c r="AJ215" s="41">
        <f t="shared" si="159"/>
        <v>10</v>
      </c>
      <c r="AK215" s="197">
        <f t="shared" si="162"/>
        <v>12.145924930488421</v>
      </c>
    </row>
    <row r="216" spans="27:37">
      <c r="AA216" s="180">
        <f t="shared" si="160"/>
        <v>651000000</v>
      </c>
      <c r="AB216" s="41">
        <v>775</v>
      </c>
      <c r="AC216" s="21">
        <v>20</v>
      </c>
      <c r="AD216" s="21" t="s">
        <v>283</v>
      </c>
      <c r="AE216" s="175">
        <f t="shared" si="165"/>
        <v>100</v>
      </c>
      <c r="AF216" s="21">
        <f t="shared" si="166"/>
        <v>100</v>
      </c>
      <c r="AG216" s="83">
        <v>0.79500000000000004</v>
      </c>
      <c r="AH216" s="242">
        <f t="shared" si="167"/>
        <v>7.95</v>
      </c>
      <c r="AI216" s="21">
        <v>0.13</v>
      </c>
      <c r="AJ216" s="41">
        <f t="shared" si="159"/>
        <v>10</v>
      </c>
      <c r="AK216" s="197">
        <f t="shared" si="162"/>
        <v>12.145924930488421</v>
      </c>
    </row>
    <row r="217" spans="27:37">
      <c r="AA217" s="180">
        <f t="shared" si="160"/>
        <v>672000000</v>
      </c>
      <c r="AB217" s="41">
        <v>800</v>
      </c>
      <c r="AC217" s="21">
        <v>20</v>
      </c>
      <c r="AD217" s="21" t="s">
        <v>283</v>
      </c>
      <c r="AE217" s="175">
        <f t="shared" si="165"/>
        <v>100</v>
      </c>
      <c r="AF217" s="21">
        <f t="shared" si="166"/>
        <v>100</v>
      </c>
      <c r="AG217" s="83">
        <v>0.79500000000000004</v>
      </c>
      <c r="AH217" s="242">
        <f t="shared" si="167"/>
        <v>7.95</v>
      </c>
      <c r="AI217" s="21">
        <v>0.13</v>
      </c>
      <c r="AJ217" s="41">
        <f t="shared" si="159"/>
        <v>10</v>
      </c>
      <c r="AK217" s="197">
        <f t="shared" si="162"/>
        <v>12.145924930488421</v>
      </c>
    </row>
    <row r="218" spans="27:37">
      <c r="AA218" s="180">
        <f t="shared" si="160"/>
        <v>693000000</v>
      </c>
      <c r="AB218" s="41">
        <v>825</v>
      </c>
      <c r="AC218" s="21">
        <v>20</v>
      </c>
      <c r="AD218" s="21" t="s">
        <v>283</v>
      </c>
      <c r="AE218" s="175">
        <f t="shared" si="165"/>
        <v>100</v>
      </c>
      <c r="AF218" s="21">
        <f t="shared" si="166"/>
        <v>100</v>
      </c>
      <c r="AG218" s="83">
        <v>0.79500000000000004</v>
      </c>
      <c r="AH218" s="242">
        <f t="shared" si="167"/>
        <v>7.95</v>
      </c>
      <c r="AI218" s="21">
        <v>0.13</v>
      </c>
      <c r="AJ218" s="41">
        <f t="shared" si="159"/>
        <v>10</v>
      </c>
      <c r="AK218" s="197">
        <f t="shared" si="162"/>
        <v>12.145924930488421</v>
      </c>
    </row>
    <row r="219" spans="27:37">
      <c r="AA219" s="180">
        <f t="shared" si="160"/>
        <v>714000000</v>
      </c>
      <c r="AB219" s="41">
        <v>850</v>
      </c>
      <c r="AC219" s="21">
        <v>20</v>
      </c>
      <c r="AD219" s="21" t="s">
        <v>283</v>
      </c>
      <c r="AE219" s="175">
        <f t="shared" si="165"/>
        <v>100</v>
      </c>
      <c r="AF219" s="21">
        <f t="shared" si="166"/>
        <v>100</v>
      </c>
      <c r="AG219" s="83">
        <v>0.79500000000000004</v>
      </c>
      <c r="AH219" s="242">
        <f t="shared" si="167"/>
        <v>7.95</v>
      </c>
      <c r="AI219" s="21">
        <v>0.13</v>
      </c>
      <c r="AJ219" s="41">
        <f t="shared" si="159"/>
        <v>10</v>
      </c>
      <c r="AK219" s="197">
        <f t="shared" si="162"/>
        <v>12.145924930488421</v>
      </c>
    </row>
    <row r="220" spans="27:37">
      <c r="AA220" s="180">
        <f t="shared" si="160"/>
        <v>735000000</v>
      </c>
      <c r="AB220" s="41">
        <v>875</v>
      </c>
      <c r="AC220" s="21">
        <v>20</v>
      </c>
      <c r="AD220" s="21" t="s">
        <v>283</v>
      </c>
      <c r="AE220" s="175">
        <f t="shared" si="165"/>
        <v>100</v>
      </c>
      <c r="AF220" s="21">
        <f t="shared" si="166"/>
        <v>100</v>
      </c>
      <c r="AG220" s="83">
        <v>0.79500000000000004</v>
      </c>
      <c r="AH220" s="242">
        <f t="shared" si="167"/>
        <v>7.95</v>
      </c>
      <c r="AI220" s="21">
        <v>0.13</v>
      </c>
      <c r="AJ220" s="41">
        <f t="shared" si="159"/>
        <v>10</v>
      </c>
      <c r="AK220" s="197">
        <f t="shared" si="162"/>
        <v>12.145924930488421</v>
      </c>
    </row>
    <row r="221" spans="27:37">
      <c r="AA221" s="180">
        <f t="shared" si="160"/>
        <v>756000000</v>
      </c>
      <c r="AB221" s="41">
        <v>900</v>
      </c>
      <c r="AC221" s="21">
        <v>20</v>
      </c>
      <c r="AD221" s="21" t="s">
        <v>283</v>
      </c>
      <c r="AE221" s="175">
        <f t="shared" si="165"/>
        <v>100</v>
      </c>
      <c r="AF221" s="21">
        <f t="shared" si="166"/>
        <v>100</v>
      </c>
      <c r="AG221" s="83">
        <v>0.79500000000000004</v>
      </c>
      <c r="AH221" s="242">
        <f t="shared" si="167"/>
        <v>7.95</v>
      </c>
      <c r="AI221" s="21">
        <v>0.13</v>
      </c>
      <c r="AJ221" s="41">
        <f t="shared" si="159"/>
        <v>10</v>
      </c>
      <c r="AK221" s="197">
        <f t="shared" si="162"/>
        <v>12.145924930488421</v>
      </c>
    </row>
    <row r="222" spans="27:37">
      <c r="AA222" s="180">
        <f t="shared" si="160"/>
        <v>777000000</v>
      </c>
      <c r="AB222" s="41">
        <v>925</v>
      </c>
      <c r="AC222" s="21">
        <v>20</v>
      </c>
      <c r="AD222" s="21" t="s">
        <v>283</v>
      </c>
      <c r="AE222" s="175">
        <f t="shared" si="165"/>
        <v>100</v>
      </c>
      <c r="AF222" s="21">
        <f t="shared" si="166"/>
        <v>100</v>
      </c>
      <c r="AG222" s="83">
        <v>0.79500000000000004</v>
      </c>
      <c r="AH222" s="242">
        <f t="shared" si="167"/>
        <v>7.95</v>
      </c>
      <c r="AI222" s="21">
        <v>0.13</v>
      </c>
      <c r="AJ222" s="41">
        <f t="shared" si="159"/>
        <v>10</v>
      </c>
      <c r="AK222" s="197">
        <f t="shared" si="162"/>
        <v>12.145924930488421</v>
      </c>
    </row>
    <row r="223" spans="27:37">
      <c r="AA223" s="180">
        <f t="shared" si="160"/>
        <v>798000000</v>
      </c>
      <c r="AB223" s="41">
        <v>950</v>
      </c>
      <c r="AC223" s="21">
        <v>20</v>
      </c>
      <c r="AD223" s="21" t="s">
        <v>283</v>
      </c>
      <c r="AE223" s="175">
        <f t="shared" si="165"/>
        <v>100</v>
      </c>
      <c r="AF223" s="21">
        <f t="shared" si="166"/>
        <v>100</v>
      </c>
      <c r="AG223" s="83">
        <v>0.79500000000000004</v>
      </c>
      <c r="AH223" s="242">
        <f t="shared" si="167"/>
        <v>7.95</v>
      </c>
      <c r="AI223" s="21">
        <v>0.13</v>
      </c>
      <c r="AJ223" s="41">
        <f t="shared" si="159"/>
        <v>10</v>
      </c>
      <c r="AK223" s="197">
        <f t="shared" si="162"/>
        <v>12.145924930488421</v>
      </c>
    </row>
    <row r="224" spans="27:37">
      <c r="AA224" s="180">
        <f t="shared" si="160"/>
        <v>819000000</v>
      </c>
      <c r="AB224" s="41">
        <v>975</v>
      </c>
      <c r="AC224" s="21">
        <v>20</v>
      </c>
      <c r="AD224" s="21" t="s">
        <v>283</v>
      </c>
      <c r="AE224" s="175">
        <f t="shared" si="165"/>
        <v>100</v>
      </c>
      <c r="AF224" s="21">
        <f t="shared" si="166"/>
        <v>100</v>
      </c>
      <c r="AG224" s="83">
        <v>0.79500000000000004</v>
      </c>
      <c r="AH224" s="242">
        <f t="shared" si="167"/>
        <v>7.95</v>
      </c>
      <c r="AI224" s="21">
        <v>0.13</v>
      </c>
      <c r="AJ224" s="41">
        <f t="shared" si="159"/>
        <v>10</v>
      </c>
      <c r="AK224" s="197">
        <f t="shared" si="162"/>
        <v>12.145924930488421</v>
      </c>
    </row>
    <row r="225" spans="27:59">
      <c r="AA225" s="180">
        <f t="shared" si="160"/>
        <v>840000000</v>
      </c>
      <c r="AB225" s="41">
        <v>1000</v>
      </c>
      <c r="AC225" s="21">
        <v>20</v>
      </c>
      <c r="AD225" s="21" t="s">
        <v>283</v>
      </c>
      <c r="AE225" s="175">
        <f t="shared" si="165"/>
        <v>100</v>
      </c>
      <c r="AF225" s="21">
        <f t="shared" si="166"/>
        <v>100</v>
      </c>
      <c r="AG225" s="83">
        <v>0.79500000000000004</v>
      </c>
      <c r="AH225" s="242">
        <f t="shared" si="167"/>
        <v>7.95</v>
      </c>
      <c r="AI225" s="21">
        <v>0.13</v>
      </c>
      <c r="AJ225" s="41">
        <f t="shared" si="159"/>
        <v>10</v>
      </c>
      <c r="AK225" s="197">
        <f t="shared" si="162"/>
        <v>12.145924930488421</v>
      </c>
    </row>
    <row r="226" spans="27:59">
      <c r="AA226" s="180">
        <f t="shared" si="160"/>
        <v>861000000</v>
      </c>
      <c r="AB226" s="41">
        <v>1025</v>
      </c>
      <c r="AC226" s="21">
        <v>20</v>
      </c>
      <c r="AD226" s="21" t="s">
        <v>283</v>
      </c>
      <c r="AE226" s="175">
        <f t="shared" si="165"/>
        <v>100</v>
      </c>
      <c r="AF226" s="21">
        <f t="shared" si="166"/>
        <v>100</v>
      </c>
      <c r="AG226" s="83">
        <v>0.79500000000000004</v>
      </c>
      <c r="AH226" s="242">
        <f t="shared" si="167"/>
        <v>7.95</v>
      </c>
      <c r="AI226" s="21">
        <v>0.13</v>
      </c>
      <c r="AJ226" s="41">
        <f t="shared" si="159"/>
        <v>10</v>
      </c>
      <c r="AK226" s="197">
        <f t="shared" si="162"/>
        <v>12.145924930488421</v>
      </c>
    </row>
    <row r="227" spans="27:59">
      <c r="AA227" s="180">
        <f t="shared" si="160"/>
        <v>882000000</v>
      </c>
      <c r="AB227" s="41">
        <v>1050</v>
      </c>
      <c r="AC227" s="21">
        <v>20</v>
      </c>
      <c r="AD227" s="21" t="s">
        <v>283</v>
      </c>
      <c r="AE227" s="175">
        <f t="shared" si="165"/>
        <v>100</v>
      </c>
      <c r="AF227" s="21">
        <f t="shared" si="166"/>
        <v>100</v>
      </c>
      <c r="AG227" s="83">
        <v>0.79500000000000004</v>
      </c>
      <c r="AH227" s="242">
        <f t="shared" si="167"/>
        <v>7.95</v>
      </c>
      <c r="AI227" s="21">
        <v>0.13</v>
      </c>
      <c r="AJ227" s="41">
        <f t="shared" si="159"/>
        <v>10</v>
      </c>
      <c r="AK227" s="197">
        <f t="shared" si="162"/>
        <v>12.145924930488421</v>
      </c>
    </row>
    <row r="228" spans="27:59">
      <c r="AA228" s="180">
        <f t="shared" si="160"/>
        <v>903000000</v>
      </c>
      <c r="AB228" s="41">
        <v>1075</v>
      </c>
      <c r="AC228" s="21">
        <v>20</v>
      </c>
      <c r="AD228" s="21" t="s">
        <v>283</v>
      </c>
      <c r="AE228" s="175">
        <f t="shared" si="165"/>
        <v>100</v>
      </c>
      <c r="AF228" s="21">
        <f t="shared" si="166"/>
        <v>100</v>
      </c>
      <c r="AG228" s="83">
        <v>0.79500000000000004</v>
      </c>
      <c r="AH228" s="242">
        <f t="shared" si="167"/>
        <v>7.95</v>
      </c>
      <c r="AI228" s="21">
        <v>0.13</v>
      </c>
      <c r="AJ228" s="41">
        <f t="shared" si="159"/>
        <v>10</v>
      </c>
      <c r="AK228" s="197">
        <f t="shared" si="162"/>
        <v>12.145924930488421</v>
      </c>
    </row>
    <row r="229" spans="27:59">
      <c r="AA229" s="180">
        <f t="shared" si="160"/>
        <v>924000000</v>
      </c>
      <c r="AB229" s="41">
        <v>1100</v>
      </c>
      <c r="AC229" s="21">
        <v>20</v>
      </c>
      <c r="AD229" s="21" t="s">
        <v>283</v>
      </c>
      <c r="AE229" s="175">
        <f t="shared" si="165"/>
        <v>100</v>
      </c>
      <c r="AF229" s="21">
        <f t="shared" si="166"/>
        <v>100</v>
      </c>
      <c r="AG229" s="83">
        <v>0.79500000000000004</v>
      </c>
      <c r="AH229" s="242">
        <f t="shared" si="167"/>
        <v>7.95</v>
      </c>
      <c r="AI229" s="21">
        <v>0.13</v>
      </c>
      <c r="AJ229" s="41">
        <f t="shared" si="159"/>
        <v>10</v>
      </c>
      <c r="AK229" s="197">
        <f t="shared" si="162"/>
        <v>12.145924930488421</v>
      </c>
    </row>
    <row r="230" spans="27:59">
      <c r="AA230" s="180">
        <f t="shared" si="160"/>
        <v>945000000</v>
      </c>
      <c r="AB230" s="41">
        <v>1125</v>
      </c>
      <c r="AC230" s="21">
        <v>20</v>
      </c>
      <c r="AD230" s="21" t="s">
        <v>283</v>
      </c>
      <c r="AE230" s="175">
        <f t="shared" si="165"/>
        <v>100</v>
      </c>
      <c r="AF230" s="21">
        <f t="shared" si="166"/>
        <v>100</v>
      </c>
      <c r="AG230" s="83">
        <v>0.79500000000000004</v>
      </c>
      <c r="AH230" s="242">
        <f t="shared" si="167"/>
        <v>7.95</v>
      </c>
      <c r="AI230" s="21">
        <v>0.13</v>
      </c>
      <c r="AJ230" s="41">
        <f t="shared" si="159"/>
        <v>10</v>
      </c>
      <c r="AK230" s="197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80">
        <f t="shared" si="160"/>
        <v>966000000</v>
      </c>
      <c r="AB231" s="41">
        <v>1150</v>
      </c>
      <c r="AC231" s="21">
        <v>20</v>
      </c>
      <c r="AD231" s="21" t="s">
        <v>283</v>
      </c>
      <c r="AE231" s="175">
        <f t="shared" si="165"/>
        <v>100</v>
      </c>
      <c r="AF231" s="21">
        <f t="shared" si="166"/>
        <v>100</v>
      </c>
      <c r="AG231" s="83">
        <v>0.79500000000000004</v>
      </c>
      <c r="AH231" s="242">
        <f t="shared" si="167"/>
        <v>7.95</v>
      </c>
      <c r="AI231" s="21">
        <v>0.13</v>
      </c>
      <c r="AJ231" s="41">
        <f t="shared" si="159"/>
        <v>10</v>
      </c>
      <c r="AK231" s="197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80">
        <f t="shared" si="160"/>
        <v>987000000</v>
      </c>
      <c r="AB232" s="41">
        <v>1175</v>
      </c>
      <c r="AC232" s="21">
        <v>20</v>
      </c>
      <c r="AD232" s="21" t="s">
        <v>283</v>
      </c>
      <c r="AE232" s="175">
        <f t="shared" si="165"/>
        <v>100</v>
      </c>
      <c r="AF232" s="21">
        <f t="shared" si="166"/>
        <v>100</v>
      </c>
      <c r="AG232" s="83">
        <v>0.79500000000000004</v>
      </c>
      <c r="AH232" s="242">
        <f t="shared" si="167"/>
        <v>7.95</v>
      </c>
      <c r="AI232" s="21">
        <v>0.13</v>
      </c>
      <c r="AJ232" s="41">
        <f t="shared" si="159"/>
        <v>10</v>
      </c>
      <c r="AK232" s="197">
        <f t="shared" si="162"/>
        <v>12.145924930488421</v>
      </c>
    </row>
    <row r="233" spans="27:59">
      <c r="AA233" s="180">
        <f t="shared" si="160"/>
        <v>1008000000</v>
      </c>
      <c r="AB233" s="41">
        <v>1200</v>
      </c>
      <c r="AC233" s="21">
        <v>20</v>
      </c>
      <c r="AD233" s="21" t="s">
        <v>283</v>
      </c>
      <c r="AE233" s="175">
        <f t="shared" si="165"/>
        <v>100</v>
      </c>
      <c r="AF233" s="21">
        <f t="shared" si="166"/>
        <v>100</v>
      </c>
      <c r="AG233" s="83">
        <v>0.79500000000000004</v>
      </c>
      <c r="AH233" s="242">
        <f t="shared" si="167"/>
        <v>7.95</v>
      </c>
      <c r="AI233" s="21">
        <v>0.13</v>
      </c>
      <c r="AJ233" s="41">
        <f t="shared" si="159"/>
        <v>10</v>
      </c>
      <c r="AK233" s="197">
        <f t="shared" si="162"/>
        <v>12.145924930488421</v>
      </c>
    </row>
    <row r="234" spans="27:59">
      <c r="AA234" s="180">
        <f t="shared" si="160"/>
        <v>1029000000</v>
      </c>
      <c r="AB234" s="41">
        <v>1225</v>
      </c>
      <c r="AC234" s="21">
        <v>20</v>
      </c>
      <c r="AD234" s="21" t="s">
        <v>283</v>
      </c>
      <c r="AE234" s="175">
        <f t="shared" si="165"/>
        <v>100</v>
      </c>
      <c r="AF234" s="21">
        <f t="shared" si="166"/>
        <v>100</v>
      </c>
      <c r="AG234" s="83">
        <v>0.79500000000000004</v>
      </c>
      <c r="AH234" s="242">
        <f t="shared" si="167"/>
        <v>7.95</v>
      </c>
      <c r="AI234" s="21">
        <v>0.13</v>
      </c>
      <c r="AJ234" s="41">
        <f t="shared" si="159"/>
        <v>10</v>
      </c>
      <c r="AK234" s="197">
        <f t="shared" si="162"/>
        <v>12.145924930488421</v>
      </c>
    </row>
    <row r="235" spans="27:59">
      <c r="AA235" s="180">
        <f t="shared" si="160"/>
        <v>1050000000</v>
      </c>
      <c r="AB235" s="41">
        <v>1250</v>
      </c>
      <c r="AC235" s="21">
        <v>20</v>
      </c>
      <c r="AD235" s="21" t="s">
        <v>283</v>
      </c>
      <c r="AE235" s="175">
        <f t="shared" si="165"/>
        <v>100</v>
      </c>
      <c r="AF235" s="21">
        <f t="shared" si="166"/>
        <v>100</v>
      </c>
      <c r="AG235" s="83">
        <v>0.79500000000000004</v>
      </c>
      <c r="AH235" s="242">
        <f t="shared" si="167"/>
        <v>7.95</v>
      </c>
      <c r="AI235" s="21">
        <v>0.13</v>
      </c>
      <c r="AJ235" s="41">
        <f t="shared" si="159"/>
        <v>10</v>
      </c>
      <c r="AK235" s="197">
        <f t="shared" si="162"/>
        <v>12.145924930488421</v>
      </c>
    </row>
    <row r="236" spans="27:59">
      <c r="AA236" s="180">
        <f t="shared" si="160"/>
        <v>1071000000</v>
      </c>
      <c r="AB236" s="41">
        <v>1275</v>
      </c>
      <c r="AC236" s="21">
        <v>20</v>
      </c>
      <c r="AD236" s="21" t="s">
        <v>283</v>
      </c>
      <c r="AE236" s="175">
        <f t="shared" si="165"/>
        <v>100</v>
      </c>
      <c r="AF236" s="21">
        <f t="shared" si="166"/>
        <v>100</v>
      </c>
      <c r="AG236" s="83">
        <v>0.79500000000000004</v>
      </c>
      <c r="AH236" s="242">
        <f t="shared" si="167"/>
        <v>7.95</v>
      </c>
      <c r="AI236" s="21">
        <v>0.13</v>
      </c>
      <c r="AJ236" s="41">
        <f t="shared" si="159"/>
        <v>10</v>
      </c>
      <c r="AK236" s="197">
        <f t="shared" si="162"/>
        <v>12.145924930488421</v>
      </c>
    </row>
    <row r="237" spans="27:59">
      <c r="AA237" s="180">
        <f t="shared" si="160"/>
        <v>1092000000</v>
      </c>
      <c r="AB237" s="41">
        <v>1300</v>
      </c>
      <c r="AC237" s="21">
        <v>20</v>
      </c>
      <c r="AD237" s="21" t="s">
        <v>283</v>
      </c>
      <c r="AE237" s="175">
        <f t="shared" si="165"/>
        <v>100</v>
      </c>
      <c r="AF237" s="21">
        <f t="shared" si="166"/>
        <v>100</v>
      </c>
      <c r="AG237" s="83">
        <v>0.79500000000000004</v>
      </c>
      <c r="AH237" s="242">
        <f t="shared" si="167"/>
        <v>7.95</v>
      </c>
      <c r="AI237" s="21">
        <v>0.13</v>
      </c>
      <c r="AJ237" s="41">
        <f t="shared" si="159"/>
        <v>10</v>
      </c>
      <c r="AK237" s="197">
        <f t="shared" si="162"/>
        <v>12.145924930488421</v>
      </c>
    </row>
    <row r="238" spans="27:59">
      <c r="AA238" s="180">
        <f t="shared" si="160"/>
        <v>1113000000</v>
      </c>
      <c r="AB238" s="41">
        <v>1325</v>
      </c>
      <c r="AC238" s="21">
        <v>20</v>
      </c>
      <c r="AD238" s="21" t="s">
        <v>283</v>
      </c>
      <c r="AE238" s="175">
        <f t="shared" si="165"/>
        <v>100</v>
      </c>
      <c r="AF238" s="21">
        <f t="shared" si="166"/>
        <v>100</v>
      </c>
      <c r="AG238" s="83">
        <v>0.79500000000000004</v>
      </c>
      <c r="AH238" s="242">
        <f t="shared" si="167"/>
        <v>7.95</v>
      </c>
      <c r="AI238" s="21">
        <v>0.13</v>
      </c>
      <c r="AJ238" s="41">
        <f t="shared" si="159"/>
        <v>10</v>
      </c>
      <c r="AK238" s="197">
        <f t="shared" si="162"/>
        <v>12.145924930488421</v>
      </c>
    </row>
    <row r="239" spans="27:59">
      <c r="AA239" s="180">
        <f t="shared" si="160"/>
        <v>1134000000</v>
      </c>
      <c r="AB239" s="41">
        <v>1350</v>
      </c>
      <c r="AC239" s="21">
        <v>20</v>
      </c>
      <c r="AD239" s="21" t="s">
        <v>283</v>
      </c>
      <c r="AE239" s="175">
        <f t="shared" si="165"/>
        <v>100</v>
      </c>
      <c r="AF239" s="21">
        <f t="shared" si="166"/>
        <v>100</v>
      </c>
      <c r="AG239" s="83">
        <v>0.79500000000000004</v>
      </c>
      <c r="AH239" s="242">
        <f t="shared" si="167"/>
        <v>7.95</v>
      </c>
      <c r="AI239" s="21">
        <v>0.13</v>
      </c>
      <c r="AJ239" s="41">
        <f t="shared" si="159"/>
        <v>10</v>
      </c>
      <c r="AK239" s="197">
        <f t="shared" si="162"/>
        <v>12.145924930488421</v>
      </c>
    </row>
    <row r="240" spans="27:59">
      <c r="AA240" s="180">
        <f t="shared" si="160"/>
        <v>1155000000</v>
      </c>
      <c r="AB240" s="41">
        <v>1375</v>
      </c>
      <c r="AC240" s="21">
        <v>20</v>
      </c>
      <c r="AD240" s="21" t="s">
        <v>283</v>
      </c>
      <c r="AE240" s="175">
        <f t="shared" si="165"/>
        <v>100</v>
      </c>
      <c r="AF240" s="21">
        <f t="shared" si="166"/>
        <v>100</v>
      </c>
      <c r="AG240" s="83">
        <v>0.79500000000000004</v>
      </c>
      <c r="AH240" s="242">
        <f t="shared" si="167"/>
        <v>7.95</v>
      </c>
      <c r="AI240" s="21">
        <v>0.13</v>
      </c>
      <c r="AJ240" s="41">
        <f t="shared" si="159"/>
        <v>10</v>
      </c>
      <c r="AK240" s="197">
        <f t="shared" si="162"/>
        <v>12.145924930488421</v>
      </c>
    </row>
    <row r="241" spans="27:59">
      <c r="AA241" s="180">
        <f t="shared" si="160"/>
        <v>1176000000</v>
      </c>
      <c r="AB241" s="41">
        <v>1400</v>
      </c>
      <c r="AC241" s="21">
        <v>20</v>
      </c>
      <c r="AD241" s="21" t="s">
        <v>283</v>
      </c>
      <c r="AE241" s="175">
        <f t="shared" si="165"/>
        <v>100</v>
      </c>
      <c r="AF241" s="21">
        <f t="shared" si="166"/>
        <v>100</v>
      </c>
      <c r="AG241" s="83">
        <v>0.79500000000000004</v>
      </c>
      <c r="AH241" s="242">
        <f t="shared" si="167"/>
        <v>7.95</v>
      </c>
      <c r="AI241" s="21">
        <v>0.13</v>
      </c>
      <c r="AJ241" s="41">
        <f t="shared" si="159"/>
        <v>10</v>
      </c>
      <c r="AK241" s="197">
        <f t="shared" si="162"/>
        <v>12.145924930488421</v>
      </c>
    </row>
    <row r="242" spans="27:59">
      <c r="AA242" s="180">
        <f t="shared" si="160"/>
        <v>1197000000</v>
      </c>
      <c r="AB242" s="41">
        <v>1425</v>
      </c>
      <c r="AC242" s="21">
        <v>20</v>
      </c>
      <c r="AD242" s="21" t="s">
        <v>283</v>
      </c>
      <c r="AE242" s="175">
        <f t="shared" si="165"/>
        <v>100</v>
      </c>
      <c r="AF242" s="21">
        <f t="shared" si="166"/>
        <v>100</v>
      </c>
      <c r="AG242" s="83">
        <v>0.79500000000000004</v>
      </c>
      <c r="AH242" s="242">
        <f t="shared" si="167"/>
        <v>7.95</v>
      </c>
      <c r="AI242" s="21">
        <v>0.13</v>
      </c>
      <c r="AJ242" s="41">
        <f t="shared" si="159"/>
        <v>10</v>
      </c>
      <c r="AK242" s="197">
        <f t="shared" si="162"/>
        <v>12.145924930488421</v>
      </c>
    </row>
    <row r="243" spans="27:59">
      <c r="AA243" s="180">
        <f t="shared" si="160"/>
        <v>1218000000</v>
      </c>
      <c r="AB243" s="41">
        <v>1450</v>
      </c>
      <c r="AC243" s="21">
        <v>20</v>
      </c>
      <c r="AD243" s="21" t="s">
        <v>283</v>
      </c>
      <c r="AE243" s="175">
        <f t="shared" si="165"/>
        <v>100</v>
      </c>
      <c r="AF243" s="21">
        <f t="shared" si="166"/>
        <v>100</v>
      </c>
      <c r="AG243" s="83">
        <v>0.79500000000000004</v>
      </c>
      <c r="AH243" s="242">
        <f t="shared" si="167"/>
        <v>7.95</v>
      </c>
      <c r="AI243" s="21">
        <v>0.13</v>
      </c>
      <c r="AJ243" s="41">
        <f t="shared" si="159"/>
        <v>10</v>
      </c>
      <c r="AK243" s="197">
        <f t="shared" si="162"/>
        <v>12.145924930488421</v>
      </c>
    </row>
    <row r="244" spans="27:59">
      <c r="AA244" s="180">
        <f t="shared" si="160"/>
        <v>1239000000</v>
      </c>
      <c r="AB244" s="41">
        <v>1475</v>
      </c>
      <c r="AC244" s="21">
        <v>20</v>
      </c>
      <c r="AD244" s="21" t="s">
        <v>283</v>
      </c>
      <c r="AE244" s="175">
        <f t="shared" si="165"/>
        <v>100</v>
      </c>
      <c r="AF244" s="21">
        <f t="shared" si="166"/>
        <v>100</v>
      </c>
      <c r="AG244" s="83">
        <v>0.79500000000000004</v>
      </c>
      <c r="AH244" s="242">
        <f t="shared" si="167"/>
        <v>7.95</v>
      </c>
      <c r="AI244" s="21">
        <v>0.13</v>
      </c>
      <c r="AJ244" s="41">
        <f t="shared" si="159"/>
        <v>10</v>
      </c>
      <c r="AK244" s="197">
        <f t="shared" si="162"/>
        <v>12.145924930488421</v>
      </c>
    </row>
    <row r="245" spans="27:59">
      <c r="AA245" s="180">
        <f t="shared" si="160"/>
        <v>1260000000</v>
      </c>
      <c r="AB245" s="41">
        <v>1500</v>
      </c>
      <c r="AC245" s="21">
        <v>20</v>
      </c>
      <c r="AD245" s="21" t="s">
        <v>283</v>
      </c>
      <c r="AE245" s="175">
        <f t="shared" si="165"/>
        <v>100</v>
      </c>
      <c r="AF245" s="21">
        <f t="shared" si="166"/>
        <v>100</v>
      </c>
      <c r="AG245" s="83">
        <v>0.79500000000000004</v>
      </c>
      <c r="AH245" s="242">
        <f t="shared" si="167"/>
        <v>7.95</v>
      </c>
      <c r="AI245" s="21">
        <v>0.13</v>
      </c>
      <c r="AJ245" s="41">
        <f t="shared" si="159"/>
        <v>10</v>
      </c>
      <c r="AK245" s="197">
        <f t="shared" si="162"/>
        <v>12.145924930488421</v>
      </c>
    </row>
    <row r="246" spans="27:59">
      <c r="AA246" s="180">
        <f t="shared" si="160"/>
        <v>1281000000</v>
      </c>
      <c r="AB246" s="41">
        <v>1525</v>
      </c>
      <c r="AC246" s="21">
        <v>20</v>
      </c>
      <c r="AD246" s="21" t="s">
        <v>283</v>
      </c>
      <c r="AE246" s="175">
        <f t="shared" si="165"/>
        <v>100</v>
      </c>
      <c r="AF246" s="21">
        <f t="shared" si="166"/>
        <v>100</v>
      </c>
      <c r="AG246" s="83">
        <v>0.79500000000000004</v>
      </c>
      <c r="AH246" s="242">
        <f t="shared" si="167"/>
        <v>7.95</v>
      </c>
      <c r="AI246" s="21">
        <v>0.13</v>
      </c>
      <c r="AJ246" s="41">
        <f t="shared" si="159"/>
        <v>10</v>
      </c>
      <c r="AK246" s="197">
        <f t="shared" si="162"/>
        <v>12.145924930488421</v>
      </c>
    </row>
    <row r="247" spans="27:59">
      <c r="AA247" s="180">
        <f t="shared" si="160"/>
        <v>1302000000</v>
      </c>
      <c r="AB247" s="41">
        <v>1550</v>
      </c>
      <c r="AC247" s="21">
        <v>20</v>
      </c>
      <c r="AD247" s="21" t="s">
        <v>283</v>
      </c>
      <c r="AE247" s="175">
        <f t="shared" si="165"/>
        <v>100</v>
      </c>
      <c r="AF247" s="21">
        <f t="shared" si="166"/>
        <v>100</v>
      </c>
      <c r="AG247" s="83">
        <v>0.79500000000000004</v>
      </c>
      <c r="AH247" s="242">
        <f t="shared" si="167"/>
        <v>7.95</v>
      </c>
      <c r="AI247" s="21">
        <v>0.13</v>
      </c>
      <c r="AJ247" s="41">
        <f t="shared" si="159"/>
        <v>10</v>
      </c>
      <c r="AK247" s="197">
        <f t="shared" si="162"/>
        <v>12.145924930488421</v>
      </c>
    </row>
    <row r="248" spans="27:59">
      <c r="AA248" s="180">
        <f t="shared" si="160"/>
        <v>1323000000</v>
      </c>
      <c r="AB248" s="41">
        <v>1575</v>
      </c>
      <c r="AC248" s="21">
        <v>20</v>
      </c>
      <c r="AD248" s="21" t="s">
        <v>283</v>
      </c>
      <c r="AE248" s="175">
        <f t="shared" si="165"/>
        <v>100</v>
      </c>
      <c r="AF248" s="21">
        <f t="shared" si="166"/>
        <v>100</v>
      </c>
      <c r="AG248" s="83">
        <v>0.79500000000000004</v>
      </c>
      <c r="AH248" s="242">
        <f t="shared" si="167"/>
        <v>7.95</v>
      </c>
      <c r="AI248" s="21">
        <v>0.13</v>
      </c>
      <c r="AJ248" s="41">
        <f t="shared" si="159"/>
        <v>10</v>
      </c>
      <c r="AK248" s="197">
        <f t="shared" si="162"/>
        <v>12.145924930488421</v>
      </c>
    </row>
    <row r="249" spans="27:59">
      <c r="AA249" s="180">
        <f t="shared" si="160"/>
        <v>1344000000</v>
      </c>
      <c r="AB249" s="41">
        <v>1600</v>
      </c>
      <c r="AC249" s="21">
        <v>20</v>
      </c>
      <c r="AD249" s="21" t="s">
        <v>283</v>
      </c>
      <c r="AE249" s="175">
        <f t="shared" si="165"/>
        <v>100</v>
      </c>
      <c r="AF249" s="21">
        <f t="shared" si="166"/>
        <v>100</v>
      </c>
      <c r="AG249" s="83">
        <v>0.79500000000000004</v>
      </c>
      <c r="AH249" s="242">
        <f t="shared" si="167"/>
        <v>7.95</v>
      </c>
      <c r="AI249" s="21">
        <v>0.13</v>
      </c>
      <c r="AJ249" s="41">
        <f t="shared" si="159"/>
        <v>10</v>
      </c>
      <c r="AK249" s="197">
        <f t="shared" si="162"/>
        <v>12.145924930488421</v>
      </c>
    </row>
    <row r="250" spans="27:59">
      <c r="AA250" s="180">
        <f t="shared" si="160"/>
        <v>1365000000</v>
      </c>
      <c r="AB250" s="41">
        <v>1625</v>
      </c>
      <c r="AC250" s="21">
        <v>20</v>
      </c>
      <c r="AD250" s="21" t="s">
        <v>283</v>
      </c>
      <c r="AE250" s="175">
        <f t="shared" si="165"/>
        <v>100</v>
      </c>
      <c r="AF250" s="21">
        <f t="shared" si="166"/>
        <v>100</v>
      </c>
      <c r="AG250" s="83">
        <v>0.79500000000000004</v>
      </c>
      <c r="AH250" s="242">
        <f t="shared" si="167"/>
        <v>7.95</v>
      </c>
      <c r="AI250" s="21">
        <v>0.13</v>
      </c>
      <c r="AJ250" s="41">
        <f t="shared" ref="AJ250:AJ313" si="168">$B$8</f>
        <v>10</v>
      </c>
      <c r="AK250" s="197">
        <f t="shared" si="162"/>
        <v>12.145924930488421</v>
      </c>
    </row>
    <row r="251" spans="27:59">
      <c r="AA251" s="180">
        <f t="shared" ref="AA251:AA314" si="169">AA69</f>
        <v>1386000000</v>
      </c>
      <c r="AB251" s="41">
        <v>1650</v>
      </c>
      <c r="AC251" s="21">
        <v>20</v>
      </c>
      <c r="AD251" s="21" t="s">
        <v>283</v>
      </c>
      <c r="AE251" s="175">
        <f t="shared" si="165"/>
        <v>100</v>
      </c>
      <c r="AF251" s="21">
        <f t="shared" si="166"/>
        <v>100</v>
      </c>
      <c r="AG251" s="83">
        <v>0.79500000000000004</v>
      </c>
      <c r="AH251" s="242">
        <f t="shared" si="167"/>
        <v>7.95</v>
      </c>
      <c r="AI251" s="21">
        <v>0.13</v>
      </c>
      <c r="AJ251" s="41">
        <f t="shared" si="168"/>
        <v>10</v>
      </c>
      <c r="AK251" s="197">
        <f t="shared" ref="AK251:AK307" si="170">(AB251-AB250)*$D$50</f>
        <v>12.145924930488421</v>
      </c>
    </row>
    <row r="252" spans="27:59">
      <c r="AA252" s="180">
        <f t="shared" si="169"/>
        <v>1407000000</v>
      </c>
      <c r="AB252" s="41">
        <v>1675</v>
      </c>
      <c r="AC252" s="21">
        <v>20</v>
      </c>
      <c r="AD252" s="21" t="s">
        <v>283</v>
      </c>
      <c r="AE252" s="175">
        <f t="shared" si="165"/>
        <v>100</v>
      </c>
      <c r="AF252" s="21">
        <f t="shared" si="166"/>
        <v>100</v>
      </c>
      <c r="AG252" s="83">
        <v>0.79500000000000004</v>
      </c>
      <c r="AH252" s="242">
        <f t="shared" si="167"/>
        <v>7.95</v>
      </c>
      <c r="AI252" s="21">
        <v>0.13</v>
      </c>
      <c r="AJ252" s="41">
        <f t="shared" si="168"/>
        <v>10</v>
      </c>
      <c r="AK252" s="197">
        <f t="shared" si="170"/>
        <v>12.145924930488421</v>
      </c>
    </row>
    <row r="253" spans="27:59">
      <c r="AA253" s="180">
        <f t="shared" si="169"/>
        <v>1428000000</v>
      </c>
      <c r="AB253" s="41">
        <v>1700</v>
      </c>
      <c r="AC253" s="21">
        <v>20</v>
      </c>
      <c r="AD253" s="21" t="s">
        <v>283</v>
      </c>
      <c r="AE253" s="175">
        <f t="shared" si="165"/>
        <v>100</v>
      </c>
      <c r="AF253" s="21">
        <f t="shared" si="166"/>
        <v>100</v>
      </c>
      <c r="AG253" s="83">
        <v>0.79500000000000004</v>
      </c>
      <c r="AH253" s="242">
        <f t="shared" si="167"/>
        <v>7.95</v>
      </c>
      <c r="AI253" s="21">
        <v>0.13</v>
      </c>
      <c r="AJ253" s="41">
        <f t="shared" si="168"/>
        <v>10</v>
      </c>
      <c r="AK253" s="197">
        <f t="shared" si="170"/>
        <v>12.145924930488421</v>
      </c>
    </row>
    <row r="254" spans="27:59">
      <c r="AA254" s="180">
        <f t="shared" si="169"/>
        <v>1449000000</v>
      </c>
      <c r="AB254" s="41">
        <v>1725</v>
      </c>
      <c r="AC254" s="21">
        <v>20</v>
      </c>
      <c r="AD254" s="21" t="s">
        <v>283</v>
      </c>
      <c r="AE254" s="175">
        <f t="shared" si="165"/>
        <v>100</v>
      </c>
      <c r="AF254" s="21">
        <f t="shared" si="166"/>
        <v>100</v>
      </c>
      <c r="AG254" s="83">
        <v>0.79500000000000004</v>
      </c>
      <c r="AH254" s="242">
        <f t="shared" si="167"/>
        <v>7.95</v>
      </c>
      <c r="AI254" s="21">
        <v>0.13</v>
      </c>
      <c r="AJ254" s="41">
        <f t="shared" si="168"/>
        <v>10</v>
      </c>
      <c r="AK254" s="197">
        <f t="shared" si="170"/>
        <v>12.145924930488421</v>
      </c>
    </row>
    <row r="255" spans="27:59">
      <c r="AA255" s="180">
        <f t="shared" si="169"/>
        <v>1470000000</v>
      </c>
      <c r="AB255" s="41">
        <v>1750</v>
      </c>
      <c r="AC255" s="21">
        <v>20</v>
      </c>
      <c r="AD255" s="21" t="s">
        <v>283</v>
      </c>
      <c r="AE255" s="175">
        <f t="shared" si="165"/>
        <v>100</v>
      </c>
      <c r="AF255" s="21">
        <f t="shared" si="166"/>
        <v>100</v>
      </c>
      <c r="AG255" s="83">
        <v>0.79500000000000004</v>
      </c>
      <c r="AH255" s="242">
        <f t="shared" si="167"/>
        <v>7.95</v>
      </c>
      <c r="AI255" s="21">
        <v>0.13</v>
      </c>
      <c r="AJ255" s="41">
        <f t="shared" si="168"/>
        <v>10</v>
      </c>
      <c r="AK255" s="197">
        <f t="shared" si="170"/>
        <v>12.145924930488421</v>
      </c>
    </row>
    <row r="256" spans="27:59">
      <c r="AA256" s="180">
        <f t="shared" si="169"/>
        <v>1491000000</v>
      </c>
      <c r="AB256" s="41">
        <v>1775</v>
      </c>
      <c r="AC256" s="21">
        <v>20</v>
      </c>
      <c r="AD256" s="21" t="s">
        <v>283</v>
      </c>
      <c r="AE256" s="175">
        <f t="shared" si="165"/>
        <v>100</v>
      </c>
      <c r="AF256" s="21">
        <f t="shared" si="166"/>
        <v>100</v>
      </c>
      <c r="AG256" s="83">
        <v>0.79500000000000004</v>
      </c>
      <c r="AH256" s="242">
        <f t="shared" si="167"/>
        <v>7.95</v>
      </c>
      <c r="AI256" s="21">
        <v>0.13</v>
      </c>
      <c r="AJ256" s="41">
        <f t="shared" si="168"/>
        <v>10</v>
      </c>
      <c r="AK256" s="197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80">
        <f t="shared" si="169"/>
        <v>1512000000</v>
      </c>
      <c r="AB257" s="41">
        <v>1800</v>
      </c>
      <c r="AC257" s="21">
        <v>20</v>
      </c>
      <c r="AD257" s="21" t="s">
        <v>283</v>
      </c>
      <c r="AE257" s="175">
        <f t="shared" si="165"/>
        <v>100</v>
      </c>
      <c r="AF257" s="21">
        <f t="shared" si="166"/>
        <v>100</v>
      </c>
      <c r="AG257" s="83">
        <v>0.79500000000000004</v>
      </c>
      <c r="AH257" s="242">
        <f t="shared" si="167"/>
        <v>7.95</v>
      </c>
      <c r="AI257" s="21">
        <v>0.13</v>
      </c>
      <c r="AJ257" s="41">
        <f t="shared" si="168"/>
        <v>10</v>
      </c>
      <c r="AK257" s="197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80">
        <f t="shared" si="169"/>
        <v>1533000000</v>
      </c>
      <c r="AB258" s="41">
        <v>1825</v>
      </c>
      <c r="AC258" s="21">
        <v>20</v>
      </c>
      <c r="AD258" s="21" t="s">
        <v>283</v>
      </c>
      <c r="AE258" s="175">
        <f t="shared" si="165"/>
        <v>100</v>
      </c>
      <c r="AF258" s="21">
        <f t="shared" si="166"/>
        <v>100</v>
      </c>
      <c r="AG258" s="83">
        <v>0.79500000000000004</v>
      </c>
      <c r="AH258" s="242">
        <f t="shared" si="167"/>
        <v>7.95</v>
      </c>
      <c r="AI258" s="21">
        <v>0.13</v>
      </c>
      <c r="AJ258" s="41">
        <f t="shared" si="168"/>
        <v>10</v>
      </c>
      <c r="AK258" s="197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80">
        <f t="shared" si="169"/>
        <v>1554000000</v>
      </c>
      <c r="AB259" s="41">
        <v>1850</v>
      </c>
      <c r="AC259" s="21">
        <v>20</v>
      </c>
      <c r="AD259" s="21" t="s">
        <v>283</v>
      </c>
      <c r="AE259" s="175">
        <f t="shared" si="165"/>
        <v>100</v>
      </c>
      <c r="AF259" s="21">
        <f t="shared" si="166"/>
        <v>100</v>
      </c>
      <c r="AG259" s="83">
        <v>0.79500000000000004</v>
      </c>
      <c r="AH259" s="242">
        <f t="shared" si="167"/>
        <v>7.95</v>
      </c>
      <c r="AI259" s="21">
        <v>0.13</v>
      </c>
      <c r="AJ259" s="41">
        <f t="shared" si="168"/>
        <v>10</v>
      </c>
      <c r="AK259" s="197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80">
        <f t="shared" si="169"/>
        <v>1575000000</v>
      </c>
      <c r="AB260" s="41">
        <v>1875</v>
      </c>
      <c r="AC260" s="21">
        <v>20</v>
      </c>
      <c r="AD260" s="21" t="s">
        <v>283</v>
      </c>
      <c r="AE260" s="175">
        <f t="shared" si="165"/>
        <v>100</v>
      </c>
      <c r="AF260" s="21">
        <f t="shared" si="166"/>
        <v>100</v>
      </c>
      <c r="AG260" s="83">
        <v>0.79500000000000004</v>
      </c>
      <c r="AH260" s="242">
        <f t="shared" si="167"/>
        <v>7.95</v>
      </c>
      <c r="AI260" s="21">
        <v>0.13</v>
      </c>
      <c r="AJ260" s="41">
        <f t="shared" si="168"/>
        <v>10</v>
      </c>
      <c r="AK260" s="197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80">
        <f t="shared" si="169"/>
        <v>1596000000</v>
      </c>
      <c r="AB261" s="41">
        <v>1900</v>
      </c>
      <c r="AC261" s="21">
        <v>20</v>
      </c>
      <c r="AD261" s="21" t="s">
        <v>283</v>
      </c>
      <c r="AE261" s="175">
        <f t="shared" si="165"/>
        <v>100</v>
      </c>
      <c r="AF261" s="21">
        <f t="shared" si="166"/>
        <v>100</v>
      </c>
      <c r="AG261" s="83">
        <v>0.79500000000000004</v>
      </c>
      <c r="AH261" s="242">
        <f t="shared" si="167"/>
        <v>7.95</v>
      </c>
      <c r="AI261" s="21">
        <v>0.13</v>
      </c>
      <c r="AJ261" s="41">
        <f t="shared" si="168"/>
        <v>10</v>
      </c>
      <c r="AK261" s="197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80">
        <f t="shared" si="169"/>
        <v>1617000000</v>
      </c>
      <c r="AB262" s="41">
        <v>1925</v>
      </c>
      <c r="AC262" s="21">
        <v>20</v>
      </c>
      <c r="AD262" s="21" t="s">
        <v>283</v>
      </c>
      <c r="AE262" s="175">
        <f t="shared" si="165"/>
        <v>100</v>
      </c>
      <c r="AF262" s="21">
        <f t="shared" si="166"/>
        <v>100</v>
      </c>
      <c r="AG262" s="83">
        <v>0.79500000000000004</v>
      </c>
      <c r="AH262" s="242">
        <f t="shared" si="167"/>
        <v>7.95</v>
      </c>
      <c r="AI262" s="21">
        <v>0.13</v>
      </c>
      <c r="AJ262" s="41">
        <f t="shared" si="168"/>
        <v>10</v>
      </c>
      <c r="AK262" s="197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80">
        <f t="shared" si="169"/>
        <v>1638000000</v>
      </c>
      <c r="AB263" s="41">
        <v>1950</v>
      </c>
      <c r="AC263" s="21">
        <v>20</v>
      </c>
      <c r="AD263" s="21" t="s">
        <v>283</v>
      </c>
      <c r="AE263" s="175">
        <f t="shared" si="165"/>
        <v>100</v>
      </c>
      <c r="AF263" s="21">
        <f t="shared" si="166"/>
        <v>100</v>
      </c>
      <c r="AG263" s="83">
        <v>0.79500000000000004</v>
      </c>
      <c r="AH263" s="242">
        <f t="shared" si="167"/>
        <v>7.95</v>
      </c>
      <c r="AI263" s="21">
        <v>0.13</v>
      </c>
      <c r="AJ263" s="41">
        <f t="shared" si="168"/>
        <v>10</v>
      </c>
      <c r="AK263" s="197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80">
        <f t="shared" si="169"/>
        <v>1659000000</v>
      </c>
      <c r="AB264" s="41">
        <v>1975</v>
      </c>
      <c r="AC264" s="21">
        <v>20</v>
      </c>
      <c r="AD264" s="21" t="s">
        <v>283</v>
      </c>
      <c r="AE264" s="175">
        <f t="shared" si="165"/>
        <v>100</v>
      </c>
      <c r="AF264" s="21">
        <f t="shared" si="166"/>
        <v>100</v>
      </c>
      <c r="AG264" s="83">
        <v>0.79500000000000004</v>
      </c>
      <c r="AH264" s="242">
        <f t="shared" si="167"/>
        <v>7.95</v>
      </c>
      <c r="AI264" s="21">
        <v>0.13</v>
      </c>
      <c r="AJ264" s="41">
        <f t="shared" si="168"/>
        <v>10</v>
      </c>
      <c r="AK264" s="197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80">
        <f t="shared" si="169"/>
        <v>1680000000</v>
      </c>
      <c r="AB265" s="41">
        <v>2000</v>
      </c>
      <c r="AC265" s="21">
        <v>20</v>
      </c>
      <c r="AD265" s="21" t="s">
        <v>283</v>
      </c>
      <c r="AE265" s="175">
        <f t="shared" si="165"/>
        <v>100</v>
      </c>
      <c r="AF265" s="21">
        <f t="shared" si="166"/>
        <v>100</v>
      </c>
      <c r="AG265" s="83">
        <v>0.79500000000000004</v>
      </c>
      <c r="AH265" s="242">
        <f t="shared" si="167"/>
        <v>7.95</v>
      </c>
      <c r="AI265" s="21">
        <v>0.13</v>
      </c>
      <c r="AJ265" s="41">
        <f t="shared" si="168"/>
        <v>10</v>
      </c>
      <c r="AK265" s="197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80">
        <f t="shared" si="169"/>
        <v>1701000000</v>
      </c>
      <c r="AB266" s="41">
        <v>2025</v>
      </c>
      <c r="AC266" s="21">
        <v>20</v>
      </c>
      <c r="AD266" s="21" t="s">
        <v>283</v>
      </c>
      <c r="AE266" s="175">
        <f t="shared" si="165"/>
        <v>100</v>
      </c>
      <c r="AF266" s="21">
        <f t="shared" si="166"/>
        <v>100</v>
      </c>
      <c r="AG266" s="83">
        <v>0.79500000000000004</v>
      </c>
      <c r="AH266" s="242">
        <f t="shared" si="167"/>
        <v>7.95</v>
      </c>
      <c r="AI266" s="21">
        <v>0.13</v>
      </c>
      <c r="AJ266" s="41">
        <f t="shared" si="168"/>
        <v>10</v>
      </c>
      <c r="AK266" s="197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80">
        <f t="shared" si="169"/>
        <v>1722000000</v>
      </c>
      <c r="AB267" s="41">
        <v>2050</v>
      </c>
      <c r="AC267" s="21">
        <v>20</v>
      </c>
      <c r="AD267" s="21" t="s">
        <v>283</v>
      </c>
      <c r="AE267" s="175">
        <f t="shared" si="165"/>
        <v>100</v>
      </c>
      <c r="AF267" s="21">
        <f t="shared" si="166"/>
        <v>100</v>
      </c>
      <c r="AG267" s="83">
        <v>0.79500000000000004</v>
      </c>
      <c r="AH267" s="242">
        <f t="shared" si="167"/>
        <v>7.95</v>
      </c>
      <c r="AI267" s="21">
        <v>0.13</v>
      </c>
      <c r="AJ267" s="41">
        <f t="shared" si="168"/>
        <v>10</v>
      </c>
      <c r="AK267" s="197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80">
        <f t="shared" si="169"/>
        <v>1743000000</v>
      </c>
      <c r="AB268" s="41">
        <v>2075</v>
      </c>
      <c r="AC268" s="21">
        <v>20</v>
      </c>
      <c r="AD268" s="21" t="s">
        <v>283</v>
      </c>
      <c r="AE268" s="175">
        <f t="shared" si="165"/>
        <v>100</v>
      </c>
      <c r="AF268" s="21">
        <f t="shared" si="166"/>
        <v>100</v>
      </c>
      <c r="AG268" s="83">
        <v>0.79500000000000004</v>
      </c>
      <c r="AH268" s="242">
        <f t="shared" si="167"/>
        <v>7.95</v>
      </c>
      <c r="AI268" s="21">
        <v>0.13</v>
      </c>
      <c r="AJ268" s="41">
        <f t="shared" si="168"/>
        <v>10</v>
      </c>
      <c r="AK268" s="197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80">
        <f t="shared" si="169"/>
        <v>1764000000</v>
      </c>
      <c r="AB269" s="41">
        <v>2100</v>
      </c>
      <c r="AC269" s="21">
        <v>20</v>
      </c>
      <c r="AD269" s="21" t="s">
        <v>283</v>
      </c>
      <c r="AE269" s="175">
        <f t="shared" si="165"/>
        <v>100</v>
      </c>
      <c r="AF269" s="21">
        <f t="shared" si="166"/>
        <v>100</v>
      </c>
      <c r="AG269" s="83">
        <v>0.79500000000000004</v>
      </c>
      <c r="AH269" s="242">
        <f t="shared" si="167"/>
        <v>7.95</v>
      </c>
      <c r="AI269" s="21">
        <v>0.13</v>
      </c>
      <c r="AJ269" s="41">
        <f t="shared" si="168"/>
        <v>10</v>
      </c>
      <c r="AK269" s="197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80">
        <f t="shared" si="169"/>
        <v>1785000000</v>
      </c>
      <c r="AB270" s="41">
        <v>2125</v>
      </c>
      <c r="AC270" s="21">
        <v>20</v>
      </c>
      <c r="AD270" s="21" t="s">
        <v>283</v>
      </c>
      <c r="AE270" s="175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42">
        <f t="shared" ref="AH270:AH333" si="173">AG270*10</f>
        <v>7.95</v>
      </c>
      <c r="AI270" s="21">
        <v>0.13</v>
      </c>
      <c r="AJ270" s="41">
        <f t="shared" si="168"/>
        <v>10</v>
      </c>
      <c r="AK270" s="197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80">
        <f t="shared" si="169"/>
        <v>1806000000</v>
      </c>
      <c r="AB271" s="41">
        <v>2150</v>
      </c>
      <c r="AC271" s="21">
        <v>20</v>
      </c>
      <c r="AD271" s="21" t="s">
        <v>283</v>
      </c>
      <c r="AE271" s="175">
        <f t="shared" si="171"/>
        <v>100</v>
      </c>
      <c r="AF271" s="21">
        <f t="shared" si="172"/>
        <v>100</v>
      </c>
      <c r="AG271" s="83">
        <v>0.79500000000000004</v>
      </c>
      <c r="AH271" s="242">
        <f t="shared" si="173"/>
        <v>7.95</v>
      </c>
      <c r="AI271" s="21">
        <v>0.13</v>
      </c>
      <c r="AJ271" s="41">
        <f t="shared" si="168"/>
        <v>10</v>
      </c>
      <c r="AK271" s="197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80">
        <f t="shared" si="169"/>
        <v>1827000000</v>
      </c>
      <c r="AB272" s="41">
        <v>2175</v>
      </c>
      <c r="AC272" s="21">
        <v>20</v>
      </c>
      <c r="AD272" s="21" t="s">
        <v>283</v>
      </c>
      <c r="AE272" s="175">
        <f t="shared" si="171"/>
        <v>100</v>
      </c>
      <c r="AF272" s="21">
        <f t="shared" si="172"/>
        <v>100</v>
      </c>
      <c r="AG272" s="83">
        <v>0.79500000000000004</v>
      </c>
      <c r="AH272" s="242">
        <f t="shared" si="173"/>
        <v>7.95</v>
      </c>
      <c r="AI272" s="21">
        <v>0.13</v>
      </c>
      <c r="AJ272" s="41">
        <f t="shared" si="168"/>
        <v>10</v>
      </c>
      <c r="AK272" s="197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80">
        <f t="shared" si="169"/>
        <v>1848000000</v>
      </c>
      <c r="AB273" s="41">
        <v>2200</v>
      </c>
      <c r="AC273" s="21">
        <v>20</v>
      </c>
      <c r="AD273" s="21" t="s">
        <v>283</v>
      </c>
      <c r="AE273" s="175">
        <f t="shared" si="171"/>
        <v>100</v>
      </c>
      <c r="AF273" s="21">
        <f t="shared" si="172"/>
        <v>100</v>
      </c>
      <c r="AG273" s="83">
        <v>0.79500000000000004</v>
      </c>
      <c r="AH273" s="242">
        <f t="shared" si="173"/>
        <v>7.95</v>
      </c>
      <c r="AI273" s="21">
        <v>0.13</v>
      </c>
      <c r="AJ273" s="41">
        <f t="shared" si="168"/>
        <v>10</v>
      </c>
      <c r="AK273" s="197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80">
        <f t="shared" si="169"/>
        <v>1869000000</v>
      </c>
      <c r="AB274" s="41">
        <v>2225</v>
      </c>
      <c r="AC274" s="21">
        <v>20</v>
      </c>
      <c r="AD274" s="21" t="s">
        <v>283</v>
      </c>
      <c r="AE274" s="175">
        <f t="shared" si="171"/>
        <v>100</v>
      </c>
      <c r="AF274" s="21">
        <f t="shared" si="172"/>
        <v>100</v>
      </c>
      <c r="AG274" s="83">
        <v>0.79500000000000004</v>
      </c>
      <c r="AH274" s="242">
        <f t="shared" si="173"/>
        <v>7.95</v>
      </c>
      <c r="AI274" s="21">
        <v>0.13</v>
      </c>
      <c r="AJ274" s="41">
        <f t="shared" si="168"/>
        <v>10</v>
      </c>
      <c r="AK274" s="197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80">
        <f t="shared" si="169"/>
        <v>1890000000</v>
      </c>
      <c r="AB275" s="41">
        <v>2250</v>
      </c>
      <c r="AC275" s="21">
        <v>20</v>
      </c>
      <c r="AD275" s="21" t="s">
        <v>283</v>
      </c>
      <c r="AE275" s="175">
        <f t="shared" si="171"/>
        <v>100</v>
      </c>
      <c r="AF275" s="21">
        <f t="shared" si="172"/>
        <v>100</v>
      </c>
      <c r="AG275" s="83">
        <v>0.79500000000000004</v>
      </c>
      <c r="AH275" s="242">
        <f t="shared" si="173"/>
        <v>7.95</v>
      </c>
      <c r="AI275" s="21">
        <v>0.13</v>
      </c>
      <c r="AJ275" s="41">
        <f t="shared" si="168"/>
        <v>10</v>
      </c>
      <c r="AK275" s="197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80">
        <f t="shared" si="169"/>
        <v>1911000000</v>
      </c>
      <c r="AB276" s="41">
        <v>2275</v>
      </c>
      <c r="AC276" s="21">
        <v>20</v>
      </c>
      <c r="AD276" s="21" t="s">
        <v>283</v>
      </c>
      <c r="AE276" s="175">
        <f t="shared" si="171"/>
        <v>100</v>
      </c>
      <c r="AF276" s="21">
        <f t="shared" si="172"/>
        <v>100</v>
      </c>
      <c r="AG276" s="83">
        <v>0.79500000000000004</v>
      </c>
      <c r="AH276" s="242">
        <f t="shared" si="173"/>
        <v>7.95</v>
      </c>
      <c r="AI276" s="21">
        <v>0.13</v>
      </c>
      <c r="AJ276" s="41">
        <f t="shared" si="168"/>
        <v>10</v>
      </c>
      <c r="AK276" s="197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80">
        <f t="shared" si="169"/>
        <v>1932000000</v>
      </c>
      <c r="AB277" s="41">
        <v>2300</v>
      </c>
      <c r="AC277" s="21">
        <v>20</v>
      </c>
      <c r="AD277" s="21" t="s">
        <v>283</v>
      </c>
      <c r="AE277" s="175">
        <f t="shared" si="171"/>
        <v>100</v>
      </c>
      <c r="AF277" s="21">
        <f t="shared" si="172"/>
        <v>100</v>
      </c>
      <c r="AG277" s="83">
        <v>0.79500000000000004</v>
      </c>
      <c r="AH277" s="242">
        <f t="shared" si="173"/>
        <v>7.95</v>
      </c>
      <c r="AI277" s="21">
        <v>0.13</v>
      </c>
      <c r="AJ277" s="41">
        <f t="shared" si="168"/>
        <v>10</v>
      </c>
      <c r="AK277" s="197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80">
        <f t="shared" si="169"/>
        <v>1953000000</v>
      </c>
      <c r="AB278" s="41">
        <v>2325</v>
      </c>
      <c r="AC278" s="21">
        <v>20</v>
      </c>
      <c r="AD278" s="21" t="s">
        <v>283</v>
      </c>
      <c r="AE278" s="175">
        <f t="shared" si="171"/>
        <v>100</v>
      </c>
      <c r="AF278" s="21">
        <f t="shared" si="172"/>
        <v>100</v>
      </c>
      <c r="AG278" s="83">
        <v>0.79500000000000004</v>
      </c>
      <c r="AH278" s="242">
        <f t="shared" si="173"/>
        <v>7.95</v>
      </c>
      <c r="AI278" s="21">
        <v>0.13</v>
      </c>
      <c r="AJ278" s="41">
        <f t="shared" si="168"/>
        <v>10</v>
      </c>
      <c r="AK278" s="197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80">
        <f t="shared" si="169"/>
        <v>1974000000</v>
      </c>
      <c r="AB279" s="41">
        <v>2350</v>
      </c>
      <c r="AC279" s="21">
        <v>20</v>
      </c>
      <c r="AD279" s="21" t="s">
        <v>283</v>
      </c>
      <c r="AE279" s="175">
        <f t="shared" si="171"/>
        <v>100</v>
      </c>
      <c r="AF279" s="21">
        <f t="shared" si="172"/>
        <v>100</v>
      </c>
      <c r="AG279" s="83">
        <v>0.79500000000000004</v>
      </c>
      <c r="AH279" s="242">
        <f t="shared" si="173"/>
        <v>7.95</v>
      </c>
      <c r="AI279" s="21">
        <v>0.13</v>
      </c>
      <c r="AJ279" s="41">
        <f t="shared" si="168"/>
        <v>10</v>
      </c>
      <c r="AK279" s="197">
        <f t="shared" si="170"/>
        <v>12.145924930488421</v>
      </c>
    </row>
    <row r="280" spans="27:59">
      <c r="AA280" s="180">
        <f t="shared" si="169"/>
        <v>1995000000</v>
      </c>
      <c r="AB280" s="41">
        <v>2375</v>
      </c>
      <c r="AC280" s="21">
        <v>20</v>
      </c>
      <c r="AD280" s="21" t="s">
        <v>283</v>
      </c>
      <c r="AE280" s="175">
        <f t="shared" si="171"/>
        <v>100</v>
      </c>
      <c r="AF280" s="21">
        <f t="shared" si="172"/>
        <v>100</v>
      </c>
      <c r="AG280" s="83">
        <v>0.79500000000000004</v>
      </c>
      <c r="AH280" s="242">
        <f t="shared" si="173"/>
        <v>7.95</v>
      </c>
      <c r="AI280" s="21">
        <v>0.13</v>
      </c>
      <c r="AJ280" s="41">
        <f t="shared" si="168"/>
        <v>10</v>
      </c>
      <c r="AK280" s="197">
        <f t="shared" si="170"/>
        <v>12.145924930488421</v>
      </c>
    </row>
    <row r="281" spans="27:59">
      <c r="AA281" s="180">
        <f t="shared" si="169"/>
        <v>2016000000</v>
      </c>
      <c r="AB281" s="41">
        <v>2400</v>
      </c>
      <c r="AC281" s="21">
        <v>20</v>
      </c>
      <c r="AD281" s="21" t="s">
        <v>283</v>
      </c>
      <c r="AE281" s="175">
        <f t="shared" si="171"/>
        <v>100</v>
      </c>
      <c r="AF281" s="21">
        <f t="shared" si="172"/>
        <v>100</v>
      </c>
      <c r="AG281" s="83">
        <v>0.79500000000000004</v>
      </c>
      <c r="AH281" s="242">
        <f t="shared" si="173"/>
        <v>7.95</v>
      </c>
      <c r="AI281" s="21">
        <v>0.13</v>
      </c>
      <c r="AJ281" s="41">
        <f t="shared" si="168"/>
        <v>10</v>
      </c>
      <c r="AK281" s="197">
        <f t="shared" si="170"/>
        <v>12.145924930488421</v>
      </c>
    </row>
    <row r="282" spans="27:59">
      <c r="AA282" s="180">
        <f t="shared" si="169"/>
        <v>2037000000</v>
      </c>
      <c r="AB282" s="41">
        <v>2425</v>
      </c>
      <c r="AC282" s="21">
        <v>20</v>
      </c>
      <c r="AD282" s="21" t="s">
        <v>283</v>
      </c>
      <c r="AE282" s="175">
        <f t="shared" si="171"/>
        <v>100</v>
      </c>
      <c r="AF282" s="21">
        <f t="shared" si="172"/>
        <v>100</v>
      </c>
      <c r="AG282" s="83">
        <v>0.79500000000000004</v>
      </c>
      <c r="AH282" s="242">
        <f t="shared" si="173"/>
        <v>7.95</v>
      </c>
      <c r="AI282" s="21">
        <v>0.13</v>
      </c>
      <c r="AJ282" s="41">
        <f t="shared" si="168"/>
        <v>10</v>
      </c>
      <c r="AK282" s="197">
        <f t="shared" si="170"/>
        <v>12.145924930488421</v>
      </c>
    </row>
    <row r="283" spans="27:59">
      <c r="AA283" s="180">
        <f t="shared" si="169"/>
        <v>2058000000</v>
      </c>
      <c r="AB283" s="41">
        <v>2450</v>
      </c>
      <c r="AC283" s="21">
        <v>20</v>
      </c>
      <c r="AD283" s="21" t="s">
        <v>283</v>
      </c>
      <c r="AE283" s="175">
        <f t="shared" si="171"/>
        <v>100</v>
      </c>
      <c r="AF283" s="21">
        <f t="shared" si="172"/>
        <v>100</v>
      </c>
      <c r="AG283" s="83">
        <v>0.79500000000000004</v>
      </c>
      <c r="AH283" s="242">
        <f t="shared" si="173"/>
        <v>7.95</v>
      </c>
      <c r="AI283" s="21">
        <v>0.13</v>
      </c>
      <c r="AJ283" s="41">
        <f t="shared" si="168"/>
        <v>10</v>
      </c>
      <c r="AK283" s="197">
        <f t="shared" si="170"/>
        <v>12.145924930488421</v>
      </c>
    </row>
    <row r="284" spans="27:59">
      <c r="AA284" s="180">
        <f t="shared" si="169"/>
        <v>2079000000</v>
      </c>
      <c r="AB284" s="41">
        <v>2475</v>
      </c>
      <c r="AC284" s="21">
        <v>20</v>
      </c>
      <c r="AD284" s="21" t="s">
        <v>283</v>
      </c>
      <c r="AE284" s="175">
        <f t="shared" si="171"/>
        <v>100</v>
      </c>
      <c r="AF284" s="21">
        <f t="shared" si="172"/>
        <v>100</v>
      </c>
      <c r="AG284" s="83">
        <v>0.79500000000000004</v>
      </c>
      <c r="AH284" s="242">
        <f t="shared" si="173"/>
        <v>7.95</v>
      </c>
      <c r="AI284" s="21">
        <v>0.13</v>
      </c>
      <c r="AJ284" s="41">
        <f t="shared" si="168"/>
        <v>10</v>
      </c>
      <c r="AK284" s="197">
        <f t="shared" si="170"/>
        <v>12.145924930488421</v>
      </c>
    </row>
    <row r="285" spans="27:59">
      <c r="AA285" s="180">
        <f t="shared" si="169"/>
        <v>2100000000</v>
      </c>
      <c r="AB285" s="41">
        <v>2500</v>
      </c>
      <c r="AC285" s="21">
        <v>20</v>
      </c>
      <c r="AD285" s="21" t="s">
        <v>283</v>
      </c>
      <c r="AE285" s="175">
        <f t="shared" si="171"/>
        <v>100</v>
      </c>
      <c r="AF285" s="21">
        <f t="shared" si="172"/>
        <v>100</v>
      </c>
      <c r="AG285" s="83">
        <v>0.79500000000000004</v>
      </c>
      <c r="AH285" s="242">
        <f t="shared" si="173"/>
        <v>7.95</v>
      </c>
      <c r="AI285" s="21">
        <v>0.13</v>
      </c>
      <c r="AJ285" s="41">
        <f t="shared" si="168"/>
        <v>10</v>
      </c>
      <c r="AK285" s="197">
        <f t="shared" si="170"/>
        <v>12.145924930488421</v>
      </c>
    </row>
    <row r="286" spans="27:59">
      <c r="AA286" s="180">
        <f t="shared" si="169"/>
        <v>2121000000</v>
      </c>
      <c r="AB286" s="41">
        <v>2525</v>
      </c>
      <c r="AC286" s="21">
        <v>20</v>
      </c>
      <c r="AD286" s="21" t="s">
        <v>283</v>
      </c>
      <c r="AE286" s="175">
        <f t="shared" si="171"/>
        <v>100</v>
      </c>
      <c r="AF286" s="21">
        <f t="shared" si="172"/>
        <v>100</v>
      </c>
      <c r="AG286" s="83">
        <v>0.79500000000000004</v>
      </c>
      <c r="AH286" s="242">
        <f t="shared" si="173"/>
        <v>7.95</v>
      </c>
      <c r="AI286" s="21">
        <v>0.13</v>
      </c>
      <c r="AJ286" s="41">
        <f t="shared" si="168"/>
        <v>10</v>
      </c>
      <c r="AK286" s="197">
        <f t="shared" si="170"/>
        <v>12.145924930488421</v>
      </c>
    </row>
    <row r="287" spans="27:59">
      <c r="AA287" s="180">
        <f t="shared" si="169"/>
        <v>2142000000</v>
      </c>
      <c r="AB287" s="41">
        <v>2550</v>
      </c>
      <c r="AC287" s="21">
        <v>20</v>
      </c>
      <c r="AD287" s="21" t="s">
        <v>283</v>
      </c>
      <c r="AE287" s="175">
        <f t="shared" si="171"/>
        <v>100</v>
      </c>
      <c r="AF287" s="21">
        <f t="shared" si="172"/>
        <v>100</v>
      </c>
      <c r="AG287" s="83">
        <v>0.79500000000000004</v>
      </c>
      <c r="AH287" s="242">
        <f t="shared" si="173"/>
        <v>7.95</v>
      </c>
      <c r="AI287" s="21">
        <v>0.13</v>
      </c>
      <c r="AJ287" s="41">
        <f t="shared" si="168"/>
        <v>10</v>
      </c>
      <c r="AK287" s="197">
        <f t="shared" si="170"/>
        <v>12.145924930488421</v>
      </c>
    </row>
    <row r="288" spans="27:59">
      <c r="AA288" s="180">
        <f t="shared" si="169"/>
        <v>2163000000</v>
      </c>
      <c r="AB288" s="41">
        <v>2575</v>
      </c>
      <c r="AC288" s="21">
        <v>20</v>
      </c>
      <c r="AD288" s="21" t="s">
        <v>283</v>
      </c>
      <c r="AE288" s="175">
        <f t="shared" si="171"/>
        <v>100</v>
      </c>
      <c r="AF288" s="21">
        <f t="shared" si="172"/>
        <v>100</v>
      </c>
      <c r="AG288" s="83">
        <v>0.79500000000000004</v>
      </c>
      <c r="AH288" s="242">
        <f t="shared" si="173"/>
        <v>7.95</v>
      </c>
      <c r="AI288" s="21">
        <v>0.13</v>
      </c>
      <c r="AJ288" s="41">
        <f t="shared" si="168"/>
        <v>10</v>
      </c>
      <c r="AK288" s="197">
        <f t="shared" si="170"/>
        <v>12.145924930488421</v>
      </c>
    </row>
    <row r="289" spans="27:37">
      <c r="AA289" s="180">
        <f t="shared" si="169"/>
        <v>2184000000</v>
      </c>
      <c r="AB289" s="41">
        <v>2600</v>
      </c>
      <c r="AC289" s="21">
        <v>20</v>
      </c>
      <c r="AD289" s="21" t="s">
        <v>283</v>
      </c>
      <c r="AE289" s="175">
        <f t="shared" si="171"/>
        <v>100</v>
      </c>
      <c r="AF289" s="21">
        <f t="shared" si="172"/>
        <v>100</v>
      </c>
      <c r="AG289" s="83">
        <v>0.79500000000000004</v>
      </c>
      <c r="AH289" s="242">
        <f t="shared" si="173"/>
        <v>7.95</v>
      </c>
      <c r="AI289" s="21">
        <v>0.13</v>
      </c>
      <c r="AJ289" s="41">
        <f t="shared" si="168"/>
        <v>10</v>
      </c>
      <c r="AK289" s="197">
        <f t="shared" si="170"/>
        <v>12.145924930488421</v>
      </c>
    </row>
    <row r="290" spans="27:37">
      <c r="AA290" s="180">
        <f t="shared" si="169"/>
        <v>2205000000</v>
      </c>
      <c r="AB290" s="41">
        <v>2625</v>
      </c>
      <c r="AC290" s="21">
        <v>20</v>
      </c>
      <c r="AD290" s="21" t="s">
        <v>283</v>
      </c>
      <c r="AE290" s="175">
        <f t="shared" si="171"/>
        <v>100</v>
      </c>
      <c r="AF290" s="21">
        <f t="shared" si="172"/>
        <v>100</v>
      </c>
      <c r="AG290" s="83">
        <v>0.79500000000000004</v>
      </c>
      <c r="AH290" s="242">
        <f t="shared" si="173"/>
        <v>7.95</v>
      </c>
      <c r="AI290" s="21">
        <v>0.13</v>
      </c>
      <c r="AJ290" s="41">
        <f t="shared" si="168"/>
        <v>10</v>
      </c>
      <c r="AK290" s="197">
        <f t="shared" si="170"/>
        <v>12.145924930488421</v>
      </c>
    </row>
    <row r="291" spans="27:37">
      <c r="AA291" s="180">
        <f t="shared" si="169"/>
        <v>2226000000</v>
      </c>
      <c r="AB291" s="41">
        <v>2650</v>
      </c>
      <c r="AC291" s="21">
        <v>20</v>
      </c>
      <c r="AD291" s="21" t="s">
        <v>283</v>
      </c>
      <c r="AE291" s="175">
        <f t="shared" si="171"/>
        <v>100</v>
      </c>
      <c r="AF291" s="21">
        <f t="shared" si="172"/>
        <v>100</v>
      </c>
      <c r="AG291" s="83">
        <v>0.79500000000000004</v>
      </c>
      <c r="AH291" s="242">
        <f t="shared" si="173"/>
        <v>7.95</v>
      </c>
      <c r="AI291" s="21">
        <v>0.13</v>
      </c>
      <c r="AJ291" s="41">
        <f t="shared" si="168"/>
        <v>10</v>
      </c>
      <c r="AK291" s="197">
        <f t="shared" si="170"/>
        <v>12.145924930488421</v>
      </c>
    </row>
    <row r="292" spans="27:37">
      <c r="AA292" s="180">
        <f t="shared" si="169"/>
        <v>2247000000</v>
      </c>
      <c r="AB292" s="41">
        <v>2675</v>
      </c>
      <c r="AC292" s="21">
        <v>20</v>
      </c>
      <c r="AD292" s="21" t="s">
        <v>283</v>
      </c>
      <c r="AE292" s="175">
        <f t="shared" si="171"/>
        <v>100</v>
      </c>
      <c r="AF292" s="21">
        <f t="shared" si="172"/>
        <v>100</v>
      </c>
      <c r="AG292" s="83">
        <v>0.79500000000000004</v>
      </c>
      <c r="AH292" s="242">
        <f t="shared" si="173"/>
        <v>7.95</v>
      </c>
      <c r="AI292" s="21">
        <v>0.13</v>
      </c>
      <c r="AJ292" s="41">
        <f t="shared" si="168"/>
        <v>10</v>
      </c>
      <c r="AK292" s="197">
        <f t="shared" si="170"/>
        <v>12.145924930488421</v>
      </c>
    </row>
    <row r="293" spans="27:37">
      <c r="AA293" s="180">
        <f t="shared" si="169"/>
        <v>2268000000</v>
      </c>
      <c r="AB293" s="41">
        <v>2700</v>
      </c>
      <c r="AC293" s="21">
        <v>20</v>
      </c>
      <c r="AD293" s="21" t="s">
        <v>283</v>
      </c>
      <c r="AE293" s="175">
        <f t="shared" si="171"/>
        <v>100</v>
      </c>
      <c r="AF293" s="21">
        <f t="shared" si="172"/>
        <v>100</v>
      </c>
      <c r="AG293" s="83">
        <v>0.79500000000000004</v>
      </c>
      <c r="AH293" s="242">
        <f t="shared" si="173"/>
        <v>7.95</v>
      </c>
      <c r="AI293" s="21">
        <v>0.13</v>
      </c>
      <c r="AJ293" s="41">
        <f t="shared" si="168"/>
        <v>10</v>
      </c>
      <c r="AK293" s="197">
        <f t="shared" si="170"/>
        <v>12.145924930488421</v>
      </c>
    </row>
    <row r="294" spans="27:37">
      <c r="AA294" s="180">
        <f t="shared" si="169"/>
        <v>2289000000</v>
      </c>
      <c r="AB294" s="41">
        <v>2725</v>
      </c>
      <c r="AC294" s="21">
        <v>20</v>
      </c>
      <c r="AD294" s="21" t="s">
        <v>283</v>
      </c>
      <c r="AE294" s="175">
        <f t="shared" si="171"/>
        <v>100</v>
      </c>
      <c r="AF294" s="21">
        <f t="shared" si="172"/>
        <v>100</v>
      </c>
      <c r="AG294" s="83">
        <v>0.79500000000000004</v>
      </c>
      <c r="AH294" s="242">
        <f t="shared" si="173"/>
        <v>7.95</v>
      </c>
      <c r="AI294" s="21">
        <v>0.13</v>
      </c>
      <c r="AJ294" s="41">
        <f t="shared" si="168"/>
        <v>10</v>
      </c>
      <c r="AK294" s="197">
        <f t="shared" si="170"/>
        <v>12.145924930488421</v>
      </c>
    </row>
    <row r="295" spans="27:37">
      <c r="AA295" s="180">
        <f t="shared" si="169"/>
        <v>2310000000</v>
      </c>
      <c r="AB295" s="41">
        <v>2750</v>
      </c>
      <c r="AC295" s="21">
        <v>20</v>
      </c>
      <c r="AD295" s="21" t="s">
        <v>283</v>
      </c>
      <c r="AE295" s="175">
        <f t="shared" si="171"/>
        <v>100</v>
      </c>
      <c r="AF295" s="21">
        <f t="shared" si="172"/>
        <v>100</v>
      </c>
      <c r="AG295" s="83">
        <v>0.79500000000000004</v>
      </c>
      <c r="AH295" s="242">
        <f t="shared" si="173"/>
        <v>7.95</v>
      </c>
      <c r="AI295" s="21">
        <v>0.13</v>
      </c>
      <c r="AJ295" s="41">
        <f t="shared" si="168"/>
        <v>10</v>
      </c>
      <c r="AK295" s="197">
        <f t="shared" si="170"/>
        <v>12.145924930488421</v>
      </c>
    </row>
    <row r="296" spans="27:37">
      <c r="AA296" s="180">
        <f t="shared" si="169"/>
        <v>2331000000</v>
      </c>
      <c r="AB296" s="41">
        <v>2775</v>
      </c>
      <c r="AC296" s="21">
        <v>20</v>
      </c>
      <c r="AD296" s="21" t="s">
        <v>283</v>
      </c>
      <c r="AE296" s="175">
        <f t="shared" si="171"/>
        <v>100</v>
      </c>
      <c r="AF296" s="21">
        <f t="shared" si="172"/>
        <v>100</v>
      </c>
      <c r="AG296" s="83">
        <v>0.79500000000000004</v>
      </c>
      <c r="AH296" s="242">
        <f t="shared" si="173"/>
        <v>7.95</v>
      </c>
      <c r="AI296" s="21">
        <v>0.13</v>
      </c>
      <c r="AJ296" s="41">
        <f t="shared" si="168"/>
        <v>10</v>
      </c>
      <c r="AK296" s="197">
        <f t="shared" si="170"/>
        <v>12.145924930488421</v>
      </c>
    </row>
    <row r="297" spans="27:37">
      <c r="AA297" s="180">
        <f t="shared" si="169"/>
        <v>2352000000</v>
      </c>
      <c r="AB297" s="41">
        <v>2800</v>
      </c>
      <c r="AC297" s="21">
        <v>20</v>
      </c>
      <c r="AD297" s="21" t="s">
        <v>283</v>
      </c>
      <c r="AE297" s="175">
        <f t="shared" si="171"/>
        <v>100</v>
      </c>
      <c r="AF297" s="21">
        <f t="shared" si="172"/>
        <v>100</v>
      </c>
      <c r="AG297" s="83">
        <v>0.79500000000000004</v>
      </c>
      <c r="AH297" s="242">
        <f t="shared" si="173"/>
        <v>7.95</v>
      </c>
      <c r="AI297" s="21">
        <v>0.13</v>
      </c>
      <c r="AJ297" s="41">
        <f t="shared" si="168"/>
        <v>10</v>
      </c>
      <c r="AK297" s="197">
        <f t="shared" si="170"/>
        <v>12.145924930488421</v>
      </c>
    </row>
    <row r="298" spans="27:37">
      <c r="AA298" s="180">
        <f t="shared" si="169"/>
        <v>2373000000</v>
      </c>
      <c r="AB298" s="41">
        <v>2825</v>
      </c>
      <c r="AC298" s="21">
        <v>20</v>
      </c>
      <c r="AD298" s="21" t="s">
        <v>283</v>
      </c>
      <c r="AE298" s="175">
        <f t="shared" si="171"/>
        <v>100</v>
      </c>
      <c r="AF298" s="21">
        <f t="shared" si="172"/>
        <v>100</v>
      </c>
      <c r="AG298" s="83">
        <v>0.79500000000000004</v>
      </c>
      <c r="AH298" s="242">
        <f t="shared" si="173"/>
        <v>7.95</v>
      </c>
      <c r="AI298" s="21">
        <v>0.13</v>
      </c>
      <c r="AJ298" s="41">
        <f t="shared" si="168"/>
        <v>10</v>
      </c>
      <c r="AK298" s="197">
        <f t="shared" si="170"/>
        <v>12.145924930488421</v>
      </c>
    </row>
    <row r="299" spans="27:37">
      <c r="AA299" s="180">
        <f t="shared" si="169"/>
        <v>2394000000</v>
      </c>
      <c r="AB299" s="41">
        <v>2850</v>
      </c>
      <c r="AC299" s="21">
        <v>20</v>
      </c>
      <c r="AD299" s="21" t="s">
        <v>283</v>
      </c>
      <c r="AE299" s="175">
        <f t="shared" si="171"/>
        <v>100</v>
      </c>
      <c r="AF299" s="21">
        <f t="shared" si="172"/>
        <v>100</v>
      </c>
      <c r="AG299" s="83">
        <v>0.79500000000000004</v>
      </c>
      <c r="AH299" s="242">
        <f t="shared" si="173"/>
        <v>7.95</v>
      </c>
      <c r="AI299" s="21">
        <v>0.13</v>
      </c>
      <c r="AJ299" s="41">
        <f t="shared" si="168"/>
        <v>10</v>
      </c>
      <c r="AK299" s="197">
        <f t="shared" si="170"/>
        <v>12.145924930488421</v>
      </c>
    </row>
    <row r="300" spans="27:37">
      <c r="AA300" s="180">
        <f t="shared" si="169"/>
        <v>2415000000</v>
      </c>
      <c r="AB300" s="41">
        <v>2875</v>
      </c>
      <c r="AC300" s="21">
        <v>20</v>
      </c>
      <c r="AD300" s="21" t="s">
        <v>283</v>
      </c>
      <c r="AE300" s="175">
        <f t="shared" si="171"/>
        <v>100</v>
      </c>
      <c r="AF300" s="21">
        <f t="shared" si="172"/>
        <v>100</v>
      </c>
      <c r="AG300" s="83">
        <v>0.79500000000000004</v>
      </c>
      <c r="AH300" s="242">
        <f t="shared" si="173"/>
        <v>7.95</v>
      </c>
      <c r="AI300" s="21">
        <v>0.13</v>
      </c>
      <c r="AJ300" s="41">
        <f t="shared" si="168"/>
        <v>10</v>
      </c>
      <c r="AK300" s="197">
        <f t="shared" si="170"/>
        <v>12.145924930488421</v>
      </c>
    </row>
    <row r="301" spans="27:37">
      <c r="AA301" s="180">
        <f t="shared" si="169"/>
        <v>2436000000</v>
      </c>
      <c r="AB301" s="41">
        <v>2900</v>
      </c>
      <c r="AC301" s="21">
        <v>20</v>
      </c>
      <c r="AD301" s="21" t="s">
        <v>283</v>
      </c>
      <c r="AE301" s="175">
        <f t="shared" si="171"/>
        <v>100</v>
      </c>
      <c r="AF301" s="21">
        <f t="shared" si="172"/>
        <v>100</v>
      </c>
      <c r="AG301" s="83">
        <v>0.79500000000000004</v>
      </c>
      <c r="AH301" s="242">
        <f t="shared" si="173"/>
        <v>7.95</v>
      </c>
      <c r="AI301" s="21">
        <v>0.13</v>
      </c>
      <c r="AJ301" s="41">
        <f t="shared" si="168"/>
        <v>10</v>
      </c>
      <c r="AK301" s="197">
        <f t="shared" si="170"/>
        <v>12.145924930488421</v>
      </c>
    </row>
    <row r="302" spans="27:37">
      <c r="AA302" s="180">
        <f t="shared" si="169"/>
        <v>2457000000</v>
      </c>
      <c r="AB302" s="41">
        <v>2925</v>
      </c>
      <c r="AC302" s="21">
        <v>20</v>
      </c>
      <c r="AD302" s="21" t="s">
        <v>283</v>
      </c>
      <c r="AE302" s="175">
        <f t="shared" si="171"/>
        <v>100</v>
      </c>
      <c r="AF302" s="21">
        <f t="shared" si="172"/>
        <v>100</v>
      </c>
      <c r="AG302" s="83">
        <v>0.79500000000000004</v>
      </c>
      <c r="AH302" s="242">
        <f t="shared" si="173"/>
        <v>7.95</v>
      </c>
      <c r="AI302" s="21">
        <v>0.13</v>
      </c>
      <c r="AJ302" s="41">
        <f t="shared" si="168"/>
        <v>10</v>
      </c>
      <c r="AK302" s="197">
        <f t="shared" si="170"/>
        <v>12.145924930488421</v>
      </c>
    </row>
    <row r="303" spans="27:37">
      <c r="AA303" s="180">
        <f t="shared" si="169"/>
        <v>2478000000</v>
      </c>
      <c r="AB303" s="41">
        <v>2950</v>
      </c>
      <c r="AC303" s="21">
        <v>20</v>
      </c>
      <c r="AD303" s="21" t="s">
        <v>283</v>
      </c>
      <c r="AE303" s="175">
        <f t="shared" si="171"/>
        <v>100</v>
      </c>
      <c r="AF303" s="21">
        <f t="shared" si="172"/>
        <v>100</v>
      </c>
      <c r="AG303" s="83">
        <v>0.79500000000000004</v>
      </c>
      <c r="AH303" s="242">
        <f t="shared" si="173"/>
        <v>7.95</v>
      </c>
      <c r="AI303" s="21">
        <v>0.13</v>
      </c>
      <c r="AJ303" s="41">
        <f t="shared" si="168"/>
        <v>10</v>
      </c>
      <c r="AK303" s="197">
        <f t="shared" si="170"/>
        <v>12.145924930488421</v>
      </c>
    </row>
    <row r="304" spans="27:37">
      <c r="AA304" s="180">
        <f t="shared" si="169"/>
        <v>2499000000</v>
      </c>
      <c r="AB304" s="41">
        <v>2975</v>
      </c>
      <c r="AC304" s="21">
        <v>20</v>
      </c>
      <c r="AD304" s="21" t="s">
        <v>283</v>
      </c>
      <c r="AE304" s="175">
        <f t="shared" si="171"/>
        <v>100</v>
      </c>
      <c r="AF304" s="21">
        <f t="shared" si="172"/>
        <v>100</v>
      </c>
      <c r="AG304" s="83">
        <v>0.79500000000000004</v>
      </c>
      <c r="AH304" s="242">
        <f t="shared" si="173"/>
        <v>7.95</v>
      </c>
      <c r="AI304" s="21">
        <v>0.13</v>
      </c>
      <c r="AJ304" s="41">
        <f t="shared" si="168"/>
        <v>10</v>
      </c>
      <c r="AK304" s="197">
        <f t="shared" si="170"/>
        <v>12.145924930488421</v>
      </c>
    </row>
    <row r="305" spans="27:37">
      <c r="AA305" s="180">
        <f t="shared" si="169"/>
        <v>2520000000</v>
      </c>
      <c r="AB305" s="41">
        <v>3000</v>
      </c>
      <c r="AC305" s="21">
        <v>20</v>
      </c>
      <c r="AD305" s="21" t="s">
        <v>283</v>
      </c>
      <c r="AE305" s="175">
        <f t="shared" si="171"/>
        <v>100</v>
      </c>
      <c r="AF305" s="21">
        <f t="shared" si="172"/>
        <v>100</v>
      </c>
      <c r="AG305" s="83">
        <v>0.79500000000000004</v>
      </c>
      <c r="AH305" s="242">
        <f t="shared" si="173"/>
        <v>7.95</v>
      </c>
      <c r="AI305" s="21">
        <v>0.13</v>
      </c>
      <c r="AJ305" s="41">
        <f t="shared" si="168"/>
        <v>10</v>
      </c>
      <c r="AK305" s="197">
        <f t="shared" si="170"/>
        <v>12.145924930488421</v>
      </c>
    </row>
    <row r="306" spans="27:37">
      <c r="AA306" s="180">
        <f t="shared" si="169"/>
        <v>2541000000</v>
      </c>
      <c r="AB306" s="41">
        <v>3025</v>
      </c>
      <c r="AC306" s="21">
        <v>20</v>
      </c>
      <c r="AD306" s="21" t="s">
        <v>283</v>
      </c>
      <c r="AE306" s="175">
        <f t="shared" si="171"/>
        <v>100</v>
      </c>
      <c r="AF306" s="21">
        <f t="shared" si="172"/>
        <v>100</v>
      </c>
      <c r="AG306" s="83">
        <v>0.79500000000000004</v>
      </c>
      <c r="AH306" s="242">
        <f t="shared" si="173"/>
        <v>7.95</v>
      </c>
      <c r="AI306" s="21">
        <v>0.13</v>
      </c>
      <c r="AJ306" s="41">
        <f t="shared" si="168"/>
        <v>10</v>
      </c>
      <c r="AK306" s="197">
        <f t="shared" si="170"/>
        <v>12.145924930488421</v>
      </c>
    </row>
    <row r="307" spans="27:37">
      <c r="AA307" s="180">
        <f t="shared" si="169"/>
        <v>2562000000</v>
      </c>
      <c r="AB307" s="41">
        <v>3050</v>
      </c>
      <c r="AC307" s="21">
        <v>20</v>
      </c>
      <c r="AD307" s="21" t="s">
        <v>283</v>
      </c>
      <c r="AE307" s="175">
        <f t="shared" si="171"/>
        <v>100</v>
      </c>
      <c r="AF307" s="21">
        <f t="shared" si="172"/>
        <v>100</v>
      </c>
      <c r="AG307" s="83">
        <v>0.79500000000000004</v>
      </c>
      <c r="AH307" s="242">
        <f t="shared" si="173"/>
        <v>7.95</v>
      </c>
      <c r="AI307" s="21">
        <v>0.13</v>
      </c>
      <c r="AJ307" s="41">
        <f t="shared" si="168"/>
        <v>10</v>
      </c>
      <c r="AK307" s="197">
        <f t="shared" si="170"/>
        <v>12.145924930488421</v>
      </c>
    </row>
    <row r="308" spans="27:37">
      <c r="AA308" s="180">
        <f t="shared" si="169"/>
        <v>2583000000</v>
      </c>
      <c r="AB308" s="41">
        <v>3075</v>
      </c>
      <c r="AC308" s="21">
        <v>20</v>
      </c>
      <c r="AD308" s="21" t="s">
        <v>283</v>
      </c>
      <c r="AE308" s="175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42">
        <f t="shared" si="173"/>
        <v>7.95</v>
      </c>
      <c r="AI308" s="21">
        <v>0.13</v>
      </c>
      <c r="AJ308" s="41">
        <f t="shared" si="168"/>
        <v>10</v>
      </c>
      <c r="AK308" s="197">
        <f t="shared" ref="AK308:AK354" si="176">(AB308-AB307)*$D$50</f>
        <v>12.145924930488421</v>
      </c>
    </row>
    <row r="309" spans="27:37">
      <c r="AA309" s="180">
        <f t="shared" si="169"/>
        <v>2604000000</v>
      </c>
      <c r="AB309" s="41">
        <v>3100</v>
      </c>
      <c r="AC309" s="21">
        <v>20</v>
      </c>
      <c r="AD309" s="21" t="s">
        <v>283</v>
      </c>
      <c r="AE309" s="175">
        <f t="shared" si="174"/>
        <v>100</v>
      </c>
      <c r="AF309" s="21">
        <f t="shared" si="175"/>
        <v>100</v>
      </c>
      <c r="AG309" s="83">
        <v>0.79500000000000004</v>
      </c>
      <c r="AH309" s="242">
        <f t="shared" si="173"/>
        <v>7.95</v>
      </c>
      <c r="AI309" s="21">
        <v>0.13</v>
      </c>
      <c r="AJ309" s="41">
        <f t="shared" si="168"/>
        <v>10</v>
      </c>
      <c r="AK309" s="197">
        <f t="shared" si="176"/>
        <v>12.145924930488421</v>
      </c>
    </row>
    <row r="310" spans="27:37">
      <c r="AA310" s="180">
        <f t="shared" si="169"/>
        <v>2625000000</v>
      </c>
      <c r="AB310" s="41">
        <v>3125</v>
      </c>
      <c r="AC310" s="21">
        <v>20</v>
      </c>
      <c r="AD310" s="21" t="s">
        <v>283</v>
      </c>
      <c r="AE310" s="175">
        <f t="shared" si="174"/>
        <v>100</v>
      </c>
      <c r="AF310" s="21">
        <f t="shared" si="175"/>
        <v>100</v>
      </c>
      <c r="AG310" s="83">
        <v>0.79500000000000004</v>
      </c>
      <c r="AH310" s="242">
        <f t="shared" si="173"/>
        <v>7.95</v>
      </c>
      <c r="AI310" s="21">
        <v>0.13</v>
      </c>
      <c r="AJ310" s="41">
        <f t="shared" si="168"/>
        <v>10</v>
      </c>
      <c r="AK310" s="197">
        <f t="shared" si="176"/>
        <v>12.145924930488421</v>
      </c>
    </row>
    <row r="311" spans="27:37">
      <c r="AA311" s="180">
        <f t="shared" si="169"/>
        <v>2646000000</v>
      </c>
      <c r="AB311" s="41">
        <v>3150</v>
      </c>
      <c r="AC311" s="21">
        <v>20</v>
      </c>
      <c r="AD311" s="21" t="s">
        <v>283</v>
      </c>
      <c r="AE311" s="175">
        <f t="shared" si="174"/>
        <v>100</v>
      </c>
      <c r="AF311" s="21">
        <f t="shared" si="175"/>
        <v>100</v>
      </c>
      <c r="AG311" s="83">
        <v>0.79500000000000004</v>
      </c>
      <c r="AH311" s="242">
        <f t="shared" si="173"/>
        <v>7.95</v>
      </c>
      <c r="AI311" s="21">
        <v>0.13</v>
      </c>
      <c r="AJ311" s="41">
        <f t="shared" si="168"/>
        <v>10</v>
      </c>
      <c r="AK311" s="197">
        <f t="shared" si="176"/>
        <v>12.145924930488421</v>
      </c>
    </row>
    <row r="312" spans="27:37">
      <c r="AA312" s="180">
        <f t="shared" si="169"/>
        <v>2667000000</v>
      </c>
      <c r="AB312" s="41">
        <v>3175</v>
      </c>
      <c r="AC312" s="21">
        <v>20</v>
      </c>
      <c r="AD312" s="21" t="s">
        <v>283</v>
      </c>
      <c r="AE312" s="175">
        <f t="shared" si="174"/>
        <v>100</v>
      </c>
      <c r="AF312" s="21">
        <f t="shared" si="175"/>
        <v>100</v>
      </c>
      <c r="AG312" s="83">
        <v>0.79500000000000004</v>
      </c>
      <c r="AH312" s="242">
        <f t="shared" si="173"/>
        <v>7.95</v>
      </c>
      <c r="AI312" s="21">
        <v>0.13</v>
      </c>
      <c r="AJ312" s="41">
        <f t="shared" si="168"/>
        <v>10</v>
      </c>
      <c r="AK312" s="197">
        <f t="shared" si="176"/>
        <v>12.145924930488421</v>
      </c>
    </row>
    <row r="313" spans="27:37">
      <c r="AA313" s="180">
        <f t="shared" si="169"/>
        <v>2688000000</v>
      </c>
      <c r="AB313" s="41">
        <v>3200</v>
      </c>
      <c r="AC313" s="21">
        <v>20</v>
      </c>
      <c r="AD313" s="21" t="s">
        <v>283</v>
      </c>
      <c r="AE313" s="175">
        <f t="shared" si="174"/>
        <v>100</v>
      </c>
      <c r="AF313" s="21">
        <f t="shared" si="175"/>
        <v>100</v>
      </c>
      <c r="AG313" s="83">
        <v>0.79500000000000004</v>
      </c>
      <c r="AH313" s="242">
        <f t="shared" si="173"/>
        <v>7.95</v>
      </c>
      <c r="AI313" s="21">
        <v>0.13</v>
      </c>
      <c r="AJ313" s="41">
        <f t="shared" si="168"/>
        <v>10</v>
      </c>
      <c r="AK313" s="197">
        <f t="shared" si="176"/>
        <v>12.145924930488421</v>
      </c>
    </row>
    <row r="314" spans="27:37">
      <c r="AA314" s="180">
        <f t="shared" si="169"/>
        <v>2709000000</v>
      </c>
      <c r="AB314" s="41">
        <v>3225</v>
      </c>
      <c r="AC314" s="21">
        <v>20</v>
      </c>
      <c r="AD314" s="21" t="s">
        <v>283</v>
      </c>
      <c r="AE314" s="175">
        <f t="shared" si="174"/>
        <v>100</v>
      </c>
      <c r="AF314" s="21">
        <f t="shared" si="175"/>
        <v>100</v>
      </c>
      <c r="AG314" s="83">
        <v>0.79500000000000004</v>
      </c>
      <c r="AH314" s="242">
        <f t="shared" si="173"/>
        <v>7.95</v>
      </c>
      <c r="AI314" s="21">
        <v>0.13</v>
      </c>
      <c r="AJ314" s="41">
        <f t="shared" ref="AJ314:AJ362" si="177">$B$8</f>
        <v>10</v>
      </c>
      <c r="AK314" s="197">
        <f t="shared" si="176"/>
        <v>12.145924930488421</v>
      </c>
    </row>
    <row r="315" spans="27:37">
      <c r="AA315" s="180">
        <f t="shared" ref="AA315:AA362" si="178">AA133</f>
        <v>2730000000</v>
      </c>
      <c r="AB315" s="41">
        <v>3250</v>
      </c>
      <c r="AC315" s="21">
        <v>20</v>
      </c>
      <c r="AD315" s="21" t="s">
        <v>283</v>
      </c>
      <c r="AE315" s="175">
        <f t="shared" si="174"/>
        <v>100</v>
      </c>
      <c r="AF315" s="21">
        <f t="shared" si="175"/>
        <v>100</v>
      </c>
      <c r="AG315" s="83">
        <v>0.79500000000000004</v>
      </c>
      <c r="AH315" s="242">
        <f t="shared" si="173"/>
        <v>7.95</v>
      </c>
      <c r="AI315" s="21">
        <v>0.13</v>
      </c>
      <c r="AJ315" s="41">
        <f t="shared" si="177"/>
        <v>10</v>
      </c>
      <c r="AK315" s="197">
        <f t="shared" si="176"/>
        <v>12.145924930488421</v>
      </c>
    </row>
    <row r="316" spans="27:37">
      <c r="AA316" s="180">
        <f t="shared" si="178"/>
        <v>2751000000</v>
      </c>
      <c r="AB316" s="41">
        <v>3275</v>
      </c>
      <c r="AC316" s="21">
        <v>20</v>
      </c>
      <c r="AD316" s="21" t="s">
        <v>283</v>
      </c>
      <c r="AE316" s="175">
        <f t="shared" si="174"/>
        <v>100</v>
      </c>
      <c r="AF316" s="21">
        <f t="shared" si="175"/>
        <v>100</v>
      </c>
      <c r="AG316" s="83">
        <v>0.79500000000000004</v>
      </c>
      <c r="AH316" s="242">
        <f t="shared" si="173"/>
        <v>7.95</v>
      </c>
      <c r="AI316" s="21">
        <v>0.13</v>
      </c>
      <c r="AJ316" s="41">
        <f t="shared" si="177"/>
        <v>10</v>
      </c>
      <c r="AK316" s="197">
        <f t="shared" si="176"/>
        <v>12.145924930488421</v>
      </c>
    </row>
    <row r="317" spans="27:37">
      <c r="AA317" s="180">
        <f t="shared" si="178"/>
        <v>2772000000</v>
      </c>
      <c r="AB317" s="41">
        <v>3300</v>
      </c>
      <c r="AC317" s="21">
        <v>20</v>
      </c>
      <c r="AD317" s="21" t="s">
        <v>283</v>
      </c>
      <c r="AE317" s="175">
        <f t="shared" si="174"/>
        <v>100</v>
      </c>
      <c r="AF317" s="21">
        <f t="shared" si="175"/>
        <v>100</v>
      </c>
      <c r="AG317" s="83">
        <v>0.79500000000000004</v>
      </c>
      <c r="AH317" s="242">
        <f t="shared" si="173"/>
        <v>7.95</v>
      </c>
      <c r="AI317" s="21">
        <v>0.13</v>
      </c>
      <c r="AJ317" s="41">
        <f t="shared" si="177"/>
        <v>10</v>
      </c>
      <c r="AK317" s="197">
        <f t="shared" si="176"/>
        <v>12.145924930488421</v>
      </c>
    </row>
    <row r="318" spans="27:37">
      <c r="AA318" s="180">
        <f t="shared" si="178"/>
        <v>2793000000</v>
      </c>
      <c r="AB318" s="41">
        <v>3325</v>
      </c>
      <c r="AC318" s="21">
        <v>20</v>
      </c>
      <c r="AD318" s="21" t="s">
        <v>283</v>
      </c>
      <c r="AE318" s="175">
        <f t="shared" si="174"/>
        <v>100</v>
      </c>
      <c r="AF318" s="21">
        <f t="shared" si="175"/>
        <v>100</v>
      </c>
      <c r="AG318" s="83">
        <v>0.79500000000000004</v>
      </c>
      <c r="AH318" s="242">
        <f t="shared" si="173"/>
        <v>7.95</v>
      </c>
      <c r="AI318" s="21">
        <v>0.13</v>
      </c>
      <c r="AJ318" s="41">
        <f t="shared" si="177"/>
        <v>10</v>
      </c>
      <c r="AK318" s="197">
        <f t="shared" si="176"/>
        <v>12.145924930488421</v>
      </c>
    </row>
    <row r="319" spans="27:37">
      <c r="AA319" s="180">
        <f t="shared" si="178"/>
        <v>2814000000</v>
      </c>
      <c r="AB319" s="41">
        <v>3350</v>
      </c>
      <c r="AC319" s="21">
        <v>20</v>
      </c>
      <c r="AD319" s="21" t="s">
        <v>283</v>
      </c>
      <c r="AE319" s="175">
        <f t="shared" si="174"/>
        <v>100</v>
      </c>
      <c r="AF319" s="21">
        <f t="shared" si="175"/>
        <v>100</v>
      </c>
      <c r="AG319" s="83">
        <v>0.79500000000000004</v>
      </c>
      <c r="AH319" s="242">
        <f t="shared" si="173"/>
        <v>7.95</v>
      </c>
      <c r="AI319" s="21">
        <v>0.13</v>
      </c>
      <c r="AJ319" s="41">
        <f t="shared" si="177"/>
        <v>10</v>
      </c>
      <c r="AK319" s="197">
        <f t="shared" si="176"/>
        <v>12.145924930488421</v>
      </c>
    </row>
    <row r="320" spans="27:37">
      <c r="AA320" s="180">
        <f t="shared" si="178"/>
        <v>2835000000</v>
      </c>
      <c r="AB320" s="41">
        <v>3375</v>
      </c>
      <c r="AC320" s="21">
        <v>20</v>
      </c>
      <c r="AD320" s="21" t="s">
        <v>283</v>
      </c>
      <c r="AE320" s="175">
        <f t="shared" si="174"/>
        <v>100</v>
      </c>
      <c r="AF320" s="21">
        <f t="shared" si="175"/>
        <v>100</v>
      </c>
      <c r="AG320" s="83">
        <v>0.79500000000000004</v>
      </c>
      <c r="AH320" s="242">
        <f t="shared" si="173"/>
        <v>7.95</v>
      </c>
      <c r="AI320" s="21">
        <v>0.13</v>
      </c>
      <c r="AJ320" s="41">
        <f t="shared" si="177"/>
        <v>10</v>
      </c>
      <c r="AK320" s="197">
        <f t="shared" si="176"/>
        <v>12.145924930488421</v>
      </c>
    </row>
    <row r="321" spans="27:37">
      <c r="AA321" s="180">
        <f t="shared" si="178"/>
        <v>2856000000</v>
      </c>
      <c r="AB321" s="41">
        <v>3400</v>
      </c>
      <c r="AC321" s="21">
        <v>20</v>
      </c>
      <c r="AD321" s="21" t="s">
        <v>283</v>
      </c>
      <c r="AE321" s="175">
        <f t="shared" si="174"/>
        <v>100</v>
      </c>
      <c r="AF321" s="21">
        <f t="shared" si="175"/>
        <v>100</v>
      </c>
      <c r="AG321" s="83">
        <v>0.79500000000000004</v>
      </c>
      <c r="AH321" s="242">
        <f t="shared" si="173"/>
        <v>7.95</v>
      </c>
      <c r="AI321" s="21">
        <v>0.13</v>
      </c>
      <c r="AJ321" s="41">
        <f t="shared" si="177"/>
        <v>10</v>
      </c>
      <c r="AK321" s="197">
        <f t="shared" si="176"/>
        <v>12.145924930488421</v>
      </c>
    </row>
    <row r="322" spans="27:37">
      <c r="AA322" s="180">
        <f t="shared" si="178"/>
        <v>2877000000</v>
      </c>
      <c r="AB322" s="41">
        <v>3425</v>
      </c>
      <c r="AC322" s="21">
        <v>20</v>
      </c>
      <c r="AD322" s="21" t="s">
        <v>283</v>
      </c>
      <c r="AE322" s="175">
        <f t="shared" si="174"/>
        <v>100</v>
      </c>
      <c r="AF322" s="21">
        <f t="shared" si="175"/>
        <v>100</v>
      </c>
      <c r="AG322" s="83">
        <v>0.79500000000000004</v>
      </c>
      <c r="AH322" s="242">
        <f t="shared" si="173"/>
        <v>7.95</v>
      </c>
      <c r="AI322" s="21">
        <v>0.13</v>
      </c>
      <c r="AJ322" s="41">
        <f t="shared" si="177"/>
        <v>10</v>
      </c>
      <c r="AK322" s="197">
        <f t="shared" si="176"/>
        <v>12.145924930488421</v>
      </c>
    </row>
    <row r="323" spans="27:37">
      <c r="AA323" s="180">
        <f t="shared" si="178"/>
        <v>2898000000</v>
      </c>
      <c r="AB323" s="41">
        <v>3450</v>
      </c>
      <c r="AC323" s="21">
        <v>20</v>
      </c>
      <c r="AD323" s="21" t="s">
        <v>283</v>
      </c>
      <c r="AE323" s="175">
        <f t="shared" si="174"/>
        <v>100</v>
      </c>
      <c r="AF323" s="21">
        <f t="shared" si="175"/>
        <v>100</v>
      </c>
      <c r="AG323" s="83">
        <v>0.79500000000000004</v>
      </c>
      <c r="AH323" s="242">
        <f t="shared" si="173"/>
        <v>7.95</v>
      </c>
      <c r="AI323" s="21">
        <v>0.13</v>
      </c>
      <c r="AJ323" s="41">
        <f t="shared" si="177"/>
        <v>10</v>
      </c>
      <c r="AK323" s="197">
        <f t="shared" si="176"/>
        <v>12.145924930488421</v>
      </c>
    </row>
    <row r="324" spans="27:37">
      <c r="AA324" s="180">
        <f t="shared" si="178"/>
        <v>2919000000</v>
      </c>
      <c r="AB324" s="41">
        <v>3475</v>
      </c>
      <c r="AC324" s="21">
        <v>20</v>
      </c>
      <c r="AD324" s="21" t="s">
        <v>283</v>
      </c>
      <c r="AE324" s="175">
        <f t="shared" si="174"/>
        <v>100</v>
      </c>
      <c r="AF324" s="21">
        <f t="shared" si="175"/>
        <v>100</v>
      </c>
      <c r="AG324" s="83">
        <v>0.79500000000000004</v>
      </c>
      <c r="AH324" s="242">
        <f t="shared" si="173"/>
        <v>7.95</v>
      </c>
      <c r="AI324" s="21">
        <v>0.13</v>
      </c>
      <c r="AJ324" s="41">
        <f t="shared" si="177"/>
        <v>10</v>
      </c>
      <c r="AK324" s="197">
        <f t="shared" si="176"/>
        <v>12.145924930488421</v>
      </c>
    </row>
    <row r="325" spans="27:37">
      <c r="AA325" s="180">
        <f t="shared" si="178"/>
        <v>2940000000</v>
      </c>
      <c r="AB325" s="41">
        <v>3500</v>
      </c>
      <c r="AC325" s="21">
        <v>20</v>
      </c>
      <c r="AD325" s="21" t="s">
        <v>283</v>
      </c>
      <c r="AE325" s="175">
        <f t="shared" si="174"/>
        <v>100</v>
      </c>
      <c r="AF325" s="21">
        <f t="shared" si="175"/>
        <v>100</v>
      </c>
      <c r="AG325" s="83">
        <v>0.79500000000000004</v>
      </c>
      <c r="AH325" s="242">
        <f t="shared" si="173"/>
        <v>7.95</v>
      </c>
      <c r="AI325" s="21">
        <v>0.13</v>
      </c>
      <c r="AJ325" s="41">
        <f t="shared" si="177"/>
        <v>10</v>
      </c>
      <c r="AK325" s="197">
        <f t="shared" si="176"/>
        <v>12.145924930488421</v>
      </c>
    </row>
    <row r="326" spans="27:37">
      <c r="AA326" s="180">
        <f t="shared" si="178"/>
        <v>2961000000</v>
      </c>
      <c r="AB326" s="41">
        <v>3525</v>
      </c>
      <c r="AC326" s="21">
        <v>20</v>
      </c>
      <c r="AD326" s="21" t="s">
        <v>283</v>
      </c>
      <c r="AE326" s="175">
        <f t="shared" si="174"/>
        <v>100</v>
      </c>
      <c r="AF326" s="21">
        <f t="shared" si="175"/>
        <v>100</v>
      </c>
      <c r="AG326" s="83">
        <v>0.79500000000000004</v>
      </c>
      <c r="AH326" s="242">
        <f t="shared" si="173"/>
        <v>7.95</v>
      </c>
      <c r="AI326" s="21">
        <v>0.13</v>
      </c>
      <c r="AJ326" s="41">
        <f t="shared" si="177"/>
        <v>10</v>
      </c>
      <c r="AK326" s="197">
        <f t="shared" si="176"/>
        <v>12.145924930488421</v>
      </c>
    </row>
    <row r="327" spans="27:37">
      <c r="AA327" s="180">
        <f t="shared" si="178"/>
        <v>2982000000</v>
      </c>
      <c r="AB327" s="41">
        <v>3550</v>
      </c>
      <c r="AC327" s="21">
        <v>20</v>
      </c>
      <c r="AD327" s="21" t="s">
        <v>283</v>
      </c>
      <c r="AE327" s="175">
        <f t="shared" si="174"/>
        <v>100</v>
      </c>
      <c r="AF327" s="21">
        <f t="shared" si="175"/>
        <v>100</v>
      </c>
      <c r="AG327" s="83">
        <v>0.79500000000000004</v>
      </c>
      <c r="AH327" s="242">
        <f t="shared" si="173"/>
        <v>7.95</v>
      </c>
      <c r="AI327" s="21">
        <v>0.13</v>
      </c>
      <c r="AJ327" s="41">
        <f t="shared" si="177"/>
        <v>10</v>
      </c>
      <c r="AK327" s="197">
        <f t="shared" si="176"/>
        <v>12.145924930488421</v>
      </c>
    </row>
    <row r="328" spans="27:37">
      <c r="AA328" s="180">
        <f t="shared" si="178"/>
        <v>3003000000</v>
      </c>
      <c r="AB328" s="41">
        <v>3575</v>
      </c>
      <c r="AC328" s="21">
        <v>20</v>
      </c>
      <c r="AD328" s="21" t="s">
        <v>283</v>
      </c>
      <c r="AE328" s="175">
        <f t="shared" si="174"/>
        <v>100</v>
      </c>
      <c r="AF328" s="21">
        <f t="shared" si="175"/>
        <v>100</v>
      </c>
      <c r="AG328" s="83">
        <v>0.79500000000000004</v>
      </c>
      <c r="AH328" s="242">
        <f t="shared" si="173"/>
        <v>7.95</v>
      </c>
      <c r="AI328" s="21">
        <v>0.13</v>
      </c>
      <c r="AJ328" s="41">
        <f t="shared" si="177"/>
        <v>10</v>
      </c>
      <c r="AK328" s="197">
        <f t="shared" si="176"/>
        <v>12.145924930488421</v>
      </c>
    </row>
    <row r="329" spans="27:37">
      <c r="AA329" s="180">
        <f t="shared" si="178"/>
        <v>3024000000</v>
      </c>
      <c r="AB329" s="41">
        <v>3600</v>
      </c>
      <c r="AC329" s="21">
        <v>20</v>
      </c>
      <c r="AD329" s="21" t="s">
        <v>283</v>
      </c>
      <c r="AE329" s="175">
        <f t="shared" si="174"/>
        <v>100</v>
      </c>
      <c r="AF329" s="21">
        <f t="shared" si="175"/>
        <v>100</v>
      </c>
      <c r="AG329" s="83">
        <v>0.79500000000000004</v>
      </c>
      <c r="AH329" s="242">
        <f t="shared" si="173"/>
        <v>7.95</v>
      </c>
      <c r="AI329" s="21">
        <v>0.13</v>
      </c>
      <c r="AJ329" s="41">
        <f t="shared" si="177"/>
        <v>10</v>
      </c>
      <c r="AK329" s="197">
        <f t="shared" si="176"/>
        <v>12.145924930488421</v>
      </c>
    </row>
    <row r="330" spans="27:37">
      <c r="AA330" s="180">
        <f t="shared" si="178"/>
        <v>3045000000</v>
      </c>
      <c r="AB330" s="41">
        <v>3625</v>
      </c>
      <c r="AC330" s="21">
        <v>20</v>
      </c>
      <c r="AD330" s="21" t="s">
        <v>283</v>
      </c>
      <c r="AE330" s="175">
        <f t="shared" si="174"/>
        <v>100</v>
      </c>
      <c r="AF330" s="21">
        <f t="shared" si="175"/>
        <v>100</v>
      </c>
      <c r="AG330" s="83">
        <v>0.79500000000000004</v>
      </c>
      <c r="AH330" s="242">
        <f t="shared" si="173"/>
        <v>7.95</v>
      </c>
      <c r="AI330" s="21">
        <v>0.13</v>
      </c>
      <c r="AJ330" s="41">
        <f t="shared" si="177"/>
        <v>10</v>
      </c>
      <c r="AK330" s="197">
        <f t="shared" si="176"/>
        <v>12.145924930488421</v>
      </c>
    </row>
    <row r="331" spans="27:37">
      <c r="AA331" s="180">
        <f t="shared" si="178"/>
        <v>3066000000</v>
      </c>
      <c r="AB331" s="41">
        <v>3650</v>
      </c>
      <c r="AC331" s="21">
        <v>20</v>
      </c>
      <c r="AD331" s="21" t="s">
        <v>283</v>
      </c>
      <c r="AE331" s="175">
        <f t="shared" si="174"/>
        <v>100</v>
      </c>
      <c r="AF331" s="21">
        <f t="shared" si="175"/>
        <v>100</v>
      </c>
      <c r="AG331" s="83">
        <v>0.79500000000000004</v>
      </c>
      <c r="AH331" s="242">
        <f t="shared" si="173"/>
        <v>7.95</v>
      </c>
      <c r="AI331" s="21">
        <v>0.13</v>
      </c>
      <c r="AJ331" s="41">
        <f t="shared" si="177"/>
        <v>10</v>
      </c>
      <c r="AK331" s="197">
        <f t="shared" si="176"/>
        <v>12.145924930488421</v>
      </c>
    </row>
    <row r="332" spans="27:37">
      <c r="AA332" s="180">
        <f t="shared" si="178"/>
        <v>3087000000</v>
      </c>
      <c r="AB332" s="41">
        <v>3675</v>
      </c>
      <c r="AC332" s="21">
        <v>20</v>
      </c>
      <c r="AD332" s="21" t="s">
        <v>283</v>
      </c>
      <c r="AE332" s="175">
        <f t="shared" si="174"/>
        <v>100</v>
      </c>
      <c r="AF332" s="21">
        <f t="shared" si="175"/>
        <v>100</v>
      </c>
      <c r="AG332" s="83">
        <v>0.79500000000000004</v>
      </c>
      <c r="AH332" s="242">
        <f t="shared" si="173"/>
        <v>7.95</v>
      </c>
      <c r="AI332" s="21">
        <v>0.13</v>
      </c>
      <c r="AJ332" s="41">
        <f t="shared" si="177"/>
        <v>10</v>
      </c>
      <c r="AK332" s="197">
        <f t="shared" si="176"/>
        <v>12.145924930488421</v>
      </c>
    </row>
    <row r="333" spans="27:37">
      <c r="AA333" s="180">
        <f t="shared" si="178"/>
        <v>3108000000</v>
      </c>
      <c r="AB333" s="41">
        <v>3700</v>
      </c>
      <c r="AC333" s="21">
        <v>20</v>
      </c>
      <c r="AD333" s="21" t="s">
        <v>283</v>
      </c>
      <c r="AE333" s="175">
        <f t="shared" si="174"/>
        <v>100</v>
      </c>
      <c r="AF333" s="21">
        <f t="shared" si="175"/>
        <v>100</v>
      </c>
      <c r="AG333" s="83">
        <v>0.79500000000000004</v>
      </c>
      <c r="AH333" s="242">
        <f t="shared" si="173"/>
        <v>7.95</v>
      </c>
      <c r="AI333" s="21">
        <v>0.13</v>
      </c>
      <c r="AJ333" s="41">
        <f t="shared" si="177"/>
        <v>10</v>
      </c>
      <c r="AK333" s="197">
        <f t="shared" si="176"/>
        <v>12.145924930488421</v>
      </c>
    </row>
    <row r="334" spans="27:37">
      <c r="AA334" s="180">
        <f t="shared" si="178"/>
        <v>3129000000</v>
      </c>
      <c r="AB334" s="41">
        <v>3725</v>
      </c>
      <c r="AC334" s="21">
        <v>20</v>
      </c>
      <c r="AD334" s="21" t="s">
        <v>283</v>
      </c>
      <c r="AE334" s="175">
        <f t="shared" si="174"/>
        <v>100</v>
      </c>
      <c r="AF334" s="21">
        <f t="shared" si="175"/>
        <v>100</v>
      </c>
      <c r="AG334" s="83">
        <v>0.79500000000000004</v>
      </c>
      <c r="AH334" s="242">
        <f t="shared" ref="AH334:AH362" si="179">AG334*10</f>
        <v>7.95</v>
      </c>
      <c r="AI334" s="21">
        <v>0.13</v>
      </c>
      <c r="AJ334" s="41">
        <f t="shared" si="177"/>
        <v>10</v>
      </c>
      <c r="AK334" s="197">
        <f t="shared" si="176"/>
        <v>12.145924930488421</v>
      </c>
    </row>
    <row r="335" spans="27:37">
      <c r="AA335" s="180">
        <f t="shared" si="178"/>
        <v>3150000000</v>
      </c>
      <c r="AB335" s="41">
        <v>3750</v>
      </c>
      <c r="AC335" s="21">
        <v>20</v>
      </c>
      <c r="AD335" s="21" t="s">
        <v>283</v>
      </c>
      <c r="AE335" s="175">
        <f t="shared" si="174"/>
        <v>100</v>
      </c>
      <c r="AF335" s="21">
        <f t="shared" si="175"/>
        <v>100</v>
      </c>
      <c r="AG335" s="83">
        <v>0.79500000000000004</v>
      </c>
      <c r="AH335" s="242">
        <f t="shared" si="179"/>
        <v>7.95</v>
      </c>
      <c r="AI335" s="21">
        <v>0.13</v>
      </c>
      <c r="AJ335" s="41">
        <f t="shared" si="177"/>
        <v>10</v>
      </c>
      <c r="AK335" s="197">
        <f t="shared" si="176"/>
        <v>12.145924930488421</v>
      </c>
    </row>
    <row r="336" spans="27:37">
      <c r="AA336" s="180">
        <f t="shared" si="178"/>
        <v>3171000000</v>
      </c>
      <c r="AB336" s="41">
        <v>3775</v>
      </c>
      <c r="AC336" s="21">
        <v>20</v>
      </c>
      <c r="AD336" s="21" t="s">
        <v>283</v>
      </c>
      <c r="AE336" s="175">
        <f t="shared" si="174"/>
        <v>100</v>
      </c>
      <c r="AF336" s="21">
        <f t="shared" si="175"/>
        <v>100</v>
      </c>
      <c r="AG336" s="83">
        <v>0.79500000000000004</v>
      </c>
      <c r="AH336" s="242">
        <f t="shared" si="179"/>
        <v>7.95</v>
      </c>
      <c r="AI336" s="21">
        <v>0.13</v>
      </c>
      <c r="AJ336" s="41">
        <f t="shared" si="177"/>
        <v>10</v>
      </c>
      <c r="AK336" s="197">
        <f t="shared" si="176"/>
        <v>12.145924930488421</v>
      </c>
    </row>
    <row r="337" spans="27:37">
      <c r="AA337" s="180">
        <f t="shared" si="178"/>
        <v>3192000000</v>
      </c>
      <c r="AB337" s="41">
        <v>3800</v>
      </c>
      <c r="AC337" s="21">
        <v>20</v>
      </c>
      <c r="AD337" s="21" t="s">
        <v>283</v>
      </c>
      <c r="AE337" s="175">
        <f t="shared" si="174"/>
        <v>100</v>
      </c>
      <c r="AF337" s="21">
        <f t="shared" si="175"/>
        <v>100</v>
      </c>
      <c r="AG337" s="83">
        <v>0.79500000000000004</v>
      </c>
      <c r="AH337" s="242">
        <f t="shared" si="179"/>
        <v>7.95</v>
      </c>
      <c r="AI337" s="21">
        <v>0.13</v>
      </c>
      <c r="AJ337" s="41">
        <f t="shared" si="177"/>
        <v>10</v>
      </c>
      <c r="AK337" s="197">
        <f t="shared" si="176"/>
        <v>12.145924930488421</v>
      </c>
    </row>
    <row r="338" spans="27:37">
      <c r="AA338" s="180">
        <f t="shared" si="178"/>
        <v>3213000000</v>
      </c>
      <c r="AB338" s="41">
        <v>3825</v>
      </c>
      <c r="AC338" s="21">
        <v>20</v>
      </c>
      <c r="AD338" s="21" t="s">
        <v>283</v>
      </c>
      <c r="AE338" s="175">
        <f t="shared" si="174"/>
        <v>100</v>
      </c>
      <c r="AF338" s="21">
        <f t="shared" si="175"/>
        <v>100</v>
      </c>
      <c r="AG338" s="83">
        <v>0.79500000000000004</v>
      </c>
      <c r="AH338" s="242">
        <f t="shared" si="179"/>
        <v>7.95</v>
      </c>
      <c r="AI338" s="21">
        <v>0.13</v>
      </c>
      <c r="AJ338" s="41">
        <f t="shared" si="177"/>
        <v>10</v>
      </c>
      <c r="AK338" s="197">
        <f t="shared" si="176"/>
        <v>12.145924930488421</v>
      </c>
    </row>
    <row r="339" spans="27:37">
      <c r="AA339" s="180">
        <f t="shared" si="178"/>
        <v>3234000000</v>
      </c>
      <c r="AB339" s="41">
        <v>3850</v>
      </c>
      <c r="AC339" s="21">
        <v>20</v>
      </c>
      <c r="AD339" s="21" t="s">
        <v>283</v>
      </c>
      <c r="AE339" s="175">
        <f t="shared" si="174"/>
        <v>100</v>
      </c>
      <c r="AF339" s="21">
        <f t="shared" si="175"/>
        <v>100</v>
      </c>
      <c r="AG339" s="83">
        <v>0.79500000000000004</v>
      </c>
      <c r="AH339" s="242">
        <f t="shared" si="179"/>
        <v>7.95</v>
      </c>
      <c r="AI339" s="21">
        <v>0.13</v>
      </c>
      <c r="AJ339" s="41">
        <f t="shared" si="177"/>
        <v>10</v>
      </c>
      <c r="AK339" s="197">
        <f t="shared" si="176"/>
        <v>12.145924930488421</v>
      </c>
    </row>
    <row r="340" spans="27:37">
      <c r="AA340" s="180">
        <f t="shared" si="178"/>
        <v>3255000000</v>
      </c>
      <c r="AB340" s="41">
        <v>3875</v>
      </c>
      <c r="AC340" s="21">
        <v>20</v>
      </c>
      <c r="AD340" s="21" t="s">
        <v>283</v>
      </c>
      <c r="AE340" s="175">
        <f t="shared" si="174"/>
        <v>100</v>
      </c>
      <c r="AF340" s="21">
        <f t="shared" si="175"/>
        <v>100</v>
      </c>
      <c r="AG340" s="83">
        <v>0.79500000000000004</v>
      </c>
      <c r="AH340" s="242">
        <f t="shared" si="179"/>
        <v>7.95</v>
      </c>
      <c r="AI340" s="21">
        <v>0.13</v>
      </c>
      <c r="AJ340" s="41">
        <f t="shared" si="177"/>
        <v>10</v>
      </c>
      <c r="AK340" s="197">
        <f t="shared" si="176"/>
        <v>12.145924930488421</v>
      </c>
    </row>
    <row r="341" spans="27:37">
      <c r="AA341" s="180">
        <f t="shared" si="178"/>
        <v>3276000000</v>
      </c>
      <c r="AB341" s="41">
        <v>3900</v>
      </c>
      <c r="AC341" s="21">
        <v>20</v>
      </c>
      <c r="AD341" s="21" t="s">
        <v>283</v>
      </c>
      <c r="AE341" s="175">
        <f t="shared" si="174"/>
        <v>100</v>
      </c>
      <c r="AF341" s="21">
        <f t="shared" si="175"/>
        <v>100</v>
      </c>
      <c r="AG341" s="83">
        <v>0.79500000000000004</v>
      </c>
      <c r="AH341" s="242">
        <f t="shared" si="179"/>
        <v>7.95</v>
      </c>
      <c r="AI341" s="21">
        <v>0.13</v>
      </c>
      <c r="AJ341" s="41">
        <f t="shared" si="177"/>
        <v>10</v>
      </c>
      <c r="AK341" s="197">
        <f t="shared" si="176"/>
        <v>12.145924930488421</v>
      </c>
    </row>
    <row r="342" spans="27:37">
      <c r="AA342" s="180">
        <f t="shared" si="178"/>
        <v>3297000000</v>
      </c>
      <c r="AB342" s="41">
        <v>3925</v>
      </c>
      <c r="AC342" s="21">
        <v>20</v>
      </c>
      <c r="AD342" s="21" t="s">
        <v>283</v>
      </c>
      <c r="AE342" s="175">
        <f t="shared" si="174"/>
        <v>100</v>
      </c>
      <c r="AF342" s="21">
        <f t="shared" si="175"/>
        <v>100</v>
      </c>
      <c r="AG342" s="83">
        <v>0.79500000000000004</v>
      </c>
      <c r="AH342" s="242">
        <f t="shared" si="179"/>
        <v>7.95</v>
      </c>
      <c r="AI342" s="21">
        <v>0.13</v>
      </c>
      <c r="AJ342" s="41">
        <f t="shared" si="177"/>
        <v>10</v>
      </c>
      <c r="AK342" s="197">
        <f t="shared" si="176"/>
        <v>12.145924930488421</v>
      </c>
    </row>
    <row r="343" spans="27:37">
      <c r="AA343" s="180">
        <f t="shared" si="178"/>
        <v>3318000000</v>
      </c>
      <c r="AB343" s="41">
        <v>3950</v>
      </c>
      <c r="AC343" s="21">
        <v>20</v>
      </c>
      <c r="AD343" s="21" t="s">
        <v>283</v>
      </c>
      <c r="AE343" s="175">
        <f t="shared" si="174"/>
        <v>100</v>
      </c>
      <c r="AF343" s="21">
        <f t="shared" si="175"/>
        <v>100</v>
      </c>
      <c r="AG343" s="83">
        <v>0.79500000000000004</v>
      </c>
      <c r="AH343" s="242">
        <f t="shared" si="179"/>
        <v>7.95</v>
      </c>
      <c r="AI343" s="21">
        <v>0.13</v>
      </c>
      <c r="AJ343" s="41">
        <f t="shared" si="177"/>
        <v>10</v>
      </c>
      <c r="AK343" s="197">
        <f t="shared" si="176"/>
        <v>12.145924930488421</v>
      </c>
    </row>
    <row r="344" spans="27:37">
      <c r="AA344" s="180">
        <f t="shared" si="178"/>
        <v>3339000000</v>
      </c>
      <c r="AB344" s="41">
        <v>3975</v>
      </c>
      <c r="AC344" s="21">
        <v>20</v>
      </c>
      <c r="AD344" s="21" t="s">
        <v>283</v>
      </c>
      <c r="AE344" s="175">
        <f t="shared" si="174"/>
        <v>100</v>
      </c>
      <c r="AF344" s="21">
        <f t="shared" si="175"/>
        <v>100</v>
      </c>
      <c r="AG344" s="83">
        <v>0.79500000000000004</v>
      </c>
      <c r="AH344" s="242">
        <f t="shared" si="179"/>
        <v>7.95</v>
      </c>
      <c r="AI344" s="21">
        <v>0.13</v>
      </c>
      <c r="AJ344" s="41">
        <f t="shared" si="177"/>
        <v>10</v>
      </c>
      <c r="AK344" s="197">
        <f t="shared" si="176"/>
        <v>12.145924930488421</v>
      </c>
    </row>
    <row r="345" spans="27:37">
      <c r="AA345" s="180">
        <f t="shared" si="178"/>
        <v>3360000000</v>
      </c>
      <c r="AB345" s="41">
        <v>4000</v>
      </c>
      <c r="AC345" s="21">
        <v>20</v>
      </c>
      <c r="AD345" s="21" t="s">
        <v>283</v>
      </c>
      <c r="AE345" s="175">
        <f t="shared" si="174"/>
        <v>100</v>
      </c>
      <c r="AF345" s="21">
        <f t="shared" si="175"/>
        <v>100</v>
      </c>
      <c r="AG345" s="83">
        <v>0.79500000000000004</v>
      </c>
      <c r="AH345" s="242">
        <f t="shared" si="179"/>
        <v>7.95</v>
      </c>
      <c r="AI345" s="21">
        <v>0.13</v>
      </c>
      <c r="AJ345" s="41">
        <f t="shared" si="177"/>
        <v>10</v>
      </c>
      <c r="AK345" s="197">
        <f t="shared" si="176"/>
        <v>12.145924930488421</v>
      </c>
    </row>
    <row r="346" spans="27:37">
      <c r="AA346" s="180">
        <f t="shared" si="178"/>
        <v>3381000000</v>
      </c>
      <c r="AB346" s="41">
        <v>4025</v>
      </c>
      <c r="AC346" s="21">
        <v>20</v>
      </c>
      <c r="AD346" s="21" t="s">
        <v>283</v>
      </c>
      <c r="AE346" s="175">
        <f t="shared" si="174"/>
        <v>100</v>
      </c>
      <c r="AF346" s="21">
        <f t="shared" si="175"/>
        <v>100</v>
      </c>
      <c r="AG346" s="83">
        <v>0.79500000000000004</v>
      </c>
      <c r="AH346" s="242">
        <f t="shared" si="179"/>
        <v>7.95</v>
      </c>
      <c r="AI346" s="21">
        <v>0.13</v>
      </c>
      <c r="AJ346" s="41">
        <f t="shared" si="177"/>
        <v>10</v>
      </c>
      <c r="AK346" s="197">
        <f t="shared" si="176"/>
        <v>12.145924930488421</v>
      </c>
    </row>
    <row r="347" spans="27:37">
      <c r="AA347" s="180">
        <f t="shared" si="178"/>
        <v>3402000000</v>
      </c>
      <c r="AB347" s="41">
        <v>4050</v>
      </c>
      <c r="AC347" s="21">
        <v>20</v>
      </c>
      <c r="AD347" s="21" t="s">
        <v>283</v>
      </c>
      <c r="AE347" s="175">
        <f t="shared" si="174"/>
        <v>100</v>
      </c>
      <c r="AF347" s="21">
        <f t="shared" si="175"/>
        <v>100</v>
      </c>
      <c r="AG347" s="83">
        <v>0.79500000000000004</v>
      </c>
      <c r="AH347" s="242">
        <f t="shared" si="179"/>
        <v>7.95</v>
      </c>
      <c r="AI347" s="21">
        <v>0.13</v>
      </c>
      <c r="AJ347" s="41">
        <f t="shared" si="177"/>
        <v>10</v>
      </c>
      <c r="AK347" s="197">
        <f t="shared" si="176"/>
        <v>12.145924930488421</v>
      </c>
    </row>
    <row r="348" spans="27:37">
      <c r="AA348" s="180">
        <f t="shared" si="178"/>
        <v>3423000000</v>
      </c>
      <c r="AB348" s="41">
        <v>4075</v>
      </c>
      <c r="AC348" s="21">
        <v>20</v>
      </c>
      <c r="AD348" s="21" t="s">
        <v>283</v>
      </c>
      <c r="AE348" s="175">
        <f t="shared" si="174"/>
        <v>100</v>
      </c>
      <c r="AF348" s="21">
        <f t="shared" si="175"/>
        <v>100</v>
      </c>
      <c r="AG348" s="83">
        <v>0.79500000000000004</v>
      </c>
      <c r="AH348" s="242">
        <f t="shared" si="179"/>
        <v>7.95</v>
      </c>
      <c r="AI348" s="21">
        <v>0.13</v>
      </c>
      <c r="AJ348" s="41">
        <f t="shared" si="177"/>
        <v>10</v>
      </c>
      <c r="AK348" s="197">
        <f t="shared" si="176"/>
        <v>12.145924930488421</v>
      </c>
    </row>
    <row r="349" spans="27:37">
      <c r="AA349" s="180">
        <f t="shared" si="178"/>
        <v>3444000000</v>
      </c>
      <c r="AB349" s="41">
        <v>4100</v>
      </c>
      <c r="AC349" s="21">
        <v>20</v>
      </c>
      <c r="AD349" s="21" t="s">
        <v>283</v>
      </c>
      <c r="AE349" s="175">
        <f t="shared" si="174"/>
        <v>100</v>
      </c>
      <c r="AF349" s="21">
        <f t="shared" si="175"/>
        <v>100</v>
      </c>
      <c r="AG349" s="83">
        <v>0.79500000000000004</v>
      </c>
      <c r="AH349" s="242">
        <f t="shared" si="179"/>
        <v>7.95</v>
      </c>
      <c r="AI349" s="21">
        <v>0.13</v>
      </c>
      <c r="AJ349" s="41">
        <f t="shared" si="177"/>
        <v>10</v>
      </c>
      <c r="AK349" s="197">
        <f t="shared" si="176"/>
        <v>12.145924930488421</v>
      </c>
    </row>
    <row r="350" spans="27:37">
      <c r="AA350" s="180">
        <f t="shared" si="178"/>
        <v>3465000000</v>
      </c>
      <c r="AB350" s="41">
        <v>4125</v>
      </c>
      <c r="AC350" s="21">
        <v>20</v>
      </c>
      <c r="AD350" s="21" t="s">
        <v>283</v>
      </c>
      <c r="AE350" s="175">
        <f t="shared" si="174"/>
        <v>100</v>
      </c>
      <c r="AF350" s="21">
        <f t="shared" si="175"/>
        <v>100</v>
      </c>
      <c r="AG350" s="83">
        <v>0.79500000000000004</v>
      </c>
      <c r="AH350" s="242">
        <f t="shared" si="179"/>
        <v>7.95</v>
      </c>
      <c r="AI350" s="21">
        <v>0.13</v>
      </c>
      <c r="AJ350" s="41">
        <f t="shared" si="177"/>
        <v>10</v>
      </c>
      <c r="AK350" s="197">
        <f t="shared" si="176"/>
        <v>12.145924930488421</v>
      </c>
    </row>
    <row r="351" spans="27:37">
      <c r="AA351" s="180">
        <f t="shared" si="178"/>
        <v>3486000000</v>
      </c>
      <c r="AB351" s="41">
        <v>4150</v>
      </c>
      <c r="AC351" s="21">
        <v>20</v>
      </c>
      <c r="AD351" s="21" t="s">
        <v>283</v>
      </c>
      <c r="AE351" s="175">
        <f t="shared" si="174"/>
        <v>100</v>
      </c>
      <c r="AF351" s="21">
        <f t="shared" si="175"/>
        <v>100</v>
      </c>
      <c r="AG351" s="83">
        <v>0.79500000000000004</v>
      </c>
      <c r="AH351" s="242">
        <f t="shared" si="179"/>
        <v>7.95</v>
      </c>
      <c r="AI351" s="21">
        <v>0.13</v>
      </c>
      <c r="AJ351" s="41">
        <f t="shared" si="177"/>
        <v>10</v>
      </c>
      <c r="AK351" s="197">
        <f t="shared" si="176"/>
        <v>12.145924930488421</v>
      </c>
    </row>
    <row r="352" spans="27:37">
      <c r="AA352" s="180">
        <f t="shared" si="178"/>
        <v>3507000000</v>
      </c>
      <c r="AB352" s="41">
        <v>4175</v>
      </c>
      <c r="AC352" s="21">
        <v>20</v>
      </c>
      <c r="AD352" s="21" t="s">
        <v>283</v>
      </c>
      <c r="AE352" s="175">
        <f t="shared" si="174"/>
        <v>100</v>
      </c>
      <c r="AF352" s="21">
        <f t="shared" si="175"/>
        <v>100</v>
      </c>
      <c r="AG352" s="83">
        <v>0.79500000000000004</v>
      </c>
      <c r="AH352" s="242">
        <f t="shared" si="179"/>
        <v>7.95</v>
      </c>
      <c r="AI352" s="21">
        <v>0.13</v>
      </c>
      <c r="AJ352" s="41">
        <f t="shared" si="177"/>
        <v>10</v>
      </c>
      <c r="AK352" s="197">
        <f t="shared" si="176"/>
        <v>12.145924930488421</v>
      </c>
    </row>
    <row r="353" spans="27:59">
      <c r="AA353" s="180">
        <f t="shared" si="178"/>
        <v>3528000000</v>
      </c>
      <c r="AB353" s="41">
        <v>4200</v>
      </c>
      <c r="AC353" s="21">
        <v>20</v>
      </c>
      <c r="AD353" s="21" t="s">
        <v>283</v>
      </c>
      <c r="AE353" s="175">
        <f t="shared" si="174"/>
        <v>100</v>
      </c>
      <c r="AF353" s="21">
        <f t="shared" si="175"/>
        <v>100</v>
      </c>
      <c r="AG353" s="83">
        <v>0.79500000000000004</v>
      </c>
      <c r="AH353" s="242">
        <f t="shared" si="179"/>
        <v>7.95</v>
      </c>
      <c r="AI353" s="21">
        <v>0.13</v>
      </c>
      <c r="AJ353" s="41">
        <f t="shared" si="177"/>
        <v>10</v>
      </c>
      <c r="AK353" s="197">
        <f t="shared" si="176"/>
        <v>12.145924930488421</v>
      </c>
    </row>
    <row r="354" spans="27:59">
      <c r="AA354" s="180">
        <f t="shared" si="178"/>
        <v>3549000000</v>
      </c>
      <c r="AB354" s="41">
        <v>4225</v>
      </c>
      <c r="AC354" s="21">
        <v>20</v>
      </c>
      <c r="AD354" s="21" t="s">
        <v>283</v>
      </c>
      <c r="AE354" s="175">
        <f t="shared" si="174"/>
        <v>100</v>
      </c>
      <c r="AF354" s="21">
        <f t="shared" si="175"/>
        <v>100</v>
      </c>
      <c r="AG354" s="83">
        <v>0.79500000000000004</v>
      </c>
      <c r="AH354" s="242">
        <f t="shared" si="179"/>
        <v>7.95</v>
      </c>
      <c r="AI354" s="21">
        <v>0.13</v>
      </c>
      <c r="AJ354" s="41">
        <f t="shared" si="177"/>
        <v>10</v>
      </c>
      <c r="AK354" s="197">
        <f t="shared" si="176"/>
        <v>12.145924930488421</v>
      </c>
    </row>
    <row r="355" spans="27:59">
      <c r="AA355" s="180">
        <f t="shared" si="178"/>
        <v>3570000000</v>
      </c>
      <c r="AB355" s="41">
        <v>4250</v>
      </c>
      <c r="AC355" s="21">
        <v>20</v>
      </c>
      <c r="AD355" s="21" t="s">
        <v>283</v>
      </c>
      <c r="AE355" s="175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42">
        <f t="shared" si="179"/>
        <v>7.95</v>
      </c>
      <c r="AI355" s="21">
        <v>0.13</v>
      </c>
      <c r="AJ355" s="41">
        <f t="shared" si="177"/>
        <v>10</v>
      </c>
      <c r="AK355" s="197">
        <f t="shared" ref="AK355:AK362" si="182">(AB355-AB354)*$D$50</f>
        <v>12.145924930488421</v>
      </c>
    </row>
    <row r="356" spans="27:59">
      <c r="AA356" s="180">
        <f t="shared" si="178"/>
        <v>3591000000</v>
      </c>
      <c r="AB356" s="41">
        <v>4275</v>
      </c>
      <c r="AC356" s="21">
        <v>20</v>
      </c>
      <c r="AD356" s="21" t="s">
        <v>283</v>
      </c>
      <c r="AE356" s="175">
        <f t="shared" si="180"/>
        <v>100</v>
      </c>
      <c r="AF356" s="21">
        <f t="shared" si="181"/>
        <v>100</v>
      </c>
      <c r="AG356" s="83">
        <v>0.79500000000000004</v>
      </c>
      <c r="AH356" s="242">
        <f t="shared" si="179"/>
        <v>7.95</v>
      </c>
      <c r="AI356" s="21">
        <v>0.13</v>
      </c>
      <c r="AJ356" s="41">
        <f t="shared" si="177"/>
        <v>10</v>
      </c>
      <c r="AK356" s="197">
        <f t="shared" si="182"/>
        <v>12.145924930488421</v>
      </c>
    </row>
    <row r="357" spans="27:59">
      <c r="AA357" s="180">
        <f t="shared" si="178"/>
        <v>3612000000</v>
      </c>
      <c r="AB357" s="41">
        <v>4300</v>
      </c>
      <c r="AC357" s="21">
        <v>20</v>
      </c>
      <c r="AD357" s="21" t="s">
        <v>283</v>
      </c>
      <c r="AE357" s="175">
        <f t="shared" si="180"/>
        <v>100</v>
      </c>
      <c r="AF357" s="21">
        <f t="shared" si="181"/>
        <v>100</v>
      </c>
      <c r="AG357" s="83">
        <v>0.79500000000000004</v>
      </c>
      <c r="AH357" s="242">
        <f t="shared" si="179"/>
        <v>7.95</v>
      </c>
      <c r="AI357" s="21">
        <v>0.13</v>
      </c>
      <c r="AJ357" s="41">
        <f t="shared" si="177"/>
        <v>10</v>
      </c>
      <c r="AK357" s="197">
        <f t="shared" si="182"/>
        <v>12.145924930488421</v>
      </c>
    </row>
    <row r="358" spans="27:59">
      <c r="AA358" s="180">
        <f t="shared" si="178"/>
        <v>3633000000</v>
      </c>
      <c r="AB358" s="41">
        <v>4325</v>
      </c>
      <c r="AC358" s="21">
        <v>20</v>
      </c>
      <c r="AD358" s="21" t="s">
        <v>283</v>
      </c>
      <c r="AE358" s="175">
        <f t="shared" si="180"/>
        <v>100</v>
      </c>
      <c r="AF358" s="21">
        <f t="shared" si="181"/>
        <v>100</v>
      </c>
      <c r="AG358" s="83">
        <v>0.79500000000000004</v>
      </c>
      <c r="AH358" s="242">
        <f t="shared" si="179"/>
        <v>7.95</v>
      </c>
      <c r="AI358" s="21">
        <v>0.13</v>
      </c>
      <c r="AJ358" s="41">
        <f t="shared" si="177"/>
        <v>10</v>
      </c>
      <c r="AK358" s="197">
        <f t="shared" si="182"/>
        <v>12.145924930488421</v>
      </c>
    </row>
    <row r="359" spans="27:59">
      <c r="AA359" s="180">
        <f t="shared" si="178"/>
        <v>3654000000</v>
      </c>
      <c r="AB359" s="41">
        <v>4350</v>
      </c>
      <c r="AC359" s="21">
        <v>20</v>
      </c>
      <c r="AD359" s="21" t="s">
        <v>283</v>
      </c>
      <c r="AE359" s="175">
        <f t="shared" si="180"/>
        <v>100</v>
      </c>
      <c r="AF359" s="21">
        <f t="shared" si="181"/>
        <v>100</v>
      </c>
      <c r="AG359" s="83">
        <v>0.79500000000000004</v>
      </c>
      <c r="AH359" s="242">
        <f t="shared" si="179"/>
        <v>7.95</v>
      </c>
      <c r="AI359" s="21">
        <v>0.13</v>
      </c>
      <c r="AJ359" s="41">
        <f t="shared" si="177"/>
        <v>10</v>
      </c>
      <c r="AK359" s="197">
        <f t="shared" si="182"/>
        <v>12.145924930488421</v>
      </c>
    </row>
    <row r="360" spans="27:59">
      <c r="AA360" s="180">
        <f t="shared" si="178"/>
        <v>3675000000</v>
      </c>
      <c r="AB360" s="41">
        <v>4375</v>
      </c>
      <c r="AC360" s="21">
        <v>20</v>
      </c>
      <c r="AD360" s="21" t="s">
        <v>283</v>
      </c>
      <c r="AE360" s="175">
        <f t="shared" si="180"/>
        <v>100</v>
      </c>
      <c r="AF360" s="21">
        <f t="shared" si="181"/>
        <v>100</v>
      </c>
      <c r="AG360" s="83">
        <v>0.79500000000000004</v>
      </c>
      <c r="AH360" s="242">
        <f t="shared" si="179"/>
        <v>7.95</v>
      </c>
      <c r="AI360" s="21">
        <v>0.13</v>
      </c>
      <c r="AJ360" s="41">
        <f t="shared" si="177"/>
        <v>10</v>
      </c>
      <c r="AK360" s="197">
        <f t="shared" si="182"/>
        <v>12.145924930488421</v>
      </c>
    </row>
    <row r="361" spans="27:59">
      <c r="AA361" s="180">
        <f t="shared" si="178"/>
        <v>3696000000</v>
      </c>
      <c r="AB361" s="41">
        <v>4400</v>
      </c>
      <c r="AC361" s="21">
        <v>20</v>
      </c>
      <c r="AD361" s="21" t="s">
        <v>283</v>
      </c>
      <c r="AE361" s="175">
        <f t="shared" si="180"/>
        <v>100</v>
      </c>
      <c r="AF361" s="21">
        <f t="shared" si="181"/>
        <v>100</v>
      </c>
      <c r="AG361" s="83">
        <v>0.79500000000000004</v>
      </c>
      <c r="AH361" s="242">
        <f t="shared" si="179"/>
        <v>7.95</v>
      </c>
      <c r="AI361" s="21">
        <v>0.13</v>
      </c>
      <c r="AJ361" s="41">
        <f t="shared" si="177"/>
        <v>10</v>
      </c>
      <c r="AK361" s="197">
        <f t="shared" si="182"/>
        <v>12.145924930488421</v>
      </c>
    </row>
    <row r="362" spans="27:59" ht="15" thickBot="1">
      <c r="AA362" s="188">
        <f t="shared" si="178"/>
        <v>3717000000</v>
      </c>
      <c r="AB362" s="40">
        <v>4425</v>
      </c>
      <c r="AC362" s="81">
        <v>20</v>
      </c>
      <c r="AD362" s="81" t="s">
        <v>283</v>
      </c>
      <c r="AE362" s="177">
        <f t="shared" si="180"/>
        <v>100</v>
      </c>
      <c r="AF362" s="81">
        <f t="shared" si="181"/>
        <v>100</v>
      </c>
      <c r="AG362" s="185">
        <v>0.79500000000000004</v>
      </c>
      <c r="AH362" s="243">
        <f t="shared" si="179"/>
        <v>7.95</v>
      </c>
      <c r="AI362" s="81">
        <v>0.13</v>
      </c>
      <c r="AJ362" s="40">
        <f t="shared" si="177"/>
        <v>10</v>
      </c>
      <c r="AK362" s="199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36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494" t="s">
        <v>400</v>
      </c>
      <c r="AB365" s="494"/>
      <c r="AC365" s="494"/>
      <c r="AD365" s="494"/>
      <c r="AE365" s="494"/>
      <c r="AF365" s="494"/>
      <c r="AG365" s="494"/>
      <c r="AH365" s="494"/>
      <c r="AI365" s="494"/>
      <c r="AJ365" s="494"/>
      <c r="AK365" s="494"/>
      <c r="AL365" s="191"/>
      <c r="AM365" s="495" t="s">
        <v>401</v>
      </c>
      <c r="AN365" s="495"/>
      <c r="AO365" s="495"/>
      <c r="AP365" s="495"/>
      <c r="AQ365" s="495"/>
      <c r="AR365" s="495"/>
      <c r="AS365" s="495"/>
      <c r="AT365" s="495"/>
      <c r="AU365" s="495"/>
      <c r="AV365" s="495"/>
      <c r="AW365" s="495"/>
      <c r="AX365" s="495"/>
      <c r="AY365" s="495"/>
      <c r="AZ365" s="495"/>
      <c r="BA365" s="495"/>
      <c r="BB365" s="495"/>
      <c r="BC365" s="495"/>
      <c r="BD365" s="495"/>
      <c r="BE365" s="495"/>
      <c r="BF365" s="495"/>
      <c r="BG365" s="27"/>
    </row>
    <row r="366" spans="27:59">
      <c r="AA366" s="238" t="s">
        <v>261</v>
      </c>
      <c r="AB366" s="88" t="s">
        <v>390</v>
      </c>
      <c r="AC366" s="210" t="s">
        <v>274</v>
      </c>
      <c r="AD366" s="210" t="s">
        <v>242</v>
      </c>
      <c r="AE366" s="210" t="s">
        <v>391</v>
      </c>
      <c r="AF366" s="210" t="s">
        <v>392</v>
      </c>
      <c r="AG366" s="210" t="s">
        <v>406</v>
      </c>
      <c r="AH366" s="241" t="s">
        <v>393</v>
      </c>
      <c r="AI366" s="210" t="s">
        <v>394</v>
      </c>
      <c r="AJ366" s="179" t="s">
        <v>395</v>
      </c>
      <c r="AK366" s="211" t="s">
        <v>396</v>
      </c>
      <c r="AM366" s="209">
        <v>2024</v>
      </c>
      <c r="AN366" s="210">
        <v>2025</v>
      </c>
      <c r="AO366" s="210">
        <v>2026</v>
      </c>
      <c r="AP366" s="210">
        <v>2027</v>
      </c>
      <c r="AQ366" s="210">
        <v>2028</v>
      </c>
      <c r="AR366" s="210">
        <v>2029</v>
      </c>
      <c r="AS366" s="210">
        <v>2030</v>
      </c>
      <c r="AT366" s="210">
        <v>2031</v>
      </c>
      <c r="AU366" s="210">
        <v>2032</v>
      </c>
      <c r="AV366" s="210">
        <v>2033</v>
      </c>
      <c r="AW366" s="210">
        <v>2034</v>
      </c>
      <c r="AX366" s="210">
        <v>2035</v>
      </c>
      <c r="AY366" s="210">
        <v>2036</v>
      </c>
      <c r="AZ366" s="210">
        <v>2037</v>
      </c>
      <c r="BA366" s="210">
        <v>2038</v>
      </c>
      <c r="BB366" s="210">
        <v>2039</v>
      </c>
      <c r="BC366" s="210">
        <v>2040</v>
      </c>
      <c r="BD366" s="210">
        <v>2041</v>
      </c>
      <c r="BE366" s="210">
        <v>2042</v>
      </c>
      <c r="BF366" s="210">
        <v>2043</v>
      </c>
      <c r="BG366" s="211" t="s">
        <v>397</v>
      </c>
    </row>
    <row r="367" spans="27:59">
      <c r="AA367" s="18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4">AG185*$B$5</f>
        <v>0</v>
      </c>
      <c r="AH367" s="242">
        <f t="shared" ref="AH367:AH387" si="185">AH185*$B$6</f>
        <v>0</v>
      </c>
      <c r="AI367" s="76">
        <f t="shared" ref="AI367:AI387" si="186">AI185*$B$7</f>
        <v>0</v>
      </c>
      <c r="AJ367" s="181">
        <f t="shared" ref="AJ367:AJ387" si="187">(AG367+AH367)*(AJ185/100)</f>
        <v>0</v>
      </c>
      <c r="AK367" s="182">
        <f t="shared" ref="AK367:AK387" si="188">AK185*$B$9</f>
        <v>0</v>
      </c>
      <c r="AM367" s="201">
        <f t="shared" ref="AM367:AM430" si="189">(AI367+AJ367+AK367)</f>
        <v>0</v>
      </c>
      <c r="AN367" s="202">
        <f t="shared" ref="AN367:BF367" si="190">$AM$367/POWER(1+($B$10/100),AN366-2024)</f>
        <v>0</v>
      </c>
      <c r="AO367" s="202">
        <f t="shared" si="190"/>
        <v>0</v>
      </c>
      <c r="AP367" s="202">
        <f t="shared" si="190"/>
        <v>0</v>
      </c>
      <c r="AQ367" s="202">
        <f t="shared" si="190"/>
        <v>0</v>
      </c>
      <c r="AR367" s="202">
        <f t="shared" si="190"/>
        <v>0</v>
      </c>
      <c r="AS367" s="202">
        <f t="shared" si="190"/>
        <v>0</v>
      </c>
      <c r="AT367" s="202">
        <f t="shared" si="190"/>
        <v>0</v>
      </c>
      <c r="AU367" s="202">
        <f t="shared" si="190"/>
        <v>0</v>
      </c>
      <c r="AV367" s="202">
        <f t="shared" si="190"/>
        <v>0</v>
      </c>
      <c r="AW367" s="202">
        <f t="shared" si="190"/>
        <v>0</v>
      </c>
      <c r="AX367" s="202">
        <f t="shared" si="190"/>
        <v>0</v>
      </c>
      <c r="AY367" s="202">
        <f t="shared" si="190"/>
        <v>0</v>
      </c>
      <c r="AZ367" s="202">
        <f t="shared" si="190"/>
        <v>0</v>
      </c>
      <c r="BA367" s="202">
        <f t="shared" si="190"/>
        <v>0</v>
      </c>
      <c r="BB367" s="202">
        <f t="shared" si="190"/>
        <v>0</v>
      </c>
      <c r="BC367" s="202">
        <f t="shared" si="190"/>
        <v>0</v>
      </c>
      <c r="BD367" s="202">
        <f t="shared" si="190"/>
        <v>0</v>
      </c>
      <c r="BE367" s="202">
        <f t="shared" si="190"/>
        <v>0</v>
      </c>
      <c r="BF367" s="202">
        <f t="shared" si="190"/>
        <v>0</v>
      </c>
      <c r="BG367" s="203">
        <f t="shared" ref="BG367:BG430" si="191">SUM(AM367:BF367)</f>
        <v>0</v>
      </c>
    </row>
    <row r="368" spans="27:59">
      <c r="AA368" s="180">
        <f>AA186</f>
        <v>21000000</v>
      </c>
      <c r="AB368" s="41">
        <f t="shared" ref="AB368:AB387" si="192">AB186</f>
        <v>25</v>
      </c>
      <c r="AC368" s="21">
        <v>1</v>
      </c>
      <c r="AD368" s="21" t="s">
        <v>283</v>
      </c>
      <c r="AE368" s="175">
        <f t="shared" ref="AE368:AE387" si="193">AE186*$B$3</f>
        <v>30</v>
      </c>
      <c r="AF368" s="183">
        <f t="shared" ref="AF368:AF387" si="194">AF186*$B$4</f>
        <v>27</v>
      </c>
      <c r="AG368" s="84">
        <f t="shared" si="184"/>
        <v>5</v>
      </c>
      <c r="AH368" s="242">
        <f t="shared" si="185"/>
        <v>2</v>
      </c>
      <c r="AI368" s="76">
        <f t="shared" si="186"/>
        <v>2.7E-2</v>
      </c>
      <c r="AJ368" s="181">
        <f t="shared" si="187"/>
        <v>0.70000000000000007</v>
      </c>
      <c r="AK368" s="182">
        <f t="shared" si="188"/>
        <v>38</v>
      </c>
      <c r="AM368" s="201">
        <f t="shared" si="189"/>
        <v>38.726999999999997</v>
      </c>
      <c r="AN368" s="202">
        <f t="shared" ref="AN368:BF368" si="195">$AM$368/POWER(1+($B$10/100),AN366-2024)</f>
        <v>37.599029126213587</v>
      </c>
      <c r="AO368" s="202">
        <f t="shared" si="195"/>
        <v>36.503911773022907</v>
      </c>
      <c r="AP368" s="202">
        <f t="shared" si="195"/>
        <v>35.44069104176981</v>
      </c>
      <c r="AQ368" s="202">
        <f t="shared" si="195"/>
        <v>34.408437904630887</v>
      </c>
      <c r="AR368" s="202">
        <f t="shared" si="195"/>
        <v>33.406250392845521</v>
      </c>
      <c r="AS368" s="202">
        <f t="shared" si="195"/>
        <v>32.433252808587881</v>
      </c>
      <c r="AT368" s="202">
        <f t="shared" si="195"/>
        <v>31.488594959794057</v>
      </c>
      <c r="AU368" s="202">
        <f t="shared" si="195"/>
        <v>30.571451417275789</v>
      </c>
      <c r="AV368" s="202">
        <f t="shared" si="195"/>
        <v>29.681020793471639</v>
      </c>
      <c r="AW368" s="202">
        <f t="shared" si="195"/>
        <v>28.816525042205473</v>
      </c>
      <c r="AX368" s="202">
        <f t="shared" si="195"/>
        <v>27.977208778840264</v>
      </c>
      <c r="AY368" s="202">
        <f t="shared" si="195"/>
        <v>27.162338620233271</v>
      </c>
      <c r="AZ368" s="202">
        <f t="shared" si="195"/>
        <v>26.3712025439158</v>
      </c>
      <c r="BA368" s="202">
        <f t="shared" si="195"/>
        <v>25.603109265937665</v>
      </c>
      <c r="BB368" s="202">
        <f t="shared" si="195"/>
        <v>24.857387636832684</v>
      </c>
      <c r="BC368" s="202">
        <f t="shared" si="195"/>
        <v>24.133386055177368</v>
      </c>
      <c r="BD368" s="202">
        <f t="shared" si="195"/>
        <v>23.430471898230454</v>
      </c>
      <c r="BE368" s="202">
        <f t="shared" si="195"/>
        <v>22.748030969155781</v>
      </c>
      <c r="BF368" s="202">
        <f t="shared" si="195"/>
        <v>22.085466960345418</v>
      </c>
      <c r="BG368" s="203">
        <f>SUM(AM368:BF368)</f>
        <v>593.44476798848643</v>
      </c>
    </row>
    <row r="369" spans="27:59">
      <c r="AA369" s="180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283</v>
      </c>
      <c r="AE369" s="175">
        <f t="shared" si="193"/>
        <v>30</v>
      </c>
      <c r="AF369" s="183">
        <f t="shared" si="194"/>
        <v>27</v>
      </c>
      <c r="AG369" s="84">
        <f t="shared" si="184"/>
        <v>0.39750000000000002</v>
      </c>
      <c r="AH369" s="242">
        <f t="shared" si="185"/>
        <v>0.159</v>
      </c>
      <c r="AI369" s="76">
        <f t="shared" si="186"/>
        <v>1.5600000000000002E-3</v>
      </c>
      <c r="AJ369" s="181">
        <f t="shared" si="187"/>
        <v>5.5650000000000005E-2</v>
      </c>
      <c r="AK369" s="182">
        <f t="shared" si="188"/>
        <v>2.3077257367928001</v>
      </c>
      <c r="AM369" s="201">
        <f t="shared" si="189"/>
        <v>2.3649357367928001</v>
      </c>
      <c r="AN369" s="202">
        <f t="shared" ref="AN369:BF369" si="197">$AM$369/POWER(1+($B$10/100),AN366-2024)</f>
        <v>2.2960541133910679</v>
      </c>
      <c r="AO369" s="202">
        <f t="shared" si="197"/>
        <v>2.2291787508651146</v>
      </c>
      <c r="AP369" s="202">
        <f t="shared" si="197"/>
        <v>2.16425121443215</v>
      </c>
      <c r="AQ369" s="202">
        <f t="shared" si="197"/>
        <v>2.1012147712933498</v>
      </c>
      <c r="AR369" s="202">
        <f t="shared" si="197"/>
        <v>2.0400143410615046</v>
      </c>
      <c r="AS369" s="202">
        <f t="shared" si="197"/>
        <v>1.9805964476325288</v>
      </c>
      <c r="AT369" s="202">
        <f t="shared" si="197"/>
        <v>1.9229091724587657</v>
      </c>
      <c r="AU369" s="202">
        <f t="shared" si="197"/>
        <v>1.8669021091832678</v>
      </c>
      <c r="AV369" s="202">
        <f t="shared" si="197"/>
        <v>1.8125263195954056</v>
      </c>
      <c r="AW369" s="202">
        <f t="shared" si="197"/>
        <v>1.7597342908693259</v>
      </c>
      <c r="AX369" s="202">
        <f t="shared" si="197"/>
        <v>1.7084798940478891</v>
      </c>
      <c r="AY369" s="202">
        <f t="shared" si="197"/>
        <v>1.6587183437358151</v>
      </c>
      <c r="AZ369" s="202">
        <f t="shared" si="197"/>
        <v>1.6104061589668108</v>
      </c>
      <c r="BA369" s="202">
        <f t="shared" si="197"/>
        <v>1.5635011252104958</v>
      </c>
      <c r="BB369" s="202">
        <f t="shared" si="197"/>
        <v>1.517962257485918</v>
      </c>
      <c r="BC369" s="202">
        <f t="shared" si="197"/>
        <v>1.4737497645494353</v>
      </c>
      <c r="BD369" s="202">
        <f t="shared" si="197"/>
        <v>1.4308250141256653</v>
      </c>
      <c r="BE369" s="202">
        <f t="shared" si="197"/>
        <v>1.3891504991511314</v>
      </c>
      <c r="BF369" s="202">
        <f t="shared" si="197"/>
        <v>1.3486898050010985</v>
      </c>
      <c r="BG369" s="203">
        <f>SUM(AM369:BF369)</f>
        <v>36.239800129849542</v>
      </c>
    </row>
    <row r="370" spans="27:59">
      <c r="AA370" s="180">
        <f t="shared" si="196"/>
        <v>63000000</v>
      </c>
      <c r="AB370" s="41">
        <f t="shared" si="192"/>
        <v>75</v>
      </c>
      <c r="AC370" s="21">
        <v>3</v>
      </c>
      <c r="AD370" s="21" t="s">
        <v>283</v>
      </c>
      <c r="AE370" s="175">
        <f t="shared" si="193"/>
        <v>30</v>
      </c>
      <c r="AF370" s="183">
        <f t="shared" si="194"/>
        <v>27</v>
      </c>
      <c r="AG370" s="84">
        <f t="shared" si="184"/>
        <v>0.39750000000000002</v>
      </c>
      <c r="AH370" s="242">
        <f t="shared" si="185"/>
        <v>0.159</v>
      </c>
      <c r="AI370" s="76">
        <f t="shared" si="186"/>
        <v>1.5600000000000002E-3</v>
      </c>
      <c r="AJ370" s="181">
        <f t="shared" si="187"/>
        <v>5.5650000000000005E-2</v>
      </c>
      <c r="AK370" s="182">
        <f t="shared" si="188"/>
        <v>2.3077257367928001</v>
      </c>
      <c r="AM370" s="201">
        <f t="shared" si="189"/>
        <v>2.3649357367928001</v>
      </c>
      <c r="AN370" s="202">
        <f t="shared" ref="AN370:BF370" si="198">$AM$370/POWER(1+($B$10/100),AN366-2024)</f>
        <v>2.2960541133910679</v>
      </c>
      <c r="AO370" s="202">
        <f t="shared" si="198"/>
        <v>2.2291787508651146</v>
      </c>
      <c r="AP370" s="202">
        <f t="shared" si="198"/>
        <v>2.16425121443215</v>
      </c>
      <c r="AQ370" s="202">
        <f t="shared" si="198"/>
        <v>2.1012147712933498</v>
      </c>
      <c r="AR370" s="202">
        <f t="shared" si="198"/>
        <v>2.0400143410615046</v>
      </c>
      <c r="AS370" s="202">
        <f t="shared" si="198"/>
        <v>1.9805964476325288</v>
      </c>
      <c r="AT370" s="202">
        <f t="shared" si="198"/>
        <v>1.9229091724587657</v>
      </c>
      <c r="AU370" s="202">
        <f t="shared" si="198"/>
        <v>1.8669021091832678</v>
      </c>
      <c r="AV370" s="202">
        <f t="shared" si="198"/>
        <v>1.8125263195954056</v>
      </c>
      <c r="AW370" s="202">
        <f t="shared" si="198"/>
        <v>1.7597342908693259</v>
      </c>
      <c r="AX370" s="202">
        <f t="shared" si="198"/>
        <v>1.7084798940478891</v>
      </c>
      <c r="AY370" s="202">
        <f t="shared" si="198"/>
        <v>1.6587183437358151</v>
      </c>
      <c r="AZ370" s="202">
        <f t="shared" si="198"/>
        <v>1.6104061589668108</v>
      </c>
      <c r="BA370" s="202">
        <f t="shared" si="198"/>
        <v>1.5635011252104958</v>
      </c>
      <c r="BB370" s="202">
        <f t="shared" si="198"/>
        <v>1.517962257485918</v>
      </c>
      <c r="BC370" s="202">
        <f t="shared" si="198"/>
        <v>1.4737497645494353</v>
      </c>
      <c r="BD370" s="202">
        <f t="shared" si="198"/>
        <v>1.4308250141256653</v>
      </c>
      <c r="BE370" s="202">
        <f t="shared" si="198"/>
        <v>1.3891504991511314</v>
      </c>
      <c r="BF370" s="202">
        <f t="shared" si="198"/>
        <v>1.3486898050010985</v>
      </c>
      <c r="BG370" s="203">
        <f>SUM(AM370:BF370)</f>
        <v>36.239800129849542</v>
      </c>
    </row>
    <row r="371" spans="27:59">
      <c r="AA371" s="180">
        <f t="shared" si="196"/>
        <v>84000000</v>
      </c>
      <c r="AB371" s="41">
        <f t="shared" si="192"/>
        <v>100</v>
      </c>
      <c r="AC371" s="21">
        <v>4</v>
      </c>
      <c r="AD371" s="21" t="s">
        <v>283</v>
      </c>
      <c r="AE371" s="175">
        <f t="shared" si="193"/>
        <v>30</v>
      </c>
      <c r="AF371" s="183">
        <f t="shared" si="194"/>
        <v>27</v>
      </c>
      <c r="AG371" s="84">
        <f t="shared" si="184"/>
        <v>0.39750000000000002</v>
      </c>
      <c r="AH371" s="242">
        <f t="shared" si="185"/>
        <v>0.159</v>
      </c>
      <c r="AI371" s="76">
        <f t="shared" si="186"/>
        <v>1.5600000000000002E-3</v>
      </c>
      <c r="AJ371" s="181">
        <f t="shared" si="187"/>
        <v>5.5650000000000005E-2</v>
      </c>
      <c r="AK371" s="182">
        <f t="shared" si="188"/>
        <v>2.3077257367928001</v>
      </c>
      <c r="AM371" s="201">
        <f t="shared" si="189"/>
        <v>2.3649357367928001</v>
      </c>
      <c r="AN371" s="202">
        <f t="shared" ref="AN371:BF371" si="199">$AM$371/POWER(1+($B$10/100),AN366-2024)</f>
        <v>2.2960541133910679</v>
      </c>
      <c r="AO371" s="202">
        <f t="shared" si="199"/>
        <v>2.2291787508651146</v>
      </c>
      <c r="AP371" s="202">
        <f t="shared" si="199"/>
        <v>2.16425121443215</v>
      </c>
      <c r="AQ371" s="202">
        <f t="shared" si="199"/>
        <v>2.1012147712933498</v>
      </c>
      <c r="AR371" s="202">
        <f t="shared" si="199"/>
        <v>2.0400143410615046</v>
      </c>
      <c r="AS371" s="202">
        <f t="shared" si="199"/>
        <v>1.9805964476325288</v>
      </c>
      <c r="AT371" s="202">
        <f t="shared" si="199"/>
        <v>1.9229091724587657</v>
      </c>
      <c r="AU371" s="202">
        <f t="shared" si="199"/>
        <v>1.8669021091832678</v>
      </c>
      <c r="AV371" s="202">
        <f t="shared" si="199"/>
        <v>1.8125263195954056</v>
      </c>
      <c r="AW371" s="202">
        <f t="shared" si="199"/>
        <v>1.7597342908693259</v>
      </c>
      <c r="AX371" s="202">
        <f t="shared" si="199"/>
        <v>1.7084798940478891</v>
      </c>
      <c r="AY371" s="202">
        <f t="shared" si="199"/>
        <v>1.6587183437358151</v>
      </c>
      <c r="AZ371" s="202">
        <f t="shared" si="199"/>
        <v>1.6104061589668108</v>
      </c>
      <c r="BA371" s="202">
        <f t="shared" si="199"/>
        <v>1.5635011252104958</v>
      </c>
      <c r="BB371" s="202">
        <f t="shared" si="199"/>
        <v>1.517962257485918</v>
      </c>
      <c r="BC371" s="202">
        <f t="shared" si="199"/>
        <v>1.4737497645494353</v>
      </c>
      <c r="BD371" s="202">
        <f t="shared" si="199"/>
        <v>1.4308250141256653</v>
      </c>
      <c r="BE371" s="202">
        <f t="shared" si="199"/>
        <v>1.3891504991511314</v>
      </c>
      <c r="BF371" s="202">
        <f t="shared" si="199"/>
        <v>1.3486898050010985</v>
      </c>
      <c r="BG371" s="203">
        <f>SUM(AM371:BF371)</f>
        <v>36.239800129849542</v>
      </c>
    </row>
    <row r="372" spans="27:59">
      <c r="AA372" s="180">
        <f t="shared" si="196"/>
        <v>105000000</v>
      </c>
      <c r="AB372" s="41">
        <f t="shared" si="192"/>
        <v>125</v>
      </c>
      <c r="AC372" s="21">
        <v>5</v>
      </c>
      <c r="AD372" s="21" t="s">
        <v>283</v>
      </c>
      <c r="AE372" s="175">
        <f t="shared" si="193"/>
        <v>30</v>
      </c>
      <c r="AF372" s="183">
        <f t="shared" si="194"/>
        <v>27</v>
      </c>
      <c r="AG372" s="84">
        <f t="shared" si="184"/>
        <v>0.39750000000000002</v>
      </c>
      <c r="AH372" s="242">
        <f t="shared" si="185"/>
        <v>0.159</v>
      </c>
      <c r="AI372" s="76">
        <f t="shared" si="186"/>
        <v>1.5600000000000002E-3</v>
      </c>
      <c r="AJ372" s="181">
        <f t="shared" si="187"/>
        <v>5.5650000000000005E-2</v>
      </c>
      <c r="AK372" s="182">
        <f t="shared" si="188"/>
        <v>2.3077257367928001</v>
      </c>
      <c r="AM372" s="201">
        <f t="shared" si="189"/>
        <v>2.3649357367928001</v>
      </c>
      <c r="AN372" s="202">
        <f t="shared" ref="AN372:BF372" si="200">$AM$372/POWER(1+($B$10/100),AN366-2024)</f>
        <v>2.2960541133910679</v>
      </c>
      <c r="AO372" s="202">
        <f t="shared" si="200"/>
        <v>2.2291787508651146</v>
      </c>
      <c r="AP372" s="202">
        <f t="shared" si="200"/>
        <v>2.16425121443215</v>
      </c>
      <c r="AQ372" s="202">
        <f t="shared" si="200"/>
        <v>2.1012147712933498</v>
      </c>
      <c r="AR372" s="202">
        <f t="shared" si="200"/>
        <v>2.0400143410615046</v>
      </c>
      <c r="AS372" s="202">
        <f t="shared" si="200"/>
        <v>1.9805964476325288</v>
      </c>
      <c r="AT372" s="202">
        <f t="shared" si="200"/>
        <v>1.9229091724587657</v>
      </c>
      <c r="AU372" s="202">
        <f t="shared" si="200"/>
        <v>1.8669021091832678</v>
      </c>
      <c r="AV372" s="202">
        <f t="shared" si="200"/>
        <v>1.8125263195954056</v>
      </c>
      <c r="AW372" s="202">
        <f t="shared" si="200"/>
        <v>1.7597342908693259</v>
      </c>
      <c r="AX372" s="202">
        <f t="shared" si="200"/>
        <v>1.7084798940478891</v>
      </c>
      <c r="AY372" s="202">
        <f t="shared" si="200"/>
        <v>1.6587183437358151</v>
      </c>
      <c r="AZ372" s="202">
        <f t="shared" si="200"/>
        <v>1.6104061589668108</v>
      </c>
      <c r="BA372" s="202">
        <f t="shared" si="200"/>
        <v>1.5635011252104958</v>
      </c>
      <c r="BB372" s="202">
        <f t="shared" si="200"/>
        <v>1.517962257485918</v>
      </c>
      <c r="BC372" s="202">
        <f t="shared" si="200"/>
        <v>1.4737497645494353</v>
      </c>
      <c r="BD372" s="202">
        <f t="shared" si="200"/>
        <v>1.4308250141256653</v>
      </c>
      <c r="BE372" s="202">
        <f t="shared" si="200"/>
        <v>1.3891504991511314</v>
      </c>
      <c r="BF372" s="202">
        <f t="shared" si="200"/>
        <v>1.3486898050010985</v>
      </c>
      <c r="BG372" s="203">
        <f t="shared" si="191"/>
        <v>36.239800129849542</v>
      </c>
    </row>
    <row r="373" spans="27:59">
      <c r="AA373" s="180">
        <f t="shared" si="196"/>
        <v>126000000</v>
      </c>
      <c r="AB373" s="41">
        <f t="shared" si="192"/>
        <v>150</v>
      </c>
      <c r="AC373" s="21">
        <v>6</v>
      </c>
      <c r="AD373" s="21" t="s">
        <v>283</v>
      </c>
      <c r="AE373" s="175">
        <f t="shared" si="193"/>
        <v>30</v>
      </c>
      <c r="AF373" s="183">
        <f t="shared" si="194"/>
        <v>27</v>
      </c>
      <c r="AG373" s="84">
        <f t="shared" si="184"/>
        <v>0.39750000000000002</v>
      </c>
      <c r="AH373" s="242">
        <f t="shared" si="185"/>
        <v>0.159</v>
      </c>
      <c r="AI373" s="76">
        <f t="shared" si="186"/>
        <v>1.5600000000000002E-3</v>
      </c>
      <c r="AJ373" s="181">
        <f t="shared" si="187"/>
        <v>5.5650000000000005E-2</v>
      </c>
      <c r="AK373" s="182">
        <f t="shared" si="188"/>
        <v>2.3077257367928001</v>
      </c>
      <c r="AM373" s="201">
        <f t="shared" si="189"/>
        <v>2.3649357367928001</v>
      </c>
      <c r="AN373" s="202">
        <f t="shared" ref="AN373:BF373" si="201">$AM$373/POWER(1+($B$10/100),AN366-2024)</f>
        <v>2.2960541133910679</v>
      </c>
      <c r="AO373" s="202">
        <f t="shared" si="201"/>
        <v>2.2291787508651146</v>
      </c>
      <c r="AP373" s="202">
        <f t="shared" si="201"/>
        <v>2.16425121443215</v>
      </c>
      <c r="AQ373" s="202">
        <f t="shared" si="201"/>
        <v>2.1012147712933498</v>
      </c>
      <c r="AR373" s="202">
        <f t="shared" si="201"/>
        <v>2.0400143410615046</v>
      </c>
      <c r="AS373" s="202">
        <f t="shared" si="201"/>
        <v>1.9805964476325288</v>
      </c>
      <c r="AT373" s="202">
        <f t="shared" si="201"/>
        <v>1.9229091724587657</v>
      </c>
      <c r="AU373" s="202">
        <f t="shared" si="201"/>
        <v>1.8669021091832678</v>
      </c>
      <c r="AV373" s="202">
        <f t="shared" si="201"/>
        <v>1.8125263195954056</v>
      </c>
      <c r="AW373" s="202">
        <f t="shared" si="201"/>
        <v>1.7597342908693259</v>
      </c>
      <c r="AX373" s="202">
        <f t="shared" si="201"/>
        <v>1.7084798940478891</v>
      </c>
      <c r="AY373" s="202">
        <f t="shared" si="201"/>
        <v>1.6587183437358151</v>
      </c>
      <c r="AZ373" s="202">
        <f t="shared" si="201"/>
        <v>1.6104061589668108</v>
      </c>
      <c r="BA373" s="202">
        <f t="shared" si="201"/>
        <v>1.5635011252104958</v>
      </c>
      <c r="BB373" s="202">
        <f t="shared" si="201"/>
        <v>1.517962257485918</v>
      </c>
      <c r="BC373" s="202">
        <f t="shared" si="201"/>
        <v>1.4737497645494353</v>
      </c>
      <c r="BD373" s="202">
        <f t="shared" si="201"/>
        <v>1.4308250141256653</v>
      </c>
      <c r="BE373" s="202">
        <f t="shared" si="201"/>
        <v>1.3891504991511314</v>
      </c>
      <c r="BF373" s="202">
        <f t="shared" si="201"/>
        <v>1.3486898050010985</v>
      </c>
      <c r="BG373" s="203">
        <f t="shared" si="191"/>
        <v>36.239800129849542</v>
      </c>
    </row>
    <row r="374" spans="27:59">
      <c r="AA374" s="180">
        <f t="shared" si="196"/>
        <v>147000000</v>
      </c>
      <c r="AB374" s="41">
        <f t="shared" si="192"/>
        <v>175</v>
      </c>
      <c r="AC374" s="21">
        <v>7</v>
      </c>
      <c r="AD374" s="21" t="s">
        <v>283</v>
      </c>
      <c r="AE374" s="175">
        <f t="shared" si="193"/>
        <v>30</v>
      </c>
      <c r="AF374" s="183">
        <f t="shared" si="194"/>
        <v>27</v>
      </c>
      <c r="AG374" s="84">
        <f t="shared" si="184"/>
        <v>0.39750000000000002</v>
      </c>
      <c r="AH374" s="242">
        <f t="shared" si="185"/>
        <v>0.159</v>
      </c>
      <c r="AI374" s="76">
        <f t="shared" si="186"/>
        <v>1.5600000000000002E-3</v>
      </c>
      <c r="AJ374" s="181">
        <f t="shared" si="187"/>
        <v>5.5650000000000005E-2</v>
      </c>
      <c r="AK374" s="182">
        <f t="shared" si="188"/>
        <v>2.3077257367928001</v>
      </c>
      <c r="AM374" s="201">
        <f t="shared" si="189"/>
        <v>2.3649357367928001</v>
      </c>
      <c r="AN374" s="202">
        <f t="shared" ref="AN374:BF374" si="202">$AM$374/POWER(1+($B$10/100),AN366-2024)</f>
        <v>2.2960541133910679</v>
      </c>
      <c r="AO374" s="202">
        <f t="shared" si="202"/>
        <v>2.2291787508651146</v>
      </c>
      <c r="AP374" s="202">
        <f t="shared" si="202"/>
        <v>2.16425121443215</v>
      </c>
      <c r="AQ374" s="202">
        <f t="shared" si="202"/>
        <v>2.1012147712933498</v>
      </c>
      <c r="AR374" s="202">
        <f t="shared" si="202"/>
        <v>2.0400143410615046</v>
      </c>
      <c r="AS374" s="202">
        <f t="shared" si="202"/>
        <v>1.9805964476325288</v>
      </c>
      <c r="AT374" s="202">
        <f t="shared" si="202"/>
        <v>1.9229091724587657</v>
      </c>
      <c r="AU374" s="202">
        <f t="shared" si="202"/>
        <v>1.8669021091832678</v>
      </c>
      <c r="AV374" s="202">
        <f t="shared" si="202"/>
        <v>1.8125263195954056</v>
      </c>
      <c r="AW374" s="202">
        <f t="shared" si="202"/>
        <v>1.7597342908693259</v>
      </c>
      <c r="AX374" s="202">
        <f t="shared" si="202"/>
        <v>1.7084798940478891</v>
      </c>
      <c r="AY374" s="202">
        <f t="shared" si="202"/>
        <v>1.6587183437358151</v>
      </c>
      <c r="AZ374" s="202">
        <f t="shared" si="202"/>
        <v>1.6104061589668108</v>
      </c>
      <c r="BA374" s="202">
        <f t="shared" si="202"/>
        <v>1.5635011252104958</v>
      </c>
      <c r="BB374" s="202">
        <f t="shared" si="202"/>
        <v>1.517962257485918</v>
      </c>
      <c r="BC374" s="202">
        <f t="shared" si="202"/>
        <v>1.4737497645494353</v>
      </c>
      <c r="BD374" s="202">
        <f t="shared" si="202"/>
        <v>1.4308250141256653</v>
      </c>
      <c r="BE374" s="202">
        <f t="shared" si="202"/>
        <v>1.3891504991511314</v>
      </c>
      <c r="BF374" s="202">
        <f t="shared" si="202"/>
        <v>1.3486898050010985</v>
      </c>
      <c r="BG374" s="203">
        <f t="shared" si="191"/>
        <v>36.239800129849542</v>
      </c>
    </row>
    <row r="375" spans="27:59">
      <c r="AA375" s="180">
        <f t="shared" si="196"/>
        <v>168000000</v>
      </c>
      <c r="AB375" s="41">
        <f t="shared" si="192"/>
        <v>200</v>
      </c>
      <c r="AC375" s="21">
        <v>8</v>
      </c>
      <c r="AD375" s="21" t="s">
        <v>283</v>
      </c>
      <c r="AE375" s="175">
        <f t="shared" si="193"/>
        <v>30</v>
      </c>
      <c r="AF375" s="183">
        <f t="shared" si="194"/>
        <v>27</v>
      </c>
      <c r="AG375" s="84">
        <f t="shared" si="184"/>
        <v>0.39750000000000002</v>
      </c>
      <c r="AH375" s="242">
        <f t="shared" si="185"/>
        <v>0.159</v>
      </c>
      <c r="AI375" s="76">
        <f t="shared" si="186"/>
        <v>1.5600000000000002E-3</v>
      </c>
      <c r="AJ375" s="181">
        <f t="shared" si="187"/>
        <v>5.5650000000000005E-2</v>
      </c>
      <c r="AK375" s="182">
        <f t="shared" si="188"/>
        <v>2.3077257367928001</v>
      </c>
      <c r="AM375" s="201">
        <f t="shared" si="189"/>
        <v>2.3649357367928001</v>
      </c>
      <c r="AN375" s="202">
        <f t="shared" ref="AN375:BF375" si="203">$AM$375/POWER(1+($B$10/100),AN366-2024)</f>
        <v>2.2960541133910679</v>
      </c>
      <c r="AO375" s="202">
        <f t="shared" si="203"/>
        <v>2.2291787508651146</v>
      </c>
      <c r="AP375" s="202">
        <f t="shared" si="203"/>
        <v>2.16425121443215</v>
      </c>
      <c r="AQ375" s="202">
        <f t="shared" si="203"/>
        <v>2.1012147712933498</v>
      </c>
      <c r="AR375" s="202">
        <f t="shared" si="203"/>
        <v>2.0400143410615046</v>
      </c>
      <c r="AS375" s="202">
        <f t="shared" si="203"/>
        <v>1.9805964476325288</v>
      </c>
      <c r="AT375" s="202">
        <f t="shared" si="203"/>
        <v>1.9229091724587657</v>
      </c>
      <c r="AU375" s="202">
        <f t="shared" si="203"/>
        <v>1.8669021091832678</v>
      </c>
      <c r="AV375" s="202">
        <f t="shared" si="203"/>
        <v>1.8125263195954056</v>
      </c>
      <c r="AW375" s="202">
        <f t="shared" si="203"/>
        <v>1.7597342908693259</v>
      </c>
      <c r="AX375" s="202">
        <f t="shared" si="203"/>
        <v>1.7084798940478891</v>
      </c>
      <c r="AY375" s="202">
        <f t="shared" si="203"/>
        <v>1.6587183437358151</v>
      </c>
      <c r="AZ375" s="202">
        <f t="shared" si="203"/>
        <v>1.6104061589668108</v>
      </c>
      <c r="BA375" s="202">
        <f t="shared" si="203"/>
        <v>1.5635011252104958</v>
      </c>
      <c r="BB375" s="202">
        <f t="shared" si="203"/>
        <v>1.517962257485918</v>
      </c>
      <c r="BC375" s="202">
        <f t="shared" si="203"/>
        <v>1.4737497645494353</v>
      </c>
      <c r="BD375" s="202">
        <f t="shared" si="203"/>
        <v>1.4308250141256653</v>
      </c>
      <c r="BE375" s="202">
        <f t="shared" si="203"/>
        <v>1.3891504991511314</v>
      </c>
      <c r="BF375" s="202">
        <f t="shared" si="203"/>
        <v>1.3486898050010985</v>
      </c>
      <c r="BG375" s="203">
        <f t="shared" si="191"/>
        <v>36.239800129849542</v>
      </c>
    </row>
    <row r="376" spans="27:59">
      <c r="AA376" s="180">
        <f t="shared" si="196"/>
        <v>189000000</v>
      </c>
      <c r="AB376" s="41">
        <f t="shared" si="192"/>
        <v>225</v>
      </c>
      <c r="AC376" s="21">
        <v>9</v>
      </c>
      <c r="AD376" s="21" t="s">
        <v>283</v>
      </c>
      <c r="AE376" s="175">
        <f t="shared" si="193"/>
        <v>30</v>
      </c>
      <c r="AF376" s="183">
        <f t="shared" si="194"/>
        <v>27</v>
      </c>
      <c r="AG376" s="84">
        <f t="shared" si="184"/>
        <v>0.39750000000000002</v>
      </c>
      <c r="AH376" s="242">
        <f t="shared" si="185"/>
        <v>0.159</v>
      </c>
      <c r="AI376" s="76">
        <f t="shared" si="186"/>
        <v>1.5600000000000002E-3</v>
      </c>
      <c r="AJ376" s="181">
        <f t="shared" si="187"/>
        <v>5.5650000000000005E-2</v>
      </c>
      <c r="AK376" s="182">
        <f t="shared" si="188"/>
        <v>2.3077257367928001</v>
      </c>
      <c r="AM376" s="201">
        <f t="shared" si="189"/>
        <v>2.3649357367928001</v>
      </c>
      <c r="AN376" s="202">
        <f t="shared" ref="AN376:BF376" si="204">$AM$376/POWER(1+($B$10/100),AN366-2024)</f>
        <v>2.2960541133910679</v>
      </c>
      <c r="AO376" s="202">
        <f t="shared" si="204"/>
        <v>2.2291787508651146</v>
      </c>
      <c r="AP376" s="202">
        <f t="shared" si="204"/>
        <v>2.16425121443215</v>
      </c>
      <c r="AQ376" s="202">
        <f t="shared" si="204"/>
        <v>2.1012147712933498</v>
      </c>
      <c r="AR376" s="202">
        <f t="shared" si="204"/>
        <v>2.0400143410615046</v>
      </c>
      <c r="AS376" s="202">
        <f t="shared" si="204"/>
        <v>1.9805964476325288</v>
      </c>
      <c r="AT376" s="202">
        <f t="shared" si="204"/>
        <v>1.9229091724587657</v>
      </c>
      <c r="AU376" s="202">
        <f t="shared" si="204"/>
        <v>1.8669021091832678</v>
      </c>
      <c r="AV376" s="202">
        <f t="shared" si="204"/>
        <v>1.8125263195954056</v>
      </c>
      <c r="AW376" s="202">
        <f t="shared" si="204"/>
        <v>1.7597342908693259</v>
      </c>
      <c r="AX376" s="202">
        <f t="shared" si="204"/>
        <v>1.7084798940478891</v>
      </c>
      <c r="AY376" s="202">
        <f t="shared" si="204"/>
        <v>1.6587183437358151</v>
      </c>
      <c r="AZ376" s="202">
        <f t="shared" si="204"/>
        <v>1.6104061589668108</v>
      </c>
      <c r="BA376" s="202">
        <f t="shared" si="204"/>
        <v>1.5635011252104958</v>
      </c>
      <c r="BB376" s="202">
        <f t="shared" si="204"/>
        <v>1.517962257485918</v>
      </c>
      <c r="BC376" s="202">
        <f t="shared" si="204"/>
        <v>1.4737497645494353</v>
      </c>
      <c r="BD376" s="202">
        <f t="shared" si="204"/>
        <v>1.4308250141256653</v>
      </c>
      <c r="BE376" s="202">
        <f t="shared" si="204"/>
        <v>1.3891504991511314</v>
      </c>
      <c r="BF376" s="202">
        <f t="shared" si="204"/>
        <v>1.3486898050010985</v>
      </c>
      <c r="BG376" s="203">
        <f t="shared" si="191"/>
        <v>36.239800129849542</v>
      </c>
    </row>
    <row r="377" spans="27:59">
      <c r="AA377" s="180">
        <f t="shared" si="196"/>
        <v>210000000</v>
      </c>
      <c r="AB377" s="41">
        <f t="shared" si="192"/>
        <v>250</v>
      </c>
      <c r="AC377" s="21">
        <v>10</v>
      </c>
      <c r="AD377" s="21" t="s">
        <v>283</v>
      </c>
      <c r="AE377" s="175">
        <f t="shared" si="193"/>
        <v>30</v>
      </c>
      <c r="AF377" s="183">
        <f t="shared" si="194"/>
        <v>27</v>
      </c>
      <c r="AG377" s="84">
        <f t="shared" si="184"/>
        <v>0.39750000000000002</v>
      </c>
      <c r="AH377" s="242">
        <f t="shared" si="185"/>
        <v>0.159</v>
      </c>
      <c r="AI377" s="76">
        <f t="shared" si="186"/>
        <v>1.5600000000000002E-3</v>
      </c>
      <c r="AJ377" s="181">
        <f t="shared" si="187"/>
        <v>5.5650000000000005E-2</v>
      </c>
      <c r="AK377" s="182">
        <f t="shared" si="188"/>
        <v>2.3077257367928001</v>
      </c>
      <c r="AM377" s="201">
        <f t="shared" si="189"/>
        <v>2.3649357367928001</v>
      </c>
      <c r="AN377" s="202">
        <f t="shared" ref="AN377:BF377" si="205">$AM$377/POWER(1+($B$10/100),AN366-2024)</f>
        <v>2.2960541133910679</v>
      </c>
      <c r="AO377" s="202">
        <f t="shared" si="205"/>
        <v>2.2291787508651146</v>
      </c>
      <c r="AP377" s="202">
        <f t="shared" si="205"/>
        <v>2.16425121443215</v>
      </c>
      <c r="AQ377" s="202">
        <f t="shared" si="205"/>
        <v>2.1012147712933498</v>
      </c>
      <c r="AR377" s="202">
        <f t="shared" si="205"/>
        <v>2.0400143410615046</v>
      </c>
      <c r="AS377" s="202">
        <f t="shared" si="205"/>
        <v>1.9805964476325288</v>
      </c>
      <c r="AT377" s="202">
        <f t="shared" si="205"/>
        <v>1.9229091724587657</v>
      </c>
      <c r="AU377" s="202">
        <f t="shared" si="205"/>
        <v>1.8669021091832678</v>
      </c>
      <c r="AV377" s="202">
        <f t="shared" si="205"/>
        <v>1.8125263195954056</v>
      </c>
      <c r="AW377" s="202">
        <f t="shared" si="205"/>
        <v>1.7597342908693259</v>
      </c>
      <c r="AX377" s="202">
        <f t="shared" si="205"/>
        <v>1.7084798940478891</v>
      </c>
      <c r="AY377" s="202">
        <f t="shared" si="205"/>
        <v>1.6587183437358151</v>
      </c>
      <c r="AZ377" s="202">
        <f t="shared" si="205"/>
        <v>1.6104061589668108</v>
      </c>
      <c r="BA377" s="202">
        <f t="shared" si="205"/>
        <v>1.5635011252104958</v>
      </c>
      <c r="BB377" s="202">
        <f t="shared" si="205"/>
        <v>1.517962257485918</v>
      </c>
      <c r="BC377" s="202">
        <f t="shared" si="205"/>
        <v>1.4737497645494353</v>
      </c>
      <c r="BD377" s="202">
        <f t="shared" si="205"/>
        <v>1.4308250141256653</v>
      </c>
      <c r="BE377" s="202">
        <f t="shared" si="205"/>
        <v>1.3891504991511314</v>
      </c>
      <c r="BF377" s="202">
        <f t="shared" si="205"/>
        <v>1.3486898050010985</v>
      </c>
      <c r="BG377" s="203">
        <f t="shared" si="191"/>
        <v>36.239800129849542</v>
      </c>
    </row>
    <row r="378" spans="27:59">
      <c r="AA378" s="180">
        <f t="shared" si="196"/>
        <v>231000000</v>
      </c>
      <c r="AB378" s="41">
        <f t="shared" si="192"/>
        <v>275</v>
      </c>
      <c r="AC378" s="21">
        <v>11</v>
      </c>
      <c r="AD378" s="21" t="s">
        <v>283</v>
      </c>
      <c r="AE378" s="175">
        <f t="shared" si="193"/>
        <v>30</v>
      </c>
      <c r="AF378" s="183">
        <f t="shared" si="194"/>
        <v>27</v>
      </c>
      <c r="AG378" s="84">
        <f t="shared" si="184"/>
        <v>0.39750000000000002</v>
      </c>
      <c r="AH378" s="242">
        <f t="shared" si="185"/>
        <v>0.159</v>
      </c>
      <c r="AI378" s="76">
        <f t="shared" si="186"/>
        <v>1.5600000000000002E-3</v>
      </c>
      <c r="AJ378" s="181">
        <f t="shared" si="187"/>
        <v>5.5650000000000005E-2</v>
      </c>
      <c r="AK378" s="182">
        <f t="shared" si="188"/>
        <v>2.3077257367928001</v>
      </c>
      <c r="AM378" s="201">
        <f t="shared" si="189"/>
        <v>2.3649357367928001</v>
      </c>
      <c r="AN378" s="202">
        <f t="shared" ref="AN378:BF378" si="206">$AM$378/POWER(1+($B$10/100),AN366-2024)</f>
        <v>2.2960541133910679</v>
      </c>
      <c r="AO378" s="202">
        <f t="shared" si="206"/>
        <v>2.2291787508651146</v>
      </c>
      <c r="AP378" s="202">
        <f t="shared" si="206"/>
        <v>2.16425121443215</v>
      </c>
      <c r="AQ378" s="202">
        <f t="shared" si="206"/>
        <v>2.1012147712933498</v>
      </c>
      <c r="AR378" s="202">
        <f t="shared" si="206"/>
        <v>2.0400143410615046</v>
      </c>
      <c r="AS378" s="202">
        <f t="shared" si="206"/>
        <v>1.9805964476325288</v>
      </c>
      <c r="AT378" s="202">
        <f t="shared" si="206"/>
        <v>1.9229091724587657</v>
      </c>
      <c r="AU378" s="202">
        <f t="shared" si="206"/>
        <v>1.8669021091832678</v>
      </c>
      <c r="AV378" s="202">
        <f t="shared" si="206"/>
        <v>1.8125263195954056</v>
      </c>
      <c r="AW378" s="202">
        <f t="shared" si="206"/>
        <v>1.7597342908693259</v>
      </c>
      <c r="AX378" s="202">
        <f t="shared" si="206"/>
        <v>1.7084798940478891</v>
      </c>
      <c r="AY378" s="202">
        <f t="shared" si="206"/>
        <v>1.6587183437358151</v>
      </c>
      <c r="AZ378" s="202">
        <f t="shared" si="206"/>
        <v>1.6104061589668108</v>
      </c>
      <c r="BA378" s="202">
        <f t="shared" si="206"/>
        <v>1.5635011252104958</v>
      </c>
      <c r="BB378" s="202">
        <f t="shared" si="206"/>
        <v>1.517962257485918</v>
      </c>
      <c r="BC378" s="202">
        <f t="shared" si="206"/>
        <v>1.4737497645494353</v>
      </c>
      <c r="BD378" s="202">
        <f t="shared" si="206"/>
        <v>1.4308250141256653</v>
      </c>
      <c r="BE378" s="202">
        <f t="shared" si="206"/>
        <v>1.3891504991511314</v>
      </c>
      <c r="BF378" s="202">
        <f t="shared" si="206"/>
        <v>1.3486898050010985</v>
      </c>
      <c r="BG378" s="203">
        <f t="shared" si="191"/>
        <v>36.239800129849542</v>
      </c>
    </row>
    <row r="379" spans="27:59">
      <c r="AA379" s="180">
        <f t="shared" si="196"/>
        <v>252000000</v>
      </c>
      <c r="AB379" s="41">
        <f t="shared" si="192"/>
        <v>300</v>
      </c>
      <c r="AC379" s="21">
        <v>12</v>
      </c>
      <c r="AD379" s="21" t="s">
        <v>283</v>
      </c>
      <c r="AE379" s="175">
        <f t="shared" si="193"/>
        <v>30</v>
      </c>
      <c r="AF379" s="183">
        <f t="shared" si="194"/>
        <v>27</v>
      </c>
      <c r="AG379" s="84">
        <f t="shared" si="184"/>
        <v>0.39750000000000002</v>
      </c>
      <c r="AH379" s="242">
        <f t="shared" si="185"/>
        <v>0.159</v>
      </c>
      <c r="AI379" s="76">
        <f t="shared" si="186"/>
        <v>1.5600000000000002E-3</v>
      </c>
      <c r="AJ379" s="181">
        <f t="shared" si="187"/>
        <v>5.5650000000000005E-2</v>
      </c>
      <c r="AK379" s="182">
        <f t="shared" si="188"/>
        <v>2.3077257367928001</v>
      </c>
      <c r="AM379" s="201">
        <f t="shared" si="189"/>
        <v>2.3649357367928001</v>
      </c>
      <c r="AN379" s="202">
        <f t="shared" ref="AN379:BF379" si="207">$AM$379/POWER(1+($B$10/100),AN366-2024)</f>
        <v>2.2960541133910679</v>
      </c>
      <c r="AO379" s="202">
        <f t="shared" si="207"/>
        <v>2.2291787508651146</v>
      </c>
      <c r="AP379" s="202">
        <f t="shared" si="207"/>
        <v>2.16425121443215</v>
      </c>
      <c r="AQ379" s="202">
        <f t="shared" si="207"/>
        <v>2.1012147712933498</v>
      </c>
      <c r="AR379" s="202">
        <f t="shared" si="207"/>
        <v>2.0400143410615046</v>
      </c>
      <c r="AS379" s="202">
        <f t="shared" si="207"/>
        <v>1.9805964476325288</v>
      </c>
      <c r="AT379" s="202">
        <f t="shared" si="207"/>
        <v>1.9229091724587657</v>
      </c>
      <c r="AU379" s="202">
        <f t="shared" si="207"/>
        <v>1.8669021091832678</v>
      </c>
      <c r="AV379" s="202">
        <f t="shared" si="207"/>
        <v>1.8125263195954056</v>
      </c>
      <c r="AW379" s="202">
        <f t="shared" si="207"/>
        <v>1.7597342908693259</v>
      </c>
      <c r="AX379" s="202">
        <f t="shared" si="207"/>
        <v>1.7084798940478891</v>
      </c>
      <c r="AY379" s="202">
        <f t="shared" si="207"/>
        <v>1.6587183437358151</v>
      </c>
      <c r="AZ379" s="202">
        <f t="shared" si="207"/>
        <v>1.6104061589668108</v>
      </c>
      <c r="BA379" s="202">
        <f t="shared" si="207"/>
        <v>1.5635011252104958</v>
      </c>
      <c r="BB379" s="202">
        <f t="shared" si="207"/>
        <v>1.517962257485918</v>
      </c>
      <c r="BC379" s="202">
        <f t="shared" si="207"/>
        <v>1.4737497645494353</v>
      </c>
      <c r="BD379" s="202">
        <f t="shared" si="207"/>
        <v>1.4308250141256653</v>
      </c>
      <c r="BE379" s="202">
        <f t="shared" si="207"/>
        <v>1.3891504991511314</v>
      </c>
      <c r="BF379" s="202">
        <f t="shared" si="207"/>
        <v>1.3486898050010985</v>
      </c>
      <c r="BG379" s="203">
        <f t="shared" si="191"/>
        <v>36.239800129849542</v>
      </c>
    </row>
    <row r="380" spans="27:59">
      <c r="AA380" s="180">
        <f t="shared" si="196"/>
        <v>273000000</v>
      </c>
      <c r="AB380" s="41">
        <f t="shared" si="192"/>
        <v>325</v>
      </c>
      <c r="AC380" s="21">
        <v>13</v>
      </c>
      <c r="AD380" s="21" t="s">
        <v>283</v>
      </c>
      <c r="AE380" s="175">
        <f t="shared" si="193"/>
        <v>30</v>
      </c>
      <c r="AF380" s="183">
        <f t="shared" si="194"/>
        <v>27</v>
      </c>
      <c r="AG380" s="84">
        <f t="shared" si="184"/>
        <v>0.39750000000000002</v>
      </c>
      <c r="AH380" s="242">
        <f t="shared" si="185"/>
        <v>0.159</v>
      </c>
      <c r="AI380" s="76">
        <f t="shared" si="186"/>
        <v>1.5600000000000002E-3</v>
      </c>
      <c r="AJ380" s="181">
        <f t="shared" si="187"/>
        <v>5.5650000000000005E-2</v>
      </c>
      <c r="AK380" s="182">
        <f t="shared" si="188"/>
        <v>2.3077257367928001</v>
      </c>
      <c r="AM380" s="201">
        <f t="shared" si="189"/>
        <v>2.3649357367928001</v>
      </c>
      <c r="AN380" s="202">
        <f t="shared" ref="AN380:BF380" si="208">$AM$380/POWER(1+($B$10/100),AN366-2024)</f>
        <v>2.2960541133910679</v>
      </c>
      <c r="AO380" s="202">
        <f t="shared" si="208"/>
        <v>2.2291787508651146</v>
      </c>
      <c r="AP380" s="202">
        <f t="shared" si="208"/>
        <v>2.16425121443215</v>
      </c>
      <c r="AQ380" s="202">
        <f t="shared" si="208"/>
        <v>2.1012147712933498</v>
      </c>
      <c r="AR380" s="202">
        <f t="shared" si="208"/>
        <v>2.0400143410615046</v>
      </c>
      <c r="AS380" s="202">
        <f t="shared" si="208"/>
        <v>1.9805964476325288</v>
      </c>
      <c r="AT380" s="202">
        <f t="shared" si="208"/>
        <v>1.9229091724587657</v>
      </c>
      <c r="AU380" s="202">
        <f t="shared" si="208"/>
        <v>1.8669021091832678</v>
      </c>
      <c r="AV380" s="202">
        <f t="shared" si="208"/>
        <v>1.8125263195954056</v>
      </c>
      <c r="AW380" s="202">
        <f t="shared" si="208"/>
        <v>1.7597342908693259</v>
      </c>
      <c r="AX380" s="202">
        <f t="shared" si="208"/>
        <v>1.7084798940478891</v>
      </c>
      <c r="AY380" s="202">
        <f t="shared" si="208"/>
        <v>1.6587183437358151</v>
      </c>
      <c r="AZ380" s="202">
        <f t="shared" si="208"/>
        <v>1.6104061589668108</v>
      </c>
      <c r="BA380" s="202">
        <f t="shared" si="208"/>
        <v>1.5635011252104958</v>
      </c>
      <c r="BB380" s="202">
        <f t="shared" si="208"/>
        <v>1.517962257485918</v>
      </c>
      <c r="BC380" s="202">
        <f t="shared" si="208"/>
        <v>1.4737497645494353</v>
      </c>
      <c r="BD380" s="202">
        <f t="shared" si="208"/>
        <v>1.4308250141256653</v>
      </c>
      <c r="BE380" s="202">
        <f t="shared" si="208"/>
        <v>1.3891504991511314</v>
      </c>
      <c r="BF380" s="202">
        <f t="shared" si="208"/>
        <v>1.3486898050010985</v>
      </c>
      <c r="BG380" s="203">
        <f t="shared" si="191"/>
        <v>36.239800129849542</v>
      </c>
    </row>
    <row r="381" spans="27:59">
      <c r="AA381" s="180">
        <f t="shared" si="196"/>
        <v>294000000</v>
      </c>
      <c r="AB381" s="41">
        <f t="shared" si="192"/>
        <v>350</v>
      </c>
      <c r="AC381" s="21">
        <v>14</v>
      </c>
      <c r="AD381" s="21" t="s">
        <v>283</v>
      </c>
      <c r="AE381" s="175">
        <f t="shared" si="193"/>
        <v>30</v>
      </c>
      <c r="AF381" s="183">
        <f t="shared" si="194"/>
        <v>27</v>
      </c>
      <c r="AG381" s="84">
        <f t="shared" si="184"/>
        <v>0.39750000000000002</v>
      </c>
      <c r="AH381" s="242">
        <f t="shared" si="185"/>
        <v>0.159</v>
      </c>
      <c r="AI381" s="76">
        <f t="shared" si="186"/>
        <v>1.5600000000000002E-3</v>
      </c>
      <c r="AJ381" s="181">
        <f t="shared" si="187"/>
        <v>5.5650000000000005E-2</v>
      </c>
      <c r="AK381" s="182">
        <f t="shared" si="188"/>
        <v>2.3077257367928001</v>
      </c>
      <c r="AM381" s="201">
        <f t="shared" si="189"/>
        <v>2.3649357367928001</v>
      </c>
      <c r="AN381" s="202">
        <f t="shared" ref="AN381:BF381" si="209">$AM$381/POWER(1+($B$10/100),AN366-2024)</f>
        <v>2.2960541133910679</v>
      </c>
      <c r="AO381" s="202">
        <f t="shared" si="209"/>
        <v>2.2291787508651146</v>
      </c>
      <c r="AP381" s="202">
        <f t="shared" si="209"/>
        <v>2.16425121443215</v>
      </c>
      <c r="AQ381" s="202">
        <f t="shared" si="209"/>
        <v>2.1012147712933498</v>
      </c>
      <c r="AR381" s="202">
        <f t="shared" si="209"/>
        <v>2.0400143410615046</v>
      </c>
      <c r="AS381" s="202">
        <f t="shared" si="209"/>
        <v>1.9805964476325288</v>
      </c>
      <c r="AT381" s="202">
        <f t="shared" si="209"/>
        <v>1.9229091724587657</v>
      </c>
      <c r="AU381" s="202">
        <f t="shared" si="209"/>
        <v>1.8669021091832678</v>
      </c>
      <c r="AV381" s="202">
        <f t="shared" si="209"/>
        <v>1.8125263195954056</v>
      </c>
      <c r="AW381" s="202">
        <f t="shared" si="209"/>
        <v>1.7597342908693259</v>
      </c>
      <c r="AX381" s="202">
        <f t="shared" si="209"/>
        <v>1.7084798940478891</v>
      </c>
      <c r="AY381" s="202">
        <f t="shared" si="209"/>
        <v>1.6587183437358151</v>
      </c>
      <c r="AZ381" s="202">
        <f t="shared" si="209"/>
        <v>1.6104061589668108</v>
      </c>
      <c r="BA381" s="202">
        <f t="shared" si="209"/>
        <v>1.5635011252104958</v>
      </c>
      <c r="BB381" s="202">
        <f t="shared" si="209"/>
        <v>1.517962257485918</v>
      </c>
      <c r="BC381" s="202">
        <f t="shared" si="209"/>
        <v>1.4737497645494353</v>
      </c>
      <c r="BD381" s="202">
        <f t="shared" si="209"/>
        <v>1.4308250141256653</v>
      </c>
      <c r="BE381" s="202">
        <f t="shared" si="209"/>
        <v>1.3891504991511314</v>
      </c>
      <c r="BF381" s="202">
        <f t="shared" si="209"/>
        <v>1.3486898050010985</v>
      </c>
      <c r="BG381" s="203">
        <f t="shared" si="191"/>
        <v>36.239800129849542</v>
      </c>
    </row>
    <row r="382" spans="27:59">
      <c r="AA382" s="180">
        <f t="shared" si="196"/>
        <v>315000000</v>
      </c>
      <c r="AB382" s="41">
        <f t="shared" si="192"/>
        <v>375</v>
      </c>
      <c r="AC382" s="21">
        <v>15</v>
      </c>
      <c r="AD382" s="21" t="s">
        <v>283</v>
      </c>
      <c r="AE382" s="175">
        <f t="shared" si="193"/>
        <v>30</v>
      </c>
      <c r="AF382" s="183">
        <f t="shared" si="194"/>
        <v>27</v>
      </c>
      <c r="AG382" s="84">
        <f t="shared" si="184"/>
        <v>0.39750000000000002</v>
      </c>
      <c r="AH382" s="242">
        <f t="shared" si="185"/>
        <v>0.159</v>
      </c>
      <c r="AI382" s="76">
        <f t="shared" si="186"/>
        <v>1.5600000000000002E-3</v>
      </c>
      <c r="AJ382" s="181">
        <f t="shared" si="187"/>
        <v>5.5650000000000005E-2</v>
      </c>
      <c r="AK382" s="182">
        <f t="shared" si="188"/>
        <v>2.3077257367928001</v>
      </c>
      <c r="AM382" s="201">
        <f t="shared" si="189"/>
        <v>2.3649357367928001</v>
      </c>
      <c r="AN382" s="202">
        <f t="shared" ref="AN382:BF382" si="210">$AM$382/POWER(1+($B$10/100),AN366-2024)</f>
        <v>2.2960541133910679</v>
      </c>
      <c r="AO382" s="202">
        <f t="shared" si="210"/>
        <v>2.2291787508651146</v>
      </c>
      <c r="AP382" s="202">
        <f t="shared" si="210"/>
        <v>2.16425121443215</v>
      </c>
      <c r="AQ382" s="202">
        <f t="shared" si="210"/>
        <v>2.1012147712933498</v>
      </c>
      <c r="AR382" s="202">
        <f t="shared" si="210"/>
        <v>2.0400143410615046</v>
      </c>
      <c r="AS382" s="202">
        <f t="shared" si="210"/>
        <v>1.9805964476325288</v>
      </c>
      <c r="AT382" s="202">
        <f t="shared" si="210"/>
        <v>1.9229091724587657</v>
      </c>
      <c r="AU382" s="202">
        <f t="shared" si="210"/>
        <v>1.8669021091832678</v>
      </c>
      <c r="AV382" s="202">
        <f t="shared" si="210"/>
        <v>1.8125263195954056</v>
      </c>
      <c r="AW382" s="202">
        <f t="shared" si="210"/>
        <v>1.7597342908693259</v>
      </c>
      <c r="AX382" s="202">
        <f t="shared" si="210"/>
        <v>1.7084798940478891</v>
      </c>
      <c r="AY382" s="202">
        <f t="shared" si="210"/>
        <v>1.6587183437358151</v>
      </c>
      <c r="AZ382" s="202">
        <f t="shared" si="210"/>
        <v>1.6104061589668108</v>
      </c>
      <c r="BA382" s="202">
        <f t="shared" si="210"/>
        <v>1.5635011252104958</v>
      </c>
      <c r="BB382" s="202">
        <f t="shared" si="210"/>
        <v>1.517962257485918</v>
      </c>
      <c r="BC382" s="202">
        <f t="shared" si="210"/>
        <v>1.4737497645494353</v>
      </c>
      <c r="BD382" s="202">
        <f t="shared" si="210"/>
        <v>1.4308250141256653</v>
      </c>
      <c r="BE382" s="202">
        <f t="shared" si="210"/>
        <v>1.3891504991511314</v>
      </c>
      <c r="BF382" s="202">
        <f t="shared" si="210"/>
        <v>1.3486898050010985</v>
      </c>
      <c r="BG382" s="203">
        <f t="shared" si="191"/>
        <v>36.239800129849542</v>
      </c>
    </row>
    <row r="383" spans="27:59">
      <c r="AA383" s="180">
        <f t="shared" si="196"/>
        <v>336000000</v>
      </c>
      <c r="AB383" s="41">
        <f t="shared" si="192"/>
        <v>400</v>
      </c>
      <c r="AC383" s="21">
        <v>16</v>
      </c>
      <c r="AD383" s="21" t="s">
        <v>283</v>
      </c>
      <c r="AE383" s="175">
        <f t="shared" si="193"/>
        <v>30</v>
      </c>
      <c r="AF383" s="183">
        <f t="shared" si="194"/>
        <v>27</v>
      </c>
      <c r="AG383" s="84">
        <f t="shared" si="184"/>
        <v>0.39750000000000002</v>
      </c>
      <c r="AH383" s="242">
        <f t="shared" si="185"/>
        <v>0.159</v>
      </c>
      <c r="AI383" s="76">
        <f t="shared" si="186"/>
        <v>1.5600000000000002E-3</v>
      </c>
      <c r="AJ383" s="181">
        <f t="shared" si="187"/>
        <v>5.5650000000000005E-2</v>
      </c>
      <c r="AK383" s="182">
        <f t="shared" si="188"/>
        <v>2.3077257367928001</v>
      </c>
      <c r="AM383" s="201">
        <f t="shared" si="189"/>
        <v>2.3649357367928001</v>
      </c>
      <c r="AN383" s="202">
        <f t="shared" ref="AN383:BF383" si="211">$AM$383/POWER(1+($B$10/100),AN366-2024)</f>
        <v>2.2960541133910679</v>
      </c>
      <c r="AO383" s="202">
        <f t="shared" si="211"/>
        <v>2.2291787508651146</v>
      </c>
      <c r="AP383" s="202">
        <f t="shared" si="211"/>
        <v>2.16425121443215</v>
      </c>
      <c r="AQ383" s="202">
        <f t="shared" si="211"/>
        <v>2.1012147712933498</v>
      </c>
      <c r="AR383" s="202">
        <f t="shared" si="211"/>
        <v>2.0400143410615046</v>
      </c>
      <c r="AS383" s="202">
        <f t="shared" si="211"/>
        <v>1.9805964476325288</v>
      </c>
      <c r="AT383" s="202">
        <f t="shared" si="211"/>
        <v>1.9229091724587657</v>
      </c>
      <c r="AU383" s="202">
        <f t="shared" si="211"/>
        <v>1.8669021091832678</v>
      </c>
      <c r="AV383" s="202">
        <f t="shared" si="211"/>
        <v>1.8125263195954056</v>
      </c>
      <c r="AW383" s="202">
        <f t="shared" si="211"/>
        <v>1.7597342908693259</v>
      </c>
      <c r="AX383" s="202">
        <f t="shared" si="211"/>
        <v>1.7084798940478891</v>
      </c>
      <c r="AY383" s="202">
        <f t="shared" si="211"/>
        <v>1.6587183437358151</v>
      </c>
      <c r="AZ383" s="202">
        <f t="shared" si="211"/>
        <v>1.6104061589668108</v>
      </c>
      <c r="BA383" s="202">
        <f t="shared" si="211"/>
        <v>1.5635011252104958</v>
      </c>
      <c r="BB383" s="202">
        <f t="shared" si="211"/>
        <v>1.517962257485918</v>
      </c>
      <c r="BC383" s="202">
        <f t="shared" si="211"/>
        <v>1.4737497645494353</v>
      </c>
      <c r="BD383" s="202">
        <f t="shared" si="211"/>
        <v>1.4308250141256653</v>
      </c>
      <c r="BE383" s="202">
        <f t="shared" si="211"/>
        <v>1.3891504991511314</v>
      </c>
      <c r="BF383" s="202">
        <f t="shared" si="211"/>
        <v>1.3486898050010985</v>
      </c>
      <c r="BG383" s="203">
        <f t="shared" si="191"/>
        <v>36.239800129849542</v>
      </c>
    </row>
    <row r="384" spans="27:59">
      <c r="AA384" s="180">
        <f t="shared" si="196"/>
        <v>357000000</v>
      </c>
      <c r="AB384" s="41">
        <f t="shared" si="192"/>
        <v>425</v>
      </c>
      <c r="AC384" s="21">
        <v>17</v>
      </c>
      <c r="AD384" s="21" t="s">
        <v>283</v>
      </c>
      <c r="AE384" s="175">
        <f t="shared" si="193"/>
        <v>30</v>
      </c>
      <c r="AF384" s="183">
        <f t="shared" si="194"/>
        <v>27</v>
      </c>
      <c r="AG384" s="84">
        <f t="shared" si="184"/>
        <v>0.39750000000000002</v>
      </c>
      <c r="AH384" s="242">
        <f t="shared" si="185"/>
        <v>0.159</v>
      </c>
      <c r="AI384" s="76">
        <f t="shared" si="186"/>
        <v>1.5600000000000002E-3</v>
      </c>
      <c r="AJ384" s="181">
        <f t="shared" si="187"/>
        <v>5.5650000000000005E-2</v>
      </c>
      <c r="AK384" s="182">
        <f t="shared" si="188"/>
        <v>2.3077257367928001</v>
      </c>
      <c r="AM384" s="201">
        <f t="shared" si="189"/>
        <v>2.3649357367928001</v>
      </c>
      <c r="AN384" s="202">
        <f t="shared" ref="AN384:BF384" si="212">$AM$384/POWER(1+($B$10/100),AN366-2024)</f>
        <v>2.2960541133910679</v>
      </c>
      <c r="AO384" s="202">
        <f t="shared" si="212"/>
        <v>2.2291787508651146</v>
      </c>
      <c r="AP384" s="202">
        <f t="shared" si="212"/>
        <v>2.16425121443215</v>
      </c>
      <c r="AQ384" s="202">
        <f t="shared" si="212"/>
        <v>2.1012147712933498</v>
      </c>
      <c r="AR384" s="202">
        <f t="shared" si="212"/>
        <v>2.0400143410615046</v>
      </c>
      <c r="AS384" s="202">
        <f t="shared" si="212"/>
        <v>1.9805964476325288</v>
      </c>
      <c r="AT384" s="202">
        <f t="shared" si="212"/>
        <v>1.9229091724587657</v>
      </c>
      <c r="AU384" s="202">
        <f t="shared" si="212"/>
        <v>1.8669021091832678</v>
      </c>
      <c r="AV384" s="202">
        <f t="shared" si="212"/>
        <v>1.8125263195954056</v>
      </c>
      <c r="AW384" s="202">
        <f t="shared" si="212"/>
        <v>1.7597342908693259</v>
      </c>
      <c r="AX384" s="202">
        <f t="shared" si="212"/>
        <v>1.7084798940478891</v>
      </c>
      <c r="AY384" s="202">
        <f t="shared" si="212"/>
        <v>1.6587183437358151</v>
      </c>
      <c r="AZ384" s="202">
        <f t="shared" si="212"/>
        <v>1.6104061589668108</v>
      </c>
      <c r="BA384" s="202">
        <f t="shared" si="212"/>
        <v>1.5635011252104958</v>
      </c>
      <c r="BB384" s="202">
        <f t="shared" si="212"/>
        <v>1.517962257485918</v>
      </c>
      <c r="BC384" s="202">
        <f t="shared" si="212"/>
        <v>1.4737497645494353</v>
      </c>
      <c r="BD384" s="202">
        <f t="shared" si="212"/>
        <v>1.4308250141256653</v>
      </c>
      <c r="BE384" s="202">
        <f t="shared" si="212"/>
        <v>1.3891504991511314</v>
      </c>
      <c r="BF384" s="202">
        <f t="shared" si="212"/>
        <v>1.3486898050010985</v>
      </c>
      <c r="BG384" s="203">
        <f t="shared" si="191"/>
        <v>36.239800129849542</v>
      </c>
    </row>
    <row r="385" spans="27:59">
      <c r="AA385" s="180">
        <f t="shared" si="196"/>
        <v>378000000</v>
      </c>
      <c r="AB385" s="41">
        <f t="shared" si="192"/>
        <v>450</v>
      </c>
      <c r="AC385" s="21">
        <v>18</v>
      </c>
      <c r="AD385" s="21" t="s">
        <v>283</v>
      </c>
      <c r="AE385" s="175">
        <f t="shared" si="193"/>
        <v>30</v>
      </c>
      <c r="AF385" s="183">
        <f t="shared" si="194"/>
        <v>27</v>
      </c>
      <c r="AG385" s="84">
        <f t="shared" si="184"/>
        <v>0.39750000000000002</v>
      </c>
      <c r="AH385" s="242">
        <f t="shared" si="185"/>
        <v>0.159</v>
      </c>
      <c r="AI385" s="76">
        <f t="shared" si="186"/>
        <v>1.5600000000000002E-3</v>
      </c>
      <c r="AJ385" s="181">
        <f t="shared" si="187"/>
        <v>5.5650000000000005E-2</v>
      </c>
      <c r="AK385" s="182">
        <f t="shared" si="188"/>
        <v>2.3077257367928001</v>
      </c>
      <c r="AM385" s="201">
        <f t="shared" si="189"/>
        <v>2.3649357367928001</v>
      </c>
      <c r="AN385" s="202">
        <f t="shared" ref="AN385:BF385" si="213">$AM$385/POWER(1+($B$10/100),AN366-2024)</f>
        <v>2.2960541133910679</v>
      </c>
      <c r="AO385" s="202">
        <f t="shared" si="213"/>
        <v>2.2291787508651146</v>
      </c>
      <c r="AP385" s="202">
        <f t="shared" si="213"/>
        <v>2.16425121443215</v>
      </c>
      <c r="AQ385" s="202">
        <f t="shared" si="213"/>
        <v>2.1012147712933498</v>
      </c>
      <c r="AR385" s="202">
        <f t="shared" si="213"/>
        <v>2.0400143410615046</v>
      </c>
      <c r="AS385" s="202">
        <f t="shared" si="213"/>
        <v>1.9805964476325288</v>
      </c>
      <c r="AT385" s="202">
        <f t="shared" si="213"/>
        <v>1.9229091724587657</v>
      </c>
      <c r="AU385" s="202">
        <f t="shared" si="213"/>
        <v>1.8669021091832678</v>
      </c>
      <c r="AV385" s="202">
        <f t="shared" si="213"/>
        <v>1.8125263195954056</v>
      </c>
      <c r="AW385" s="202">
        <f t="shared" si="213"/>
        <v>1.7597342908693259</v>
      </c>
      <c r="AX385" s="202">
        <f t="shared" si="213"/>
        <v>1.7084798940478891</v>
      </c>
      <c r="AY385" s="202">
        <f t="shared" si="213"/>
        <v>1.6587183437358151</v>
      </c>
      <c r="AZ385" s="202">
        <f t="shared" si="213"/>
        <v>1.6104061589668108</v>
      </c>
      <c r="BA385" s="202">
        <f t="shared" si="213"/>
        <v>1.5635011252104958</v>
      </c>
      <c r="BB385" s="202">
        <f t="shared" si="213"/>
        <v>1.517962257485918</v>
      </c>
      <c r="BC385" s="202">
        <f t="shared" si="213"/>
        <v>1.4737497645494353</v>
      </c>
      <c r="BD385" s="202">
        <f t="shared" si="213"/>
        <v>1.4308250141256653</v>
      </c>
      <c r="BE385" s="202">
        <f t="shared" si="213"/>
        <v>1.3891504991511314</v>
      </c>
      <c r="BF385" s="202">
        <f t="shared" si="213"/>
        <v>1.3486898050010985</v>
      </c>
      <c r="BG385" s="203">
        <f t="shared" si="191"/>
        <v>36.239800129849542</v>
      </c>
    </row>
    <row r="386" spans="27:59">
      <c r="AA386" s="180">
        <f t="shared" si="196"/>
        <v>399000000</v>
      </c>
      <c r="AB386" s="41">
        <f t="shared" si="192"/>
        <v>475</v>
      </c>
      <c r="AC386" s="21">
        <v>19</v>
      </c>
      <c r="AD386" s="21" t="s">
        <v>283</v>
      </c>
      <c r="AE386" s="175">
        <f t="shared" si="193"/>
        <v>30</v>
      </c>
      <c r="AF386" s="183">
        <f t="shared" si="194"/>
        <v>27</v>
      </c>
      <c r="AG386" s="84">
        <f t="shared" si="184"/>
        <v>0.39750000000000002</v>
      </c>
      <c r="AH386" s="242">
        <f t="shared" si="185"/>
        <v>0.159</v>
      </c>
      <c r="AI386" s="76">
        <f t="shared" si="186"/>
        <v>1.5600000000000002E-3</v>
      </c>
      <c r="AJ386" s="181">
        <f t="shared" si="187"/>
        <v>5.5650000000000005E-2</v>
      </c>
      <c r="AK386" s="182">
        <f t="shared" si="188"/>
        <v>2.3077257367928001</v>
      </c>
      <c r="AM386" s="201">
        <f t="shared" si="189"/>
        <v>2.3649357367928001</v>
      </c>
      <c r="AN386" s="202">
        <f t="shared" ref="AN386:BF386" si="214">$AM$386/POWER(1+($B$10/100),AN366-2024)</f>
        <v>2.2960541133910679</v>
      </c>
      <c r="AO386" s="202">
        <f t="shared" si="214"/>
        <v>2.2291787508651146</v>
      </c>
      <c r="AP386" s="202">
        <f t="shared" si="214"/>
        <v>2.16425121443215</v>
      </c>
      <c r="AQ386" s="202">
        <f t="shared" si="214"/>
        <v>2.1012147712933498</v>
      </c>
      <c r="AR386" s="202">
        <f t="shared" si="214"/>
        <v>2.0400143410615046</v>
      </c>
      <c r="AS386" s="202">
        <f t="shared" si="214"/>
        <v>1.9805964476325288</v>
      </c>
      <c r="AT386" s="202">
        <f t="shared" si="214"/>
        <v>1.9229091724587657</v>
      </c>
      <c r="AU386" s="202">
        <f t="shared" si="214"/>
        <v>1.8669021091832678</v>
      </c>
      <c r="AV386" s="202">
        <f t="shared" si="214"/>
        <v>1.8125263195954056</v>
      </c>
      <c r="AW386" s="202">
        <f t="shared" si="214"/>
        <v>1.7597342908693259</v>
      </c>
      <c r="AX386" s="202">
        <f t="shared" si="214"/>
        <v>1.7084798940478891</v>
      </c>
      <c r="AY386" s="202">
        <f t="shared" si="214"/>
        <v>1.6587183437358151</v>
      </c>
      <c r="AZ386" s="202">
        <f t="shared" si="214"/>
        <v>1.6104061589668108</v>
      </c>
      <c r="BA386" s="202">
        <f t="shared" si="214"/>
        <v>1.5635011252104958</v>
      </c>
      <c r="BB386" s="202">
        <f t="shared" si="214"/>
        <v>1.517962257485918</v>
      </c>
      <c r="BC386" s="202">
        <f t="shared" si="214"/>
        <v>1.4737497645494353</v>
      </c>
      <c r="BD386" s="202">
        <f t="shared" si="214"/>
        <v>1.4308250141256653</v>
      </c>
      <c r="BE386" s="202">
        <f t="shared" si="214"/>
        <v>1.3891504991511314</v>
      </c>
      <c r="BF386" s="202">
        <f t="shared" si="214"/>
        <v>1.3486898050010985</v>
      </c>
      <c r="BG386" s="203">
        <f t="shared" si="191"/>
        <v>36.239800129849542</v>
      </c>
    </row>
    <row r="387" spans="27:59">
      <c r="AA387" s="180">
        <f t="shared" si="196"/>
        <v>420000000</v>
      </c>
      <c r="AB387" s="41">
        <f t="shared" si="192"/>
        <v>500</v>
      </c>
      <c r="AC387" s="21">
        <v>20</v>
      </c>
      <c r="AD387" s="21" t="s">
        <v>283</v>
      </c>
      <c r="AE387" s="175">
        <f t="shared" si="193"/>
        <v>30</v>
      </c>
      <c r="AF387" s="183">
        <f t="shared" si="194"/>
        <v>27</v>
      </c>
      <c r="AG387" s="84">
        <f t="shared" si="184"/>
        <v>0.39750000000000002</v>
      </c>
      <c r="AH387" s="242">
        <f t="shared" si="185"/>
        <v>0.159</v>
      </c>
      <c r="AI387" s="76">
        <f t="shared" si="186"/>
        <v>1.5600000000000002E-3</v>
      </c>
      <c r="AJ387" s="181">
        <f t="shared" si="187"/>
        <v>5.5650000000000005E-2</v>
      </c>
      <c r="AK387" s="182">
        <f t="shared" si="188"/>
        <v>2.3077257367928001</v>
      </c>
      <c r="AM387" s="201">
        <f t="shared" si="189"/>
        <v>2.3649357367928001</v>
      </c>
      <c r="AN387" s="202">
        <f t="shared" ref="AN387:AO406" si="215">$AM387/POWER(1+($B$10/100),AN$366-2024)</f>
        <v>2.2960541133910679</v>
      </c>
      <c r="AO387" s="202">
        <f t="shared" si="215"/>
        <v>2.2291787508651146</v>
      </c>
      <c r="AP387" s="202">
        <f>$AM$387/POWER(1+($B$10/100),AP$366-2024)</f>
        <v>2.16425121443215</v>
      </c>
      <c r="AQ387" s="202">
        <f>$AM$387/POWER(1+($B$10/100),AQ$366-2024)</f>
        <v>2.1012147712933498</v>
      </c>
      <c r="AR387" s="202">
        <f t="shared" ref="AR387:BF387" si="216">$AM$387/POWER(1+($B$10/100),AR366-2024)</f>
        <v>2.0400143410615046</v>
      </c>
      <c r="AS387" s="202">
        <f t="shared" si="216"/>
        <v>1.9805964476325288</v>
      </c>
      <c r="AT387" s="202">
        <f t="shared" si="216"/>
        <v>1.9229091724587657</v>
      </c>
      <c r="AU387" s="202">
        <f t="shared" si="216"/>
        <v>1.8669021091832678</v>
      </c>
      <c r="AV387" s="202">
        <f t="shared" si="216"/>
        <v>1.8125263195954056</v>
      </c>
      <c r="AW387" s="202">
        <f t="shared" si="216"/>
        <v>1.7597342908693259</v>
      </c>
      <c r="AX387" s="202">
        <f t="shared" si="216"/>
        <v>1.7084798940478891</v>
      </c>
      <c r="AY387" s="202">
        <f t="shared" si="216"/>
        <v>1.6587183437358151</v>
      </c>
      <c r="AZ387" s="202">
        <f t="shared" si="216"/>
        <v>1.6104061589668108</v>
      </c>
      <c r="BA387" s="202">
        <f t="shared" si="216"/>
        <v>1.5635011252104958</v>
      </c>
      <c r="BB387" s="202">
        <f t="shared" si="216"/>
        <v>1.517962257485918</v>
      </c>
      <c r="BC387" s="202">
        <f t="shared" si="216"/>
        <v>1.4737497645494353</v>
      </c>
      <c r="BD387" s="202">
        <f t="shared" si="216"/>
        <v>1.4308250141256653</v>
      </c>
      <c r="BE387" s="202">
        <f t="shared" si="216"/>
        <v>1.3891504991511314</v>
      </c>
      <c r="BF387" s="202">
        <f t="shared" si="216"/>
        <v>1.3486898050010985</v>
      </c>
      <c r="BG387" s="203">
        <f t="shared" si="191"/>
        <v>36.239800129849542</v>
      </c>
    </row>
    <row r="388" spans="27:59">
      <c r="AA388" s="180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283</v>
      </c>
      <c r="AE388" s="175">
        <f t="shared" ref="AE388:AE451" si="218">AE206*$B$3</f>
        <v>30</v>
      </c>
      <c r="AF388" s="183">
        <f t="shared" ref="AF388:AF451" si="219">AF206*$B$4</f>
        <v>27</v>
      </c>
      <c r="AG388" s="84">
        <f t="shared" si="184"/>
        <v>0.39750000000000002</v>
      </c>
      <c r="AH388" s="242">
        <f t="shared" ref="AH388:AH451" si="220">AH206*$B$6</f>
        <v>0.159</v>
      </c>
      <c r="AI388" s="76">
        <f t="shared" ref="AI388:AI451" si="221">AI206*$B$7</f>
        <v>1.5600000000000002E-3</v>
      </c>
      <c r="AJ388" s="181">
        <f t="shared" ref="AJ388:AJ451" si="222">(AG388+AH388)*(AJ206/100)</f>
        <v>5.5650000000000005E-2</v>
      </c>
      <c r="AK388" s="182">
        <f t="shared" ref="AK388:AK451" si="223">AK206*$B$9</f>
        <v>2.3077257367928001</v>
      </c>
      <c r="AM388" s="201">
        <f t="shared" si="189"/>
        <v>2.3649357367928001</v>
      </c>
      <c r="AN388" s="202">
        <f t="shared" si="215"/>
        <v>2.2960541133910679</v>
      </c>
      <c r="AO388" s="202">
        <f t="shared" si="215"/>
        <v>2.2291787508651146</v>
      </c>
      <c r="AP388" s="202">
        <f t="shared" ref="AP388:AY397" si="224">$AM388/POWER(1+($B$10/100),AP$366-2024)</f>
        <v>2.16425121443215</v>
      </c>
      <c r="AQ388" s="202">
        <f t="shared" si="224"/>
        <v>2.1012147712933498</v>
      </c>
      <c r="AR388" s="202">
        <f t="shared" si="224"/>
        <v>2.0400143410615046</v>
      </c>
      <c r="AS388" s="202">
        <f t="shared" si="224"/>
        <v>1.9805964476325288</v>
      </c>
      <c r="AT388" s="202">
        <f t="shared" si="224"/>
        <v>1.9229091724587657</v>
      </c>
      <c r="AU388" s="202">
        <f t="shared" si="224"/>
        <v>1.8669021091832678</v>
      </c>
      <c r="AV388" s="202">
        <f t="shared" si="224"/>
        <v>1.8125263195954056</v>
      </c>
      <c r="AW388" s="202">
        <f t="shared" si="224"/>
        <v>1.7597342908693259</v>
      </c>
      <c r="AX388" s="202">
        <f t="shared" si="224"/>
        <v>1.7084798940478891</v>
      </c>
      <c r="AY388" s="202">
        <f t="shared" si="224"/>
        <v>1.6587183437358151</v>
      </c>
      <c r="AZ388" s="202">
        <f t="shared" ref="AZ388:BF397" si="225">$AM388/POWER(1+($B$10/100),AZ$366-2024)</f>
        <v>1.6104061589668108</v>
      </c>
      <c r="BA388" s="202">
        <f t="shared" si="225"/>
        <v>1.5635011252104958</v>
      </c>
      <c r="BB388" s="202">
        <f t="shared" si="225"/>
        <v>1.517962257485918</v>
      </c>
      <c r="BC388" s="202">
        <f t="shared" si="225"/>
        <v>1.4737497645494353</v>
      </c>
      <c r="BD388" s="202">
        <f t="shared" si="225"/>
        <v>1.4308250141256653</v>
      </c>
      <c r="BE388" s="202">
        <f t="shared" si="225"/>
        <v>1.3891504991511314</v>
      </c>
      <c r="BF388" s="202">
        <f t="shared" si="225"/>
        <v>1.3486898050010985</v>
      </c>
      <c r="BG388" s="203">
        <f t="shared" si="191"/>
        <v>36.239800129849542</v>
      </c>
    </row>
    <row r="389" spans="27:59">
      <c r="AA389" s="180">
        <f t="shared" si="196"/>
        <v>462000000</v>
      </c>
      <c r="AB389" s="41">
        <f t="shared" si="217"/>
        <v>550</v>
      </c>
      <c r="AC389" s="21">
        <v>22</v>
      </c>
      <c r="AD389" s="21" t="s">
        <v>283</v>
      </c>
      <c r="AE389" s="175">
        <f t="shared" si="218"/>
        <v>30</v>
      </c>
      <c r="AF389" s="183">
        <f t="shared" si="219"/>
        <v>27</v>
      </c>
      <c r="AG389" s="84">
        <f t="shared" ref="AG389:AG451" si="226">AG207*$B$5</f>
        <v>0.39750000000000002</v>
      </c>
      <c r="AH389" s="242">
        <f t="shared" si="220"/>
        <v>0.159</v>
      </c>
      <c r="AI389" s="76">
        <f t="shared" si="221"/>
        <v>1.5600000000000002E-3</v>
      </c>
      <c r="AJ389" s="181">
        <f t="shared" si="222"/>
        <v>5.5650000000000005E-2</v>
      </c>
      <c r="AK389" s="182">
        <f t="shared" si="223"/>
        <v>2.3077257367928001</v>
      </c>
      <c r="AM389" s="201">
        <f t="shared" si="189"/>
        <v>2.3649357367928001</v>
      </c>
      <c r="AN389" s="202">
        <f t="shared" si="215"/>
        <v>2.2960541133910679</v>
      </c>
      <c r="AO389" s="202">
        <f t="shared" si="215"/>
        <v>2.2291787508651146</v>
      </c>
      <c r="AP389" s="202">
        <f t="shared" si="224"/>
        <v>2.16425121443215</v>
      </c>
      <c r="AQ389" s="202">
        <f t="shared" si="224"/>
        <v>2.1012147712933498</v>
      </c>
      <c r="AR389" s="202">
        <f t="shared" si="224"/>
        <v>2.0400143410615046</v>
      </c>
      <c r="AS389" s="202">
        <f t="shared" si="224"/>
        <v>1.9805964476325288</v>
      </c>
      <c r="AT389" s="202">
        <f t="shared" si="224"/>
        <v>1.9229091724587657</v>
      </c>
      <c r="AU389" s="202">
        <f t="shared" si="224"/>
        <v>1.8669021091832678</v>
      </c>
      <c r="AV389" s="202">
        <f t="shared" si="224"/>
        <v>1.8125263195954056</v>
      </c>
      <c r="AW389" s="202">
        <f t="shared" si="224"/>
        <v>1.7597342908693259</v>
      </c>
      <c r="AX389" s="202">
        <f t="shared" si="224"/>
        <v>1.7084798940478891</v>
      </c>
      <c r="AY389" s="202">
        <f t="shared" si="224"/>
        <v>1.6587183437358151</v>
      </c>
      <c r="AZ389" s="202">
        <f t="shared" si="225"/>
        <v>1.6104061589668108</v>
      </c>
      <c r="BA389" s="202">
        <f t="shared" si="225"/>
        <v>1.5635011252104958</v>
      </c>
      <c r="BB389" s="202">
        <f t="shared" si="225"/>
        <v>1.517962257485918</v>
      </c>
      <c r="BC389" s="202">
        <f t="shared" si="225"/>
        <v>1.4737497645494353</v>
      </c>
      <c r="BD389" s="202">
        <f t="shared" si="225"/>
        <v>1.4308250141256653</v>
      </c>
      <c r="BE389" s="202">
        <f t="shared" si="225"/>
        <v>1.3891504991511314</v>
      </c>
      <c r="BF389" s="202">
        <f t="shared" si="225"/>
        <v>1.3486898050010985</v>
      </c>
      <c r="BG389" s="203">
        <f t="shared" si="191"/>
        <v>36.239800129849542</v>
      </c>
    </row>
    <row r="390" spans="27:59">
      <c r="AA390" s="180">
        <f t="shared" si="196"/>
        <v>483000000</v>
      </c>
      <c r="AB390" s="41">
        <f t="shared" si="217"/>
        <v>575</v>
      </c>
      <c r="AC390" s="21">
        <v>23</v>
      </c>
      <c r="AD390" s="21" t="s">
        <v>283</v>
      </c>
      <c r="AE390" s="175">
        <f t="shared" si="218"/>
        <v>30</v>
      </c>
      <c r="AF390" s="183">
        <f t="shared" si="219"/>
        <v>27</v>
      </c>
      <c r="AG390" s="84">
        <f t="shared" si="226"/>
        <v>0.39750000000000002</v>
      </c>
      <c r="AH390" s="242">
        <f t="shared" si="220"/>
        <v>0.159</v>
      </c>
      <c r="AI390" s="76">
        <f t="shared" si="221"/>
        <v>1.5600000000000002E-3</v>
      </c>
      <c r="AJ390" s="181">
        <f t="shared" si="222"/>
        <v>5.5650000000000005E-2</v>
      </c>
      <c r="AK390" s="182">
        <f t="shared" si="223"/>
        <v>2.3077257367928001</v>
      </c>
      <c r="AM390" s="201">
        <f t="shared" si="189"/>
        <v>2.3649357367928001</v>
      </c>
      <c r="AN390" s="202">
        <f t="shared" si="215"/>
        <v>2.2960541133910679</v>
      </c>
      <c r="AO390" s="202">
        <f t="shared" si="215"/>
        <v>2.2291787508651146</v>
      </c>
      <c r="AP390" s="202">
        <f t="shared" si="224"/>
        <v>2.16425121443215</v>
      </c>
      <c r="AQ390" s="202">
        <f t="shared" si="224"/>
        <v>2.1012147712933498</v>
      </c>
      <c r="AR390" s="202">
        <f t="shared" si="224"/>
        <v>2.0400143410615046</v>
      </c>
      <c r="AS390" s="202">
        <f t="shared" si="224"/>
        <v>1.9805964476325288</v>
      </c>
      <c r="AT390" s="202">
        <f t="shared" si="224"/>
        <v>1.9229091724587657</v>
      </c>
      <c r="AU390" s="202">
        <f t="shared" si="224"/>
        <v>1.8669021091832678</v>
      </c>
      <c r="AV390" s="202">
        <f t="shared" si="224"/>
        <v>1.8125263195954056</v>
      </c>
      <c r="AW390" s="202">
        <f t="shared" si="224"/>
        <v>1.7597342908693259</v>
      </c>
      <c r="AX390" s="202">
        <f t="shared" si="224"/>
        <v>1.7084798940478891</v>
      </c>
      <c r="AY390" s="202">
        <f t="shared" si="224"/>
        <v>1.6587183437358151</v>
      </c>
      <c r="AZ390" s="202">
        <f t="shared" si="225"/>
        <v>1.6104061589668108</v>
      </c>
      <c r="BA390" s="202">
        <f t="shared" si="225"/>
        <v>1.5635011252104958</v>
      </c>
      <c r="BB390" s="202">
        <f t="shared" si="225"/>
        <v>1.517962257485918</v>
      </c>
      <c r="BC390" s="202">
        <f t="shared" si="225"/>
        <v>1.4737497645494353</v>
      </c>
      <c r="BD390" s="202">
        <f t="shared" si="225"/>
        <v>1.4308250141256653</v>
      </c>
      <c r="BE390" s="202">
        <f t="shared" si="225"/>
        <v>1.3891504991511314</v>
      </c>
      <c r="BF390" s="202">
        <f t="shared" si="225"/>
        <v>1.3486898050010985</v>
      </c>
      <c r="BG390" s="203">
        <f t="shared" si="191"/>
        <v>36.239800129849542</v>
      </c>
    </row>
    <row r="391" spans="27:59">
      <c r="AA391" s="180">
        <f t="shared" si="196"/>
        <v>504000000</v>
      </c>
      <c r="AB391" s="41">
        <f t="shared" si="217"/>
        <v>600</v>
      </c>
      <c r="AC391" s="21">
        <v>24</v>
      </c>
      <c r="AD391" s="21" t="s">
        <v>283</v>
      </c>
      <c r="AE391" s="175">
        <f t="shared" si="218"/>
        <v>30</v>
      </c>
      <c r="AF391" s="183">
        <f t="shared" si="219"/>
        <v>27</v>
      </c>
      <c r="AG391" s="84">
        <f t="shared" si="226"/>
        <v>0.39750000000000002</v>
      </c>
      <c r="AH391" s="242">
        <f t="shared" si="220"/>
        <v>0.159</v>
      </c>
      <c r="AI391" s="76">
        <f t="shared" si="221"/>
        <v>1.5600000000000002E-3</v>
      </c>
      <c r="AJ391" s="181">
        <f t="shared" si="222"/>
        <v>5.5650000000000005E-2</v>
      </c>
      <c r="AK391" s="182">
        <f t="shared" si="223"/>
        <v>2.3077257367928001</v>
      </c>
      <c r="AM391" s="201">
        <f t="shared" si="189"/>
        <v>2.3649357367928001</v>
      </c>
      <c r="AN391" s="202">
        <f t="shared" si="215"/>
        <v>2.2960541133910679</v>
      </c>
      <c r="AO391" s="202">
        <f t="shared" si="215"/>
        <v>2.2291787508651146</v>
      </c>
      <c r="AP391" s="202">
        <f t="shared" si="224"/>
        <v>2.16425121443215</v>
      </c>
      <c r="AQ391" s="202">
        <f t="shared" si="224"/>
        <v>2.1012147712933498</v>
      </c>
      <c r="AR391" s="202">
        <f t="shared" si="224"/>
        <v>2.0400143410615046</v>
      </c>
      <c r="AS391" s="202">
        <f t="shared" si="224"/>
        <v>1.9805964476325288</v>
      </c>
      <c r="AT391" s="202">
        <f t="shared" si="224"/>
        <v>1.9229091724587657</v>
      </c>
      <c r="AU391" s="202">
        <f t="shared" si="224"/>
        <v>1.8669021091832678</v>
      </c>
      <c r="AV391" s="202">
        <f t="shared" si="224"/>
        <v>1.8125263195954056</v>
      </c>
      <c r="AW391" s="202">
        <f t="shared" si="224"/>
        <v>1.7597342908693259</v>
      </c>
      <c r="AX391" s="202">
        <f t="shared" si="224"/>
        <v>1.7084798940478891</v>
      </c>
      <c r="AY391" s="202">
        <f t="shared" si="224"/>
        <v>1.6587183437358151</v>
      </c>
      <c r="AZ391" s="202">
        <f t="shared" si="225"/>
        <v>1.6104061589668108</v>
      </c>
      <c r="BA391" s="202">
        <f t="shared" si="225"/>
        <v>1.5635011252104958</v>
      </c>
      <c r="BB391" s="202">
        <f t="shared" si="225"/>
        <v>1.517962257485918</v>
      </c>
      <c r="BC391" s="202">
        <f t="shared" si="225"/>
        <v>1.4737497645494353</v>
      </c>
      <c r="BD391" s="202">
        <f t="shared" si="225"/>
        <v>1.4308250141256653</v>
      </c>
      <c r="BE391" s="202">
        <f t="shared" si="225"/>
        <v>1.3891504991511314</v>
      </c>
      <c r="BF391" s="202">
        <f t="shared" si="225"/>
        <v>1.3486898050010985</v>
      </c>
      <c r="BG391" s="203">
        <f t="shared" si="191"/>
        <v>36.239800129849542</v>
      </c>
    </row>
    <row r="392" spans="27:59">
      <c r="AA392" s="180">
        <f t="shared" si="196"/>
        <v>525000000</v>
      </c>
      <c r="AB392" s="41">
        <f t="shared" si="217"/>
        <v>625</v>
      </c>
      <c r="AC392" s="21">
        <v>25</v>
      </c>
      <c r="AD392" s="21" t="s">
        <v>283</v>
      </c>
      <c r="AE392" s="175">
        <f t="shared" si="218"/>
        <v>30</v>
      </c>
      <c r="AF392" s="183">
        <f t="shared" si="219"/>
        <v>27</v>
      </c>
      <c r="AG392" s="84">
        <f t="shared" si="226"/>
        <v>0.39750000000000002</v>
      </c>
      <c r="AH392" s="242">
        <f t="shared" si="220"/>
        <v>0.159</v>
      </c>
      <c r="AI392" s="76">
        <f t="shared" si="221"/>
        <v>1.5600000000000002E-3</v>
      </c>
      <c r="AJ392" s="181">
        <f t="shared" si="222"/>
        <v>5.5650000000000005E-2</v>
      </c>
      <c r="AK392" s="182">
        <f t="shared" si="223"/>
        <v>2.3077257367928001</v>
      </c>
      <c r="AM392" s="201">
        <f t="shared" si="189"/>
        <v>2.3649357367928001</v>
      </c>
      <c r="AN392" s="202">
        <f t="shared" si="215"/>
        <v>2.2960541133910679</v>
      </c>
      <c r="AO392" s="202">
        <f t="shared" si="215"/>
        <v>2.2291787508651146</v>
      </c>
      <c r="AP392" s="202">
        <f t="shared" si="224"/>
        <v>2.16425121443215</v>
      </c>
      <c r="AQ392" s="202">
        <f t="shared" si="224"/>
        <v>2.1012147712933498</v>
      </c>
      <c r="AR392" s="202">
        <f t="shared" si="224"/>
        <v>2.0400143410615046</v>
      </c>
      <c r="AS392" s="202">
        <f t="shared" si="224"/>
        <v>1.9805964476325288</v>
      </c>
      <c r="AT392" s="202">
        <f t="shared" si="224"/>
        <v>1.9229091724587657</v>
      </c>
      <c r="AU392" s="202">
        <f t="shared" si="224"/>
        <v>1.8669021091832678</v>
      </c>
      <c r="AV392" s="202">
        <f t="shared" si="224"/>
        <v>1.8125263195954056</v>
      </c>
      <c r="AW392" s="202">
        <f t="shared" si="224"/>
        <v>1.7597342908693259</v>
      </c>
      <c r="AX392" s="202">
        <f t="shared" si="224"/>
        <v>1.7084798940478891</v>
      </c>
      <c r="AY392" s="202">
        <f t="shared" si="224"/>
        <v>1.6587183437358151</v>
      </c>
      <c r="AZ392" s="202">
        <f t="shared" si="225"/>
        <v>1.6104061589668108</v>
      </c>
      <c r="BA392" s="202">
        <f t="shared" si="225"/>
        <v>1.5635011252104958</v>
      </c>
      <c r="BB392" s="202">
        <f t="shared" si="225"/>
        <v>1.517962257485918</v>
      </c>
      <c r="BC392" s="202">
        <f t="shared" si="225"/>
        <v>1.4737497645494353</v>
      </c>
      <c r="BD392" s="202">
        <f t="shared" si="225"/>
        <v>1.4308250141256653</v>
      </c>
      <c r="BE392" s="202">
        <f t="shared" si="225"/>
        <v>1.3891504991511314</v>
      </c>
      <c r="BF392" s="202">
        <f t="shared" si="225"/>
        <v>1.3486898050010985</v>
      </c>
      <c r="BG392" s="203">
        <f t="shared" si="191"/>
        <v>36.239800129849542</v>
      </c>
    </row>
    <row r="393" spans="27:59">
      <c r="AA393" s="180">
        <f t="shared" si="196"/>
        <v>546000000</v>
      </c>
      <c r="AB393" s="41">
        <f t="shared" si="217"/>
        <v>650</v>
      </c>
      <c r="AC393" s="21">
        <v>26</v>
      </c>
      <c r="AD393" s="21" t="s">
        <v>283</v>
      </c>
      <c r="AE393" s="175">
        <f t="shared" si="218"/>
        <v>30</v>
      </c>
      <c r="AF393" s="183">
        <f t="shared" si="219"/>
        <v>27</v>
      </c>
      <c r="AG393" s="84">
        <f t="shared" si="226"/>
        <v>0.39750000000000002</v>
      </c>
      <c r="AH393" s="242">
        <f t="shared" si="220"/>
        <v>0.159</v>
      </c>
      <c r="AI393" s="76">
        <f t="shared" si="221"/>
        <v>1.5600000000000002E-3</v>
      </c>
      <c r="AJ393" s="181">
        <f t="shared" si="222"/>
        <v>5.5650000000000005E-2</v>
      </c>
      <c r="AK393" s="182">
        <f t="shared" si="223"/>
        <v>2.3077257367928001</v>
      </c>
      <c r="AM393" s="201">
        <f t="shared" si="189"/>
        <v>2.3649357367928001</v>
      </c>
      <c r="AN393" s="202">
        <f t="shared" si="215"/>
        <v>2.2960541133910679</v>
      </c>
      <c r="AO393" s="202">
        <f t="shared" si="215"/>
        <v>2.2291787508651146</v>
      </c>
      <c r="AP393" s="202">
        <f t="shared" si="224"/>
        <v>2.16425121443215</v>
      </c>
      <c r="AQ393" s="202">
        <f t="shared" si="224"/>
        <v>2.1012147712933498</v>
      </c>
      <c r="AR393" s="202">
        <f t="shared" si="224"/>
        <v>2.0400143410615046</v>
      </c>
      <c r="AS393" s="202">
        <f t="shared" si="224"/>
        <v>1.9805964476325288</v>
      </c>
      <c r="AT393" s="202">
        <f t="shared" si="224"/>
        <v>1.9229091724587657</v>
      </c>
      <c r="AU393" s="202">
        <f t="shared" si="224"/>
        <v>1.8669021091832678</v>
      </c>
      <c r="AV393" s="202">
        <f t="shared" si="224"/>
        <v>1.8125263195954056</v>
      </c>
      <c r="AW393" s="202">
        <f t="shared" si="224"/>
        <v>1.7597342908693259</v>
      </c>
      <c r="AX393" s="202">
        <f t="shared" si="224"/>
        <v>1.7084798940478891</v>
      </c>
      <c r="AY393" s="202">
        <f t="shared" si="224"/>
        <v>1.6587183437358151</v>
      </c>
      <c r="AZ393" s="202">
        <f t="shared" si="225"/>
        <v>1.6104061589668108</v>
      </c>
      <c r="BA393" s="202">
        <f t="shared" si="225"/>
        <v>1.5635011252104958</v>
      </c>
      <c r="BB393" s="202">
        <f t="shared" si="225"/>
        <v>1.517962257485918</v>
      </c>
      <c r="BC393" s="202">
        <f t="shared" si="225"/>
        <v>1.4737497645494353</v>
      </c>
      <c r="BD393" s="202">
        <f t="shared" si="225"/>
        <v>1.4308250141256653</v>
      </c>
      <c r="BE393" s="202">
        <f t="shared" si="225"/>
        <v>1.3891504991511314</v>
      </c>
      <c r="BF393" s="202">
        <f t="shared" si="225"/>
        <v>1.3486898050010985</v>
      </c>
      <c r="BG393" s="203">
        <f t="shared" si="191"/>
        <v>36.239800129849542</v>
      </c>
    </row>
    <row r="394" spans="27:59">
      <c r="AA394" s="180">
        <f t="shared" si="196"/>
        <v>567000000</v>
      </c>
      <c r="AB394" s="41">
        <f t="shared" si="217"/>
        <v>675</v>
      </c>
      <c r="AC394" s="21">
        <v>27</v>
      </c>
      <c r="AD394" s="21" t="s">
        <v>283</v>
      </c>
      <c r="AE394" s="175">
        <f t="shared" si="218"/>
        <v>30</v>
      </c>
      <c r="AF394" s="183">
        <f t="shared" si="219"/>
        <v>27</v>
      </c>
      <c r="AG394" s="84">
        <f t="shared" si="226"/>
        <v>0.39750000000000002</v>
      </c>
      <c r="AH394" s="242">
        <f t="shared" si="220"/>
        <v>0.159</v>
      </c>
      <c r="AI394" s="76">
        <f t="shared" si="221"/>
        <v>1.5600000000000002E-3</v>
      </c>
      <c r="AJ394" s="181">
        <f t="shared" si="222"/>
        <v>5.5650000000000005E-2</v>
      </c>
      <c r="AK394" s="182">
        <f t="shared" si="223"/>
        <v>2.3077257367928001</v>
      </c>
      <c r="AM394" s="201">
        <f t="shared" si="189"/>
        <v>2.3649357367928001</v>
      </c>
      <c r="AN394" s="202">
        <f t="shared" si="215"/>
        <v>2.2960541133910679</v>
      </c>
      <c r="AO394" s="202">
        <f t="shared" si="215"/>
        <v>2.2291787508651146</v>
      </c>
      <c r="AP394" s="202">
        <f t="shared" si="224"/>
        <v>2.16425121443215</v>
      </c>
      <c r="AQ394" s="202">
        <f t="shared" si="224"/>
        <v>2.1012147712933498</v>
      </c>
      <c r="AR394" s="202">
        <f t="shared" si="224"/>
        <v>2.0400143410615046</v>
      </c>
      <c r="AS394" s="202">
        <f t="shared" si="224"/>
        <v>1.9805964476325288</v>
      </c>
      <c r="AT394" s="202">
        <f t="shared" si="224"/>
        <v>1.9229091724587657</v>
      </c>
      <c r="AU394" s="202">
        <f t="shared" si="224"/>
        <v>1.8669021091832678</v>
      </c>
      <c r="AV394" s="202">
        <f t="shared" si="224"/>
        <v>1.8125263195954056</v>
      </c>
      <c r="AW394" s="202">
        <f t="shared" si="224"/>
        <v>1.7597342908693259</v>
      </c>
      <c r="AX394" s="202">
        <f t="shared" si="224"/>
        <v>1.7084798940478891</v>
      </c>
      <c r="AY394" s="202">
        <f t="shared" si="224"/>
        <v>1.6587183437358151</v>
      </c>
      <c r="AZ394" s="202">
        <f t="shared" si="225"/>
        <v>1.6104061589668108</v>
      </c>
      <c r="BA394" s="202">
        <f t="shared" si="225"/>
        <v>1.5635011252104958</v>
      </c>
      <c r="BB394" s="202">
        <f t="shared" si="225"/>
        <v>1.517962257485918</v>
      </c>
      <c r="BC394" s="202">
        <f t="shared" si="225"/>
        <v>1.4737497645494353</v>
      </c>
      <c r="BD394" s="202">
        <f t="shared" si="225"/>
        <v>1.4308250141256653</v>
      </c>
      <c r="BE394" s="202">
        <f t="shared" si="225"/>
        <v>1.3891504991511314</v>
      </c>
      <c r="BF394" s="202">
        <f t="shared" si="225"/>
        <v>1.3486898050010985</v>
      </c>
      <c r="BG394" s="203">
        <f t="shared" si="191"/>
        <v>36.239800129849542</v>
      </c>
    </row>
    <row r="395" spans="27:59">
      <c r="AA395" s="180">
        <f t="shared" si="196"/>
        <v>588000000</v>
      </c>
      <c r="AB395" s="41">
        <f t="shared" si="217"/>
        <v>700</v>
      </c>
      <c r="AC395" s="21">
        <v>28</v>
      </c>
      <c r="AD395" s="21" t="s">
        <v>283</v>
      </c>
      <c r="AE395" s="175">
        <f t="shared" si="218"/>
        <v>30</v>
      </c>
      <c r="AF395" s="183">
        <f t="shared" si="219"/>
        <v>27</v>
      </c>
      <c r="AG395" s="84">
        <f t="shared" si="226"/>
        <v>0.39750000000000002</v>
      </c>
      <c r="AH395" s="242">
        <f t="shared" si="220"/>
        <v>0.159</v>
      </c>
      <c r="AI395" s="76">
        <f t="shared" si="221"/>
        <v>1.5600000000000002E-3</v>
      </c>
      <c r="AJ395" s="181">
        <f t="shared" si="222"/>
        <v>5.5650000000000005E-2</v>
      </c>
      <c r="AK395" s="182">
        <f t="shared" si="223"/>
        <v>2.3077257367928001</v>
      </c>
      <c r="AM395" s="201">
        <f t="shared" si="189"/>
        <v>2.3649357367928001</v>
      </c>
      <c r="AN395" s="202">
        <f t="shared" si="215"/>
        <v>2.2960541133910679</v>
      </c>
      <c r="AO395" s="202">
        <f t="shared" si="215"/>
        <v>2.2291787508651146</v>
      </c>
      <c r="AP395" s="202">
        <f t="shared" si="224"/>
        <v>2.16425121443215</v>
      </c>
      <c r="AQ395" s="202">
        <f t="shared" si="224"/>
        <v>2.1012147712933498</v>
      </c>
      <c r="AR395" s="202">
        <f t="shared" si="224"/>
        <v>2.0400143410615046</v>
      </c>
      <c r="AS395" s="202">
        <f t="shared" si="224"/>
        <v>1.9805964476325288</v>
      </c>
      <c r="AT395" s="202">
        <f t="shared" si="224"/>
        <v>1.9229091724587657</v>
      </c>
      <c r="AU395" s="202">
        <f t="shared" si="224"/>
        <v>1.8669021091832678</v>
      </c>
      <c r="AV395" s="202">
        <f t="shared" si="224"/>
        <v>1.8125263195954056</v>
      </c>
      <c r="AW395" s="202">
        <f t="shared" si="224"/>
        <v>1.7597342908693259</v>
      </c>
      <c r="AX395" s="202">
        <f t="shared" si="224"/>
        <v>1.7084798940478891</v>
      </c>
      <c r="AY395" s="202">
        <f t="shared" si="224"/>
        <v>1.6587183437358151</v>
      </c>
      <c r="AZ395" s="202">
        <f t="shared" si="225"/>
        <v>1.6104061589668108</v>
      </c>
      <c r="BA395" s="202">
        <f t="shared" si="225"/>
        <v>1.5635011252104958</v>
      </c>
      <c r="BB395" s="202">
        <f t="shared" si="225"/>
        <v>1.517962257485918</v>
      </c>
      <c r="BC395" s="202">
        <f t="shared" si="225"/>
        <v>1.4737497645494353</v>
      </c>
      <c r="BD395" s="202">
        <f t="shared" si="225"/>
        <v>1.4308250141256653</v>
      </c>
      <c r="BE395" s="202">
        <f t="shared" si="225"/>
        <v>1.3891504991511314</v>
      </c>
      <c r="BF395" s="202">
        <f t="shared" si="225"/>
        <v>1.3486898050010985</v>
      </c>
      <c r="BG395" s="203">
        <f t="shared" si="191"/>
        <v>36.239800129849542</v>
      </c>
    </row>
    <row r="396" spans="27:59">
      <c r="AA396" s="180">
        <f t="shared" si="196"/>
        <v>609000000</v>
      </c>
      <c r="AB396" s="41">
        <f t="shared" si="217"/>
        <v>725</v>
      </c>
      <c r="AC396" s="21">
        <v>29</v>
      </c>
      <c r="AD396" s="21" t="s">
        <v>283</v>
      </c>
      <c r="AE396" s="175">
        <f t="shared" si="218"/>
        <v>30</v>
      </c>
      <c r="AF396" s="183">
        <f t="shared" si="219"/>
        <v>27</v>
      </c>
      <c r="AG396" s="84">
        <f t="shared" si="226"/>
        <v>0.39750000000000002</v>
      </c>
      <c r="AH396" s="242">
        <f t="shared" si="220"/>
        <v>0.159</v>
      </c>
      <c r="AI396" s="76">
        <f t="shared" si="221"/>
        <v>1.5600000000000002E-3</v>
      </c>
      <c r="AJ396" s="181">
        <f t="shared" si="222"/>
        <v>5.5650000000000005E-2</v>
      </c>
      <c r="AK396" s="182">
        <f t="shared" si="223"/>
        <v>2.3077257367928001</v>
      </c>
      <c r="AM396" s="201">
        <f t="shared" si="189"/>
        <v>2.3649357367928001</v>
      </c>
      <c r="AN396" s="202">
        <f t="shared" si="215"/>
        <v>2.2960541133910679</v>
      </c>
      <c r="AO396" s="202">
        <f t="shared" si="215"/>
        <v>2.2291787508651146</v>
      </c>
      <c r="AP396" s="202">
        <f t="shared" si="224"/>
        <v>2.16425121443215</v>
      </c>
      <c r="AQ396" s="202">
        <f t="shared" si="224"/>
        <v>2.1012147712933498</v>
      </c>
      <c r="AR396" s="202">
        <f t="shared" si="224"/>
        <v>2.0400143410615046</v>
      </c>
      <c r="AS396" s="202">
        <f t="shared" si="224"/>
        <v>1.9805964476325288</v>
      </c>
      <c r="AT396" s="202">
        <f t="shared" si="224"/>
        <v>1.9229091724587657</v>
      </c>
      <c r="AU396" s="202">
        <f t="shared" si="224"/>
        <v>1.8669021091832678</v>
      </c>
      <c r="AV396" s="202">
        <f t="shared" si="224"/>
        <v>1.8125263195954056</v>
      </c>
      <c r="AW396" s="202">
        <f t="shared" si="224"/>
        <v>1.7597342908693259</v>
      </c>
      <c r="AX396" s="202">
        <f t="shared" si="224"/>
        <v>1.7084798940478891</v>
      </c>
      <c r="AY396" s="202">
        <f t="shared" si="224"/>
        <v>1.6587183437358151</v>
      </c>
      <c r="AZ396" s="202">
        <f t="shared" si="225"/>
        <v>1.6104061589668108</v>
      </c>
      <c r="BA396" s="202">
        <f t="shared" si="225"/>
        <v>1.5635011252104958</v>
      </c>
      <c r="BB396" s="202">
        <f t="shared" si="225"/>
        <v>1.517962257485918</v>
      </c>
      <c r="BC396" s="202">
        <f t="shared" si="225"/>
        <v>1.4737497645494353</v>
      </c>
      <c r="BD396" s="202">
        <f t="shared" si="225"/>
        <v>1.4308250141256653</v>
      </c>
      <c r="BE396" s="202">
        <f t="shared" si="225"/>
        <v>1.3891504991511314</v>
      </c>
      <c r="BF396" s="202">
        <f t="shared" si="225"/>
        <v>1.3486898050010985</v>
      </c>
      <c r="BG396" s="203">
        <f t="shared" si="191"/>
        <v>36.239800129849542</v>
      </c>
    </row>
    <row r="397" spans="27:59">
      <c r="AA397" s="180">
        <f t="shared" si="196"/>
        <v>630000000</v>
      </c>
      <c r="AB397" s="41">
        <f t="shared" si="217"/>
        <v>750</v>
      </c>
      <c r="AC397" s="21">
        <v>30</v>
      </c>
      <c r="AD397" s="21" t="s">
        <v>283</v>
      </c>
      <c r="AE397" s="175">
        <f t="shared" si="218"/>
        <v>30</v>
      </c>
      <c r="AF397" s="183">
        <f t="shared" si="219"/>
        <v>27</v>
      </c>
      <c r="AG397" s="84">
        <f t="shared" si="226"/>
        <v>0.39750000000000002</v>
      </c>
      <c r="AH397" s="242">
        <f t="shared" si="220"/>
        <v>0.159</v>
      </c>
      <c r="AI397" s="76">
        <f t="shared" si="221"/>
        <v>1.5600000000000002E-3</v>
      </c>
      <c r="AJ397" s="181">
        <f t="shared" si="222"/>
        <v>5.5650000000000005E-2</v>
      </c>
      <c r="AK397" s="182">
        <f t="shared" si="223"/>
        <v>2.3077257367928001</v>
      </c>
      <c r="AM397" s="201">
        <f t="shared" si="189"/>
        <v>2.3649357367928001</v>
      </c>
      <c r="AN397" s="202">
        <f t="shared" si="215"/>
        <v>2.2960541133910679</v>
      </c>
      <c r="AO397" s="202">
        <f t="shared" si="215"/>
        <v>2.2291787508651146</v>
      </c>
      <c r="AP397" s="202">
        <f t="shared" si="224"/>
        <v>2.16425121443215</v>
      </c>
      <c r="AQ397" s="202">
        <f t="shared" si="224"/>
        <v>2.1012147712933498</v>
      </c>
      <c r="AR397" s="202">
        <f t="shared" si="224"/>
        <v>2.0400143410615046</v>
      </c>
      <c r="AS397" s="202">
        <f t="shared" si="224"/>
        <v>1.9805964476325288</v>
      </c>
      <c r="AT397" s="202">
        <f t="shared" si="224"/>
        <v>1.9229091724587657</v>
      </c>
      <c r="AU397" s="202">
        <f t="shared" si="224"/>
        <v>1.8669021091832678</v>
      </c>
      <c r="AV397" s="202">
        <f t="shared" si="224"/>
        <v>1.8125263195954056</v>
      </c>
      <c r="AW397" s="202">
        <f t="shared" si="224"/>
        <v>1.7597342908693259</v>
      </c>
      <c r="AX397" s="202">
        <f t="shared" si="224"/>
        <v>1.7084798940478891</v>
      </c>
      <c r="AY397" s="202">
        <f t="shared" si="224"/>
        <v>1.6587183437358151</v>
      </c>
      <c r="AZ397" s="202">
        <f t="shared" si="225"/>
        <v>1.6104061589668108</v>
      </c>
      <c r="BA397" s="202">
        <f t="shared" si="225"/>
        <v>1.5635011252104958</v>
      </c>
      <c r="BB397" s="202">
        <f t="shared" si="225"/>
        <v>1.517962257485918</v>
      </c>
      <c r="BC397" s="202">
        <f t="shared" si="225"/>
        <v>1.4737497645494353</v>
      </c>
      <c r="BD397" s="202">
        <f t="shared" si="225"/>
        <v>1.4308250141256653</v>
      </c>
      <c r="BE397" s="202">
        <f t="shared" si="225"/>
        <v>1.3891504991511314</v>
      </c>
      <c r="BF397" s="202">
        <f t="shared" si="225"/>
        <v>1.3486898050010985</v>
      </c>
      <c r="BG397" s="203">
        <f t="shared" si="191"/>
        <v>36.239800129849542</v>
      </c>
    </row>
    <row r="398" spans="27:59">
      <c r="AA398" s="180">
        <f t="shared" si="196"/>
        <v>651000000</v>
      </c>
      <c r="AB398" s="41">
        <f t="shared" si="217"/>
        <v>775</v>
      </c>
      <c r="AC398" s="21">
        <v>31</v>
      </c>
      <c r="AD398" s="21" t="s">
        <v>283</v>
      </c>
      <c r="AE398" s="175">
        <f t="shared" si="218"/>
        <v>30</v>
      </c>
      <c r="AF398" s="183">
        <f t="shared" si="219"/>
        <v>27</v>
      </c>
      <c r="AG398" s="84">
        <f t="shared" si="226"/>
        <v>0.39750000000000002</v>
      </c>
      <c r="AH398" s="242">
        <f t="shared" si="220"/>
        <v>0.159</v>
      </c>
      <c r="AI398" s="76">
        <f t="shared" si="221"/>
        <v>1.5600000000000002E-3</v>
      </c>
      <c r="AJ398" s="181">
        <f t="shared" si="222"/>
        <v>5.5650000000000005E-2</v>
      </c>
      <c r="AK398" s="182">
        <f t="shared" si="223"/>
        <v>2.3077257367928001</v>
      </c>
      <c r="AM398" s="201">
        <f t="shared" si="189"/>
        <v>2.3649357367928001</v>
      </c>
      <c r="AN398" s="202">
        <f t="shared" si="215"/>
        <v>2.2960541133910679</v>
      </c>
      <c r="AO398" s="202">
        <f t="shared" si="215"/>
        <v>2.2291787508651146</v>
      </c>
      <c r="AP398" s="202">
        <f t="shared" ref="AP398:AY407" si="227">$AM398/POWER(1+($B$10/100),AP$366-2024)</f>
        <v>2.16425121443215</v>
      </c>
      <c r="AQ398" s="202">
        <f t="shared" si="227"/>
        <v>2.1012147712933498</v>
      </c>
      <c r="AR398" s="202">
        <f t="shared" si="227"/>
        <v>2.0400143410615046</v>
      </c>
      <c r="AS398" s="202">
        <f t="shared" si="227"/>
        <v>1.9805964476325288</v>
      </c>
      <c r="AT398" s="202">
        <f t="shared" si="227"/>
        <v>1.9229091724587657</v>
      </c>
      <c r="AU398" s="202">
        <f t="shared" si="227"/>
        <v>1.8669021091832678</v>
      </c>
      <c r="AV398" s="202">
        <f t="shared" si="227"/>
        <v>1.8125263195954056</v>
      </c>
      <c r="AW398" s="202">
        <f t="shared" si="227"/>
        <v>1.7597342908693259</v>
      </c>
      <c r="AX398" s="202">
        <f t="shared" si="227"/>
        <v>1.7084798940478891</v>
      </c>
      <c r="AY398" s="202">
        <f t="shared" si="227"/>
        <v>1.6587183437358151</v>
      </c>
      <c r="AZ398" s="202">
        <f t="shared" ref="AZ398:BF407" si="228">$AM398/POWER(1+($B$10/100),AZ$366-2024)</f>
        <v>1.6104061589668108</v>
      </c>
      <c r="BA398" s="202">
        <f t="shared" si="228"/>
        <v>1.5635011252104958</v>
      </c>
      <c r="BB398" s="202">
        <f t="shared" si="228"/>
        <v>1.517962257485918</v>
      </c>
      <c r="BC398" s="202">
        <f t="shared" si="228"/>
        <v>1.4737497645494353</v>
      </c>
      <c r="BD398" s="202">
        <f t="shared" si="228"/>
        <v>1.4308250141256653</v>
      </c>
      <c r="BE398" s="202">
        <f t="shared" si="228"/>
        <v>1.3891504991511314</v>
      </c>
      <c r="BF398" s="202">
        <f t="shared" si="228"/>
        <v>1.3486898050010985</v>
      </c>
      <c r="BG398" s="203">
        <f t="shared" si="191"/>
        <v>36.239800129849542</v>
      </c>
    </row>
    <row r="399" spans="27:59">
      <c r="AA399" s="180">
        <f t="shared" si="196"/>
        <v>672000000</v>
      </c>
      <c r="AB399" s="41">
        <f t="shared" si="217"/>
        <v>800</v>
      </c>
      <c r="AC399" s="21">
        <v>32</v>
      </c>
      <c r="AD399" s="21" t="s">
        <v>283</v>
      </c>
      <c r="AE399" s="175">
        <f t="shared" si="218"/>
        <v>30</v>
      </c>
      <c r="AF399" s="183">
        <f t="shared" si="219"/>
        <v>27</v>
      </c>
      <c r="AG399" s="84">
        <f t="shared" si="226"/>
        <v>0.39750000000000002</v>
      </c>
      <c r="AH399" s="242">
        <f t="shared" si="220"/>
        <v>0.159</v>
      </c>
      <c r="AI399" s="76">
        <f t="shared" si="221"/>
        <v>1.5600000000000002E-3</v>
      </c>
      <c r="AJ399" s="181">
        <f t="shared" si="222"/>
        <v>5.5650000000000005E-2</v>
      </c>
      <c r="AK399" s="182">
        <f t="shared" si="223"/>
        <v>2.3077257367928001</v>
      </c>
      <c r="AM399" s="201">
        <f t="shared" si="189"/>
        <v>2.3649357367928001</v>
      </c>
      <c r="AN399" s="202">
        <f t="shared" si="215"/>
        <v>2.2960541133910679</v>
      </c>
      <c r="AO399" s="202">
        <f t="shared" si="215"/>
        <v>2.2291787508651146</v>
      </c>
      <c r="AP399" s="202">
        <f t="shared" si="227"/>
        <v>2.16425121443215</v>
      </c>
      <c r="AQ399" s="202">
        <f t="shared" si="227"/>
        <v>2.1012147712933498</v>
      </c>
      <c r="AR399" s="202">
        <f t="shared" si="227"/>
        <v>2.0400143410615046</v>
      </c>
      <c r="AS399" s="202">
        <f t="shared" si="227"/>
        <v>1.9805964476325288</v>
      </c>
      <c r="AT399" s="202">
        <f t="shared" si="227"/>
        <v>1.9229091724587657</v>
      </c>
      <c r="AU399" s="202">
        <f t="shared" si="227"/>
        <v>1.8669021091832678</v>
      </c>
      <c r="AV399" s="202">
        <f t="shared" si="227"/>
        <v>1.8125263195954056</v>
      </c>
      <c r="AW399" s="202">
        <f t="shared" si="227"/>
        <v>1.7597342908693259</v>
      </c>
      <c r="AX399" s="202">
        <f t="shared" si="227"/>
        <v>1.7084798940478891</v>
      </c>
      <c r="AY399" s="202">
        <f t="shared" si="227"/>
        <v>1.6587183437358151</v>
      </c>
      <c r="AZ399" s="202">
        <f t="shared" si="228"/>
        <v>1.6104061589668108</v>
      </c>
      <c r="BA399" s="202">
        <f t="shared" si="228"/>
        <v>1.5635011252104958</v>
      </c>
      <c r="BB399" s="202">
        <f t="shared" si="228"/>
        <v>1.517962257485918</v>
      </c>
      <c r="BC399" s="202">
        <f t="shared" si="228"/>
        <v>1.4737497645494353</v>
      </c>
      <c r="BD399" s="202">
        <f t="shared" si="228"/>
        <v>1.4308250141256653</v>
      </c>
      <c r="BE399" s="202">
        <f t="shared" si="228"/>
        <v>1.3891504991511314</v>
      </c>
      <c r="BF399" s="202">
        <f t="shared" si="228"/>
        <v>1.3486898050010985</v>
      </c>
      <c r="BG399" s="203">
        <f t="shared" si="191"/>
        <v>36.239800129849542</v>
      </c>
    </row>
    <row r="400" spans="27:59">
      <c r="AA400" s="180">
        <f t="shared" si="196"/>
        <v>693000000</v>
      </c>
      <c r="AB400" s="41">
        <f t="shared" si="217"/>
        <v>825</v>
      </c>
      <c r="AC400" s="21">
        <v>33</v>
      </c>
      <c r="AD400" s="21" t="s">
        <v>283</v>
      </c>
      <c r="AE400" s="175">
        <f t="shared" si="218"/>
        <v>30</v>
      </c>
      <c r="AF400" s="183">
        <f t="shared" si="219"/>
        <v>27</v>
      </c>
      <c r="AG400" s="84">
        <f t="shared" si="226"/>
        <v>0.39750000000000002</v>
      </c>
      <c r="AH400" s="242">
        <f t="shared" si="220"/>
        <v>0.159</v>
      </c>
      <c r="AI400" s="76">
        <f t="shared" si="221"/>
        <v>1.5600000000000002E-3</v>
      </c>
      <c r="AJ400" s="181">
        <f t="shared" si="222"/>
        <v>5.5650000000000005E-2</v>
      </c>
      <c r="AK400" s="182">
        <f t="shared" si="223"/>
        <v>2.3077257367928001</v>
      </c>
      <c r="AM400" s="201">
        <f t="shared" si="189"/>
        <v>2.3649357367928001</v>
      </c>
      <c r="AN400" s="202">
        <f t="shared" si="215"/>
        <v>2.2960541133910679</v>
      </c>
      <c r="AO400" s="202">
        <f t="shared" si="215"/>
        <v>2.2291787508651146</v>
      </c>
      <c r="AP400" s="202">
        <f t="shared" si="227"/>
        <v>2.16425121443215</v>
      </c>
      <c r="AQ400" s="202">
        <f t="shared" si="227"/>
        <v>2.1012147712933498</v>
      </c>
      <c r="AR400" s="202">
        <f t="shared" si="227"/>
        <v>2.0400143410615046</v>
      </c>
      <c r="AS400" s="202">
        <f t="shared" si="227"/>
        <v>1.9805964476325288</v>
      </c>
      <c r="AT400" s="202">
        <f t="shared" si="227"/>
        <v>1.9229091724587657</v>
      </c>
      <c r="AU400" s="202">
        <f t="shared" si="227"/>
        <v>1.8669021091832678</v>
      </c>
      <c r="AV400" s="202">
        <f t="shared" si="227"/>
        <v>1.8125263195954056</v>
      </c>
      <c r="AW400" s="202">
        <f t="shared" si="227"/>
        <v>1.7597342908693259</v>
      </c>
      <c r="AX400" s="202">
        <f t="shared" si="227"/>
        <v>1.7084798940478891</v>
      </c>
      <c r="AY400" s="202">
        <f t="shared" si="227"/>
        <v>1.6587183437358151</v>
      </c>
      <c r="AZ400" s="202">
        <f t="shared" si="228"/>
        <v>1.6104061589668108</v>
      </c>
      <c r="BA400" s="202">
        <f t="shared" si="228"/>
        <v>1.5635011252104958</v>
      </c>
      <c r="BB400" s="202">
        <f t="shared" si="228"/>
        <v>1.517962257485918</v>
      </c>
      <c r="BC400" s="202">
        <f t="shared" si="228"/>
        <v>1.4737497645494353</v>
      </c>
      <c r="BD400" s="202">
        <f t="shared" si="228"/>
        <v>1.4308250141256653</v>
      </c>
      <c r="BE400" s="202">
        <f t="shared" si="228"/>
        <v>1.3891504991511314</v>
      </c>
      <c r="BF400" s="202">
        <f t="shared" si="228"/>
        <v>1.3486898050010985</v>
      </c>
      <c r="BG400" s="203">
        <f t="shared" si="191"/>
        <v>36.239800129849542</v>
      </c>
    </row>
    <row r="401" spans="27:59">
      <c r="AA401" s="180">
        <f t="shared" si="196"/>
        <v>714000000</v>
      </c>
      <c r="AB401" s="41">
        <f t="shared" si="217"/>
        <v>850</v>
      </c>
      <c r="AC401" s="21">
        <v>34</v>
      </c>
      <c r="AD401" s="21" t="s">
        <v>283</v>
      </c>
      <c r="AE401" s="175">
        <f t="shared" si="218"/>
        <v>30</v>
      </c>
      <c r="AF401" s="183">
        <f t="shared" si="219"/>
        <v>27</v>
      </c>
      <c r="AG401" s="84">
        <f t="shared" si="226"/>
        <v>0.39750000000000002</v>
      </c>
      <c r="AH401" s="242">
        <f t="shared" si="220"/>
        <v>0.159</v>
      </c>
      <c r="AI401" s="76">
        <f t="shared" si="221"/>
        <v>1.5600000000000002E-3</v>
      </c>
      <c r="AJ401" s="181">
        <f t="shared" si="222"/>
        <v>5.5650000000000005E-2</v>
      </c>
      <c r="AK401" s="182">
        <f t="shared" si="223"/>
        <v>2.3077257367928001</v>
      </c>
      <c r="AM401" s="201">
        <f t="shared" si="189"/>
        <v>2.3649357367928001</v>
      </c>
      <c r="AN401" s="202">
        <f t="shared" si="215"/>
        <v>2.2960541133910679</v>
      </c>
      <c r="AO401" s="202">
        <f t="shared" si="215"/>
        <v>2.2291787508651146</v>
      </c>
      <c r="AP401" s="202">
        <f t="shared" si="227"/>
        <v>2.16425121443215</v>
      </c>
      <c r="AQ401" s="202">
        <f t="shared" si="227"/>
        <v>2.1012147712933498</v>
      </c>
      <c r="AR401" s="202">
        <f t="shared" si="227"/>
        <v>2.0400143410615046</v>
      </c>
      <c r="AS401" s="202">
        <f t="shared" si="227"/>
        <v>1.9805964476325288</v>
      </c>
      <c r="AT401" s="202">
        <f t="shared" si="227"/>
        <v>1.9229091724587657</v>
      </c>
      <c r="AU401" s="202">
        <f t="shared" si="227"/>
        <v>1.8669021091832678</v>
      </c>
      <c r="AV401" s="202">
        <f t="shared" si="227"/>
        <v>1.8125263195954056</v>
      </c>
      <c r="AW401" s="202">
        <f t="shared" si="227"/>
        <v>1.7597342908693259</v>
      </c>
      <c r="AX401" s="202">
        <f t="shared" si="227"/>
        <v>1.7084798940478891</v>
      </c>
      <c r="AY401" s="202">
        <f t="shared" si="227"/>
        <v>1.6587183437358151</v>
      </c>
      <c r="AZ401" s="202">
        <f t="shared" si="228"/>
        <v>1.6104061589668108</v>
      </c>
      <c r="BA401" s="202">
        <f t="shared" si="228"/>
        <v>1.5635011252104958</v>
      </c>
      <c r="BB401" s="202">
        <f t="shared" si="228"/>
        <v>1.517962257485918</v>
      </c>
      <c r="BC401" s="202">
        <f t="shared" si="228"/>
        <v>1.4737497645494353</v>
      </c>
      <c r="BD401" s="202">
        <f t="shared" si="228"/>
        <v>1.4308250141256653</v>
      </c>
      <c r="BE401" s="202">
        <f t="shared" si="228"/>
        <v>1.3891504991511314</v>
      </c>
      <c r="BF401" s="202">
        <f t="shared" si="228"/>
        <v>1.3486898050010985</v>
      </c>
      <c r="BG401" s="203">
        <f t="shared" si="191"/>
        <v>36.239800129849542</v>
      </c>
    </row>
    <row r="402" spans="27:59">
      <c r="AA402" s="180">
        <f t="shared" si="196"/>
        <v>735000000</v>
      </c>
      <c r="AB402" s="41">
        <f t="shared" si="217"/>
        <v>875</v>
      </c>
      <c r="AC402" s="21">
        <v>35</v>
      </c>
      <c r="AD402" s="21" t="s">
        <v>283</v>
      </c>
      <c r="AE402" s="175">
        <f t="shared" si="218"/>
        <v>30</v>
      </c>
      <c r="AF402" s="183">
        <f t="shared" si="219"/>
        <v>27</v>
      </c>
      <c r="AG402" s="84">
        <f t="shared" si="226"/>
        <v>0.39750000000000002</v>
      </c>
      <c r="AH402" s="242">
        <f t="shared" si="220"/>
        <v>0.159</v>
      </c>
      <c r="AI402" s="76">
        <f t="shared" si="221"/>
        <v>1.5600000000000002E-3</v>
      </c>
      <c r="AJ402" s="181">
        <f t="shared" si="222"/>
        <v>5.5650000000000005E-2</v>
      </c>
      <c r="AK402" s="182">
        <f t="shared" si="223"/>
        <v>2.3077257367928001</v>
      </c>
      <c r="AM402" s="201">
        <f t="shared" si="189"/>
        <v>2.3649357367928001</v>
      </c>
      <c r="AN402" s="202">
        <f t="shared" si="215"/>
        <v>2.2960541133910679</v>
      </c>
      <c r="AO402" s="202">
        <f t="shared" si="215"/>
        <v>2.2291787508651146</v>
      </c>
      <c r="AP402" s="202">
        <f t="shared" si="227"/>
        <v>2.16425121443215</v>
      </c>
      <c r="AQ402" s="202">
        <f t="shared" si="227"/>
        <v>2.1012147712933498</v>
      </c>
      <c r="AR402" s="202">
        <f t="shared" si="227"/>
        <v>2.0400143410615046</v>
      </c>
      <c r="AS402" s="202">
        <f t="shared" si="227"/>
        <v>1.9805964476325288</v>
      </c>
      <c r="AT402" s="202">
        <f t="shared" si="227"/>
        <v>1.9229091724587657</v>
      </c>
      <c r="AU402" s="202">
        <f t="shared" si="227"/>
        <v>1.8669021091832678</v>
      </c>
      <c r="AV402" s="202">
        <f t="shared" si="227"/>
        <v>1.8125263195954056</v>
      </c>
      <c r="AW402" s="202">
        <f t="shared" si="227"/>
        <v>1.7597342908693259</v>
      </c>
      <c r="AX402" s="202">
        <f t="shared" si="227"/>
        <v>1.7084798940478891</v>
      </c>
      <c r="AY402" s="202">
        <f t="shared" si="227"/>
        <v>1.6587183437358151</v>
      </c>
      <c r="AZ402" s="202">
        <f t="shared" si="228"/>
        <v>1.6104061589668108</v>
      </c>
      <c r="BA402" s="202">
        <f t="shared" si="228"/>
        <v>1.5635011252104958</v>
      </c>
      <c r="BB402" s="202">
        <f t="shared" si="228"/>
        <v>1.517962257485918</v>
      </c>
      <c r="BC402" s="202">
        <f t="shared" si="228"/>
        <v>1.4737497645494353</v>
      </c>
      <c r="BD402" s="202">
        <f t="shared" si="228"/>
        <v>1.4308250141256653</v>
      </c>
      <c r="BE402" s="202">
        <f t="shared" si="228"/>
        <v>1.3891504991511314</v>
      </c>
      <c r="BF402" s="202">
        <f t="shared" si="228"/>
        <v>1.3486898050010985</v>
      </c>
      <c r="BG402" s="203">
        <f t="shared" si="191"/>
        <v>36.239800129849542</v>
      </c>
    </row>
    <row r="403" spans="27:59">
      <c r="AA403" s="180">
        <f t="shared" si="196"/>
        <v>756000000</v>
      </c>
      <c r="AB403" s="41">
        <f t="shared" si="217"/>
        <v>900</v>
      </c>
      <c r="AC403" s="21">
        <v>36</v>
      </c>
      <c r="AD403" s="21" t="s">
        <v>283</v>
      </c>
      <c r="AE403" s="175">
        <f t="shared" si="218"/>
        <v>30</v>
      </c>
      <c r="AF403" s="183">
        <f t="shared" si="219"/>
        <v>27</v>
      </c>
      <c r="AG403" s="84">
        <f t="shared" si="226"/>
        <v>0.39750000000000002</v>
      </c>
      <c r="AH403" s="242">
        <f t="shared" si="220"/>
        <v>0.159</v>
      </c>
      <c r="AI403" s="76">
        <f t="shared" si="221"/>
        <v>1.5600000000000002E-3</v>
      </c>
      <c r="AJ403" s="181">
        <f t="shared" si="222"/>
        <v>5.5650000000000005E-2</v>
      </c>
      <c r="AK403" s="182">
        <f t="shared" si="223"/>
        <v>2.3077257367928001</v>
      </c>
      <c r="AM403" s="201">
        <f t="shared" si="189"/>
        <v>2.3649357367928001</v>
      </c>
      <c r="AN403" s="202">
        <f t="shared" si="215"/>
        <v>2.2960541133910679</v>
      </c>
      <c r="AO403" s="202">
        <f t="shared" si="215"/>
        <v>2.2291787508651146</v>
      </c>
      <c r="AP403" s="202">
        <f t="shared" si="227"/>
        <v>2.16425121443215</v>
      </c>
      <c r="AQ403" s="202">
        <f t="shared" si="227"/>
        <v>2.1012147712933498</v>
      </c>
      <c r="AR403" s="202">
        <f t="shared" si="227"/>
        <v>2.0400143410615046</v>
      </c>
      <c r="AS403" s="202">
        <f t="shared" si="227"/>
        <v>1.9805964476325288</v>
      </c>
      <c r="AT403" s="202">
        <f t="shared" si="227"/>
        <v>1.9229091724587657</v>
      </c>
      <c r="AU403" s="202">
        <f t="shared" si="227"/>
        <v>1.8669021091832678</v>
      </c>
      <c r="AV403" s="202">
        <f t="shared" si="227"/>
        <v>1.8125263195954056</v>
      </c>
      <c r="AW403" s="202">
        <f t="shared" si="227"/>
        <v>1.7597342908693259</v>
      </c>
      <c r="AX403" s="202">
        <f t="shared" si="227"/>
        <v>1.7084798940478891</v>
      </c>
      <c r="AY403" s="202">
        <f t="shared" si="227"/>
        <v>1.6587183437358151</v>
      </c>
      <c r="AZ403" s="202">
        <f t="shared" si="228"/>
        <v>1.6104061589668108</v>
      </c>
      <c r="BA403" s="202">
        <f t="shared" si="228"/>
        <v>1.5635011252104958</v>
      </c>
      <c r="BB403" s="202">
        <f t="shared" si="228"/>
        <v>1.517962257485918</v>
      </c>
      <c r="BC403" s="202">
        <f t="shared" si="228"/>
        <v>1.4737497645494353</v>
      </c>
      <c r="BD403" s="202">
        <f t="shared" si="228"/>
        <v>1.4308250141256653</v>
      </c>
      <c r="BE403" s="202">
        <f t="shared" si="228"/>
        <v>1.3891504991511314</v>
      </c>
      <c r="BF403" s="202">
        <f t="shared" si="228"/>
        <v>1.3486898050010985</v>
      </c>
      <c r="BG403" s="203">
        <f t="shared" si="191"/>
        <v>36.239800129849542</v>
      </c>
    </row>
    <row r="404" spans="27:59">
      <c r="AA404" s="180">
        <f t="shared" si="196"/>
        <v>777000000</v>
      </c>
      <c r="AB404" s="41">
        <f t="shared" si="217"/>
        <v>925</v>
      </c>
      <c r="AC404" s="21">
        <v>37</v>
      </c>
      <c r="AD404" s="21" t="s">
        <v>283</v>
      </c>
      <c r="AE404" s="175">
        <f t="shared" si="218"/>
        <v>30</v>
      </c>
      <c r="AF404" s="183">
        <f t="shared" si="219"/>
        <v>27</v>
      </c>
      <c r="AG404" s="84">
        <f t="shared" si="226"/>
        <v>0.39750000000000002</v>
      </c>
      <c r="AH404" s="242">
        <f t="shared" si="220"/>
        <v>0.159</v>
      </c>
      <c r="AI404" s="76">
        <f t="shared" si="221"/>
        <v>1.5600000000000002E-3</v>
      </c>
      <c r="AJ404" s="181">
        <f t="shared" si="222"/>
        <v>5.5650000000000005E-2</v>
      </c>
      <c r="AK404" s="182">
        <f t="shared" si="223"/>
        <v>2.3077257367928001</v>
      </c>
      <c r="AM404" s="201">
        <f t="shared" si="189"/>
        <v>2.3649357367928001</v>
      </c>
      <c r="AN404" s="202">
        <f t="shared" si="215"/>
        <v>2.2960541133910679</v>
      </c>
      <c r="AO404" s="202">
        <f t="shared" si="215"/>
        <v>2.2291787508651146</v>
      </c>
      <c r="AP404" s="202">
        <f t="shared" si="227"/>
        <v>2.16425121443215</v>
      </c>
      <c r="AQ404" s="202">
        <f t="shared" si="227"/>
        <v>2.1012147712933498</v>
      </c>
      <c r="AR404" s="202">
        <f t="shared" si="227"/>
        <v>2.0400143410615046</v>
      </c>
      <c r="AS404" s="202">
        <f t="shared" si="227"/>
        <v>1.9805964476325288</v>
      </c>
      <c r="AT404" s="202">
        <f t="shared" si="227"/>
        <v>1.9229091724587657</v>
      </c>
      <c r="AU404" s="202">
        <f t="shared" si="227"/>
        <v>1.8669021091832678</v>
      </c>
      <c r="AV404" s="202">
        <f t="shared" si="227"/>
        <v>1.8125263195954056</v>
      </c>
      <c r="AW404" s="202">
        <f t="shared" si="227"/>
        <v>1.7597342908693259</v>
      </c>
      <c r="AX404" s="202">
        <f t="shared" si="227"/>
        <v>1.7084798940478891</v>
      </c>
      <c r="AY404" s="202">
        <f t="shared" si="227"/>
        <v>1.6587183437358151</v>
      </c>
      <c r="AZ404" s="202">
        <f t="shared" si="228"/>
        <v>1.6104061589668108</v>
      </c>
      <c r="BA404" s="202">
        <f t="shared" si="228"/>
        <v>1.5635011252104958</v>
      </c>
      <c r="BB404" s="202">
        <f t="shared" si="228"/>
        <v>1.517962257485918</v>
      </c>
      <c r="BC404" s="202">
        <f t="shared" si="228"/>
        <v>1.4737497645494353</v>
      </c>
      <c r="BD404" s="202">
        <f t="shared" si="228"/>
        <v>1.4308250141256653</v>
      </c>
      <c r="BE404" s="202">
        <f t="shared" si="228"/>
        <v>1.3891504991511314</v>
      </c>
      <c r="BF404" s="202">
        <f t="shared" si="228"/>
        <v>1.3486898050010985</v>
      </c>
      <c r="BG404" s="203">
        <f t="shared" si="191"/>
        <v>36.239800129849542</v>
      </c>
    </row>
    <row r="405" spans="27:59">
      <c r="AA405" s="180">
        <f t="shared" si="196"/>
        <v>798000000</v>
      </c>
      <c r="AB405" s="41">
        <f t="shared" si="217"/>
        <v>950</v>
      </c>
      <c r="AC405" s="21">
        <v>38</v>
      </c>
      <c r="AD405" s="21" t="s">
        <v>283</v>
      </c>
      <c r="AE405" s="175">
        <f t="shared" si="218"/>
        <v>30</v>
      </c>
      <c r="AF405" s="183">
        <f t="shared" si="219"/>
        <v>27</v>
      </c>
      <c r="AG405" s="84">
        <f t="shared" si="226"/>
        <v>0.39750000000000002</v>
      </c>
      <c r="AH405" s="242">
        <f t="shared" si="220"/>
        <v>0.159</v>
      </c>
      <c r="AI405" s="76">
        <f t="shared" si="221"/>
        <v>1.5600000000000002E-3</v>
      </c>
      <c r="AJ405" s="181">
        <f t="shared" si="222"/>
        <v>5.5650000000000005E-2</v>
      </c>
      <c r="AK405" s="182">
        <f t="shared" si="223"/>
        <v>2.3077257367928001</v>
      </c>
      <c r="AM405" s="201">
        <f t="shared" si="189"/>
        <v>2.3649357367928001</v>
      </c>
      <c r="AN405" s="202">
        <f t="shared" si="215"/>
        <v>2.2960541133910679</v>
      </c>
      <c r="AO405" s="202">
        <f t="shared" si="215"/>
        <v>2.2291787508651146</v>
      </c>
      <c r="AP405" s="202">
        <f t="shared" si="227"/>
        <v>2.16425121443215</v>
      </c>
      <c r="AQ405" s="202">
        <f t="shared" si="227"/>
        <v>2.1012147712933498</v>
      </c>
      <c r="AR405" s="202">
        <f t="shared" si="227"/>
        <v>2.0400143410615046</v>
      </c>
      <c r="AS405" s="202">
        <f t="shared" si="227"/>
        <v>1.9805964476325288</v>
      </c>
      <c r="AT405" s="202">
        <f t="shared" si="227"/>
        <v>1.9229091724587657</v>
      </c>
      <c r="AU405" s="202">
        <f t="shared" si="227"/>
        <v>1.8669021091832678</v>
      </c>
      <c r="AV405" s="202">
        <f t="shared" si="227"/>
        <v>1.8125263195954056</v>
      </c>
      <c r="AW405" s="202">
        <f t="shared" si="227"/>
        <v>1.7597342908693259</v>
      </c>
      <c r="AX405" s="202">
        <f t="shared" si="227"/>
        <v>1.7084798940478891</v>
      </c>
      <c r="AY405" s="202">
        <f t="shared" si="227"/>
        <v>1.6587183437358151</v>
      </c>
      <c r="AZ405" s="202">
        <f t="shared" si="228"/>
        <v>1.6104061589668108</v>
      </c>
      <c r="BA405" s="202">
        <f t="shared" si="228"/>
        <v>1.5635011252104958</v>
      </c>
      <c r="BB405" s="202">
        <f t="shared" si="228"/>
        <v>1.517962257485918</v>
      </c>
      <c r="BC405" s="202">
        <f t="shared" si="228"/>
        <v>1.4737497645494353</v>
      </c>
      <c r="BD405" s="202">
        <f t="shared" si="228"/>
        <v>1.4308250141256653</v>
      </c>
      <c r="BE405" s="202">
        <f t="shared" si="228"/>
        <v>1.3891504991511314</v>
      </c>
      <c r="BF405" s="202">
        <f t="shared" si="228"/>
        <v>1.3486898050010985</v>
      </c>
      <c r="BG405" s="203">
        <f t="shared" si="191"/>
        <v>36.239800129849542</v>
      </c>
    </row>
    <row r="406" spans="27:59">
      <c r="AA406" s="180">
        <f t="shared" si="196"/>
        <v>819000000</v>
      </c>
      <c r="AB406" s="41">
        <f t="shared" si="217"/>
        <v>975</v>
      </c>
      <c r="AC406" s="21">
        <v>39</v>
      </c>
      <c r="AD406" s="21" t="s">
        <v>283</v>
      </c>
      <c r="AE406" s="175">
        <f t="shared" si="218"/>
        <v>30</v>
      </c>
      <c r="AF406" s="183">
        <f t="shared" si="219"/>
        <v>27</v>
      </c>
      <c r="AG406" s="84">
        <f t="shared" si="226"/>
        <v>0.39750000000000002</v>
      </c>
      <c r="AH406" s="242">
        <f t="shared" si="220"/>
        <v>0.159</v>
      </c>
      <c r="AI406" s="76">
        <f t="shared" si="221"/>
        <v>1.5600000000000002E-3</v>
      </c>
      <c r="AJ406" s="181">
        <f t="shared" si="222"/>
        <v>5.5650000000000005E-2</v>
      </c>
      <c r="AK406" s="182">
        <f t="shared" si="223"/>
        <v>2.3077257367928001</v>
      </c>
      <c r="AM406" s="201">
        <f t="shared" si="189"/>
        <v>2.3649357367928001</v>
      </c>
      <c r="AN406" s="202">
        <f t="shared" si="215"/>
        <v>2.2960541133910679</v>
      </c>
      <c r="AO406" s="202">
        <f t="shared" si="215"/>
        <v>2.2291787508651146</v>
      </c>
      <c r="AP406" s="202">
        <f t="shared" si="227"/>
        <v>2.16425121443215</v>
      </c>
      <c r="AQ406" s="202">
        <f t="shared" si="227"/>
        <v>2.1012147712933498</v>
      </c>
      <c r="AR406" s="202">
        <f t="shared" si="227"/>
        <v>2.0400143410615046</v>
      </c>
      <c r="AS406" s="202">
        <f t="shared" si="227"/>
        <v>1.9805964476325288</v>
      </c>
      <c r="AT406" s="202">
        <f t="shared" si="227"/>
        <v>1.9229091724587657</v>
      </c>
      <c r="AU406" s="202">
        <f t="shared" si="227"/>
        <v>1.8669021091832678</v>
      </c>
      <c r="AV406" s="202">
        <f t="shared" si="227"/>
        <v>1.8125263195954056</v>
      </c>
      <c r="AW406" s="202">
        <f t="shared" si="227"/>
        <v>1.7597342908693259</v>
      </c>
      <c r="AX406" s="202">
        <f t="shared" si="227"/>
        <v>1.7084798940478891</v>
      </c>
      <c r="AY406" s="202">
        <f t="shared" si="227"/>
        <v>1.6587183437358151</v>
      </c>
      <c r="AZ406" s="202">
        <f t="shared" si="228"/>
        <v>1.6104061589668108</v>
      </c>
      <c r="BA406" s="202">
        <f t="shared" si="228"/>
        <v>1.5635011252104958</v>
      </c>
      <c r="BB406" s="202">
        <f t="shared" si="228"/>
        <v>1.517962257485918</v>
      </c>
      <c r="BC406" s="202">
        <f t="shared" si="228"/>
        <v>1.4737497645494353</v>
      </c>
      <c r="BD406" s="202">
        <f t="shared" si="228"/>
        <v>1.4308250141256653</v>
      </c>
      <c r="BE406" s="202">
        <f t="shared" si="228"/>
        <v>1.3891504991511314</v>
      </c>
      <c r="BF406" s="202">
        <f t="shared" si="228"/>
        <v>1.3486898050010985</v>
      </c>
      <c r="BG406" s="203">
        <f t="shared" si="191"/>
        <v>36.239800129849542</v>
      </c>
    </row>
    <row r="407" spans="27:59">
      <c r="AA407" s="180">
        <f t="shared" si="196"/>
        <v>840000000</v>
      </c>
      <c r="AB407" s="41">
        <f t="shared" si="217"/>
        <v>1000</v>
      </c>
      <c r="AC407" s="21">
        <v>40</v>
      </c>
      <c r="AD407" s="21" t="s">
        <v>283</v>
      </c>
      <c r="AE407" s="175">
        <f t="shared" si="218"/>
        <v>30</v>
      </c>
      <c r="AF407" s="183">
        <f t="shared" si="219"/>
        <v>27</v>
      </c>
      <c r="AG407" s="84">
        <f t="shared" si="226"/>
        <v>0.39750000000000002</v>
      </c>
      <c r="AH407" s="242">
        <f t="shared" si="220"/>
        <v>0.159</v>
      </c>
      <c r="AI407" s="76">
        <f t="shared" si="221"/>
        <v>1.5600000000000002E-3</v>
      </c>
      <c r="AJ407" s="181">
        <f t="shared" si="222"/>
        <v>5.5650000000000005E-2</v>
      </c>
      <c r="AK407" s="182">
        <f t="shared" si="223"/>
        <v>2.3077257367928001</v>
      </c>
      <c r="AM407" s="201">
        <f t="shared" si="189"/>
        <v>2.3649357367928001</v>
      </c>
      <c r="AN407" s="202">
        <f t="shared" ref="AN407:AO426" si="229">$AM407/POWER(1+($B$10/100),AN$366-2024)</f>
        <v>2.2960541133910679</v>
      </c>
      <c r="AO407" s="202">
        <f t="shared" si="229"/>
        <v>2.2291787508651146</v>
      </c>
      <c r="AP407" s="202">
        <f t="shared" si="227"/>
        <v>2.16425121443215</v>
      </c>
      <c r="AQ407" s="202">
        <f t="shared" si="227"/>
        <v>2.1012147712933498</v>
      </c>
      <c r="AR407" s="202">
        <f t="shared" si="227"/>
        <v>2.0400143410615046</v>
      </c>
      <c r="AS407" s="202">
        <f t="shared" si="227"/>
        <v>1.9805964476325288</v>
      </c>
      <c r="AT407" s="202">
        <f t="shared" si="227"/>
        <v>1.9229091724587657</v>
      </c>
      <c r="AU407" s="202">
        <f t="shared" si="227"/>
        <v>1.8669021091832678</v>
      </c>
      <c r="AV407" s="202">
        <f t="shared" si="227"/>
        <v>1.8125263195954056</v>
      </c>
      <c r="AW407" s="202">
        <f t="shared" si="227"/>
        <v>1.7597342908693259</v>
      </c>
      <c r="AX407" s="202">
        <f t="shared" si="227"/>
        <v>1.7084798940478891</v>
      </c>
      <c r="AY407" s="202">
        <f t="shared" si="227"/>
        <v>1.6587183437358151</v>
      </c>
      <c r="AZ407" s="202">
        <f t="shared" si="228"/>
        <v>1.6104061589668108</v>
      </c>
      <c r="BA407" s="202">
        <f t="shared" si="228"/>
        <v>1.5635011252104958</v>
      </c>
      <c r="BB407" s="202">
        <f t="shared" si="228"/>
        <v>1.517962257485918</v>
      </c>
      <c r="BC407" s="202">
        <f t="shared" si="228"/>
        <v>1.4737497645494353</v>
      </c>
      <c r="BD407" s="202">
        <f t="shared" si="228"/>
        <v>1.4308250141256653</v>
      </c>
      <c r="BE407" s="202">
        <f t="shared" si="228"/>
        <v>1.3891504991511314</v>
      </c>
      <c r="BF407" s="202">
        <f t="shared" si="228"/>
        <v>1.3486898050010985</v>
      </c>
      <c r="BG407" s="203">
        <f t="shared" si="191"/>
        <v>36.239800129849542</v>
      </c>
    </row>
    <row r="408" spans="27:59">
      <c r="AA408" s="180">
        <f t="shared" si="196"/>
        <v>861000000</v>
      </c>
      <c r="AB408" s="41">
        <f t="shared" si="217"/>
        <v>1025</v>
      </c>
      <c r="AC408" s="21">
        <v>41</v>
      </c>
      <c r="AD408" s="21" t="s">
        <v>283</v>
      </c>
      <c r="AE408" s="175">
        <f t="shared" si="218"/>
        <v>30</v>
      </c>
      <c r="AF408" s="183">
        <f t="shared" si="219"/>
        <v>27</v>
      </c>
      <c r="AG408" s="84">
        <f t="shared" si="226"/>
        <v>0.39750000000000002</v>
      </c>
      <c r="AH408" s="242">
        <f t="shared" si="220"/>
        <v>0.159</v>
      </c>
      <c r="AI408" s="76">
        <f t="shared" si="221"/>
        <v>1.5600000000000002E-3</v>
      </c>
      <c r="AJ408" s="181">
        <f t="shared" si="222"/>
        <v>5.5650000000000005E-2</v>
      </c>
      <c r="AK408" s="182">
        <f t="shared" si="223"/>
        <v>2.3077257367928001</v>
      </c>
      <c r="AM408" s="201">
        <f t="shared" si="189"/>
        <v>2.3649357367928001</v>
      </c>
      <c r="AN408" s="202">
        <f t="shared" si="229"/>
        <v>2.2960541133910679</v>
      </c>
      <c r="AO408" s="202">
        <f t="shared" si="229"/>
        <v>2.2291787508651146</v>
      </c>
      <c r="AP408" s="202">
        <f t="shared" ref="AP408:AY417" si="230">$AM408/POWER(1+($B$10/100),AP$366-2024)</f>
        <v>2.16425121443215</v>
      </c>
      <c r="AQ408" s="202">
        <f t="shared" si="230"/>
        <v>2.1012147712933498</v>
      </c>
      <c r="AR408" s="202">
        <f t="shared" si="230"/>
        <v>2.0400143410615046</v>
      </c>
      <c r="AS408" s="202">
        <f t="shared" si="230"/>
        <v>1.9805964476325288</v>
      </c>
      <c r="AT408" s="202">
        <f t="shared" si="230"/>
        <v>1.9229091724587657</v>
      </c>
      <c r="AU408" s="202">
        <f t="shared" si="230"/>
        <v>1.8669021091832678</v>
      </c>
      <c r="AV408" s="202">
        <f t="shared" si="230"/>
        <v>1.8125263195954056</v>
      </c>
      <c r="AW408" s="202">
        <f t="shared" si="230"/>
        <v>1.7597342908693259</v>
      </c>
      <c r="AX408" s="202">
        <f t="shared" si="230"/>
        <v>1.7084798940478891</v>
      </c>
      <c r="AY408" s="202">
        <f t="shared" si="230"/>
        <v>1.6587183437358151</v>
      </c>
      <c r="AZ408" s="202">
        <f t="shared" ref="AZ408:BF417" si="231">$AM408/POWER(1+($B$10/100),AZ$366-2024)</f>
        <v>1.6104061589668108</v>
      </c>
      <c r="BA408" s="202">
        <f t="shared" si="231"/>
        <v>1.5635011252104958</v>
      </c>
      <c r="BB408" s="202">
        <f t="shared" si="231"/>
        <v>1.517962257485918</v>
      </c>
      <c r="BC408" s="202">
        <f t="shared" si="231"/>
        <v>1.4737497645494353</v>
      </c>
      <c r="BD408" s="202">
        <f t="shared" si="231"/>
        <v>1.4308250141256653</v>
      </c>
      <c r="BE408" s="202">
        <f t="shared" si="231"/>
        <v>1.3891504991511314</v>
      </c>
      <c r="BF408" s="202">
        <f t="shared" si="231"/>
        <v>1.3486898050010985</v>
      </c>
      <c r="BG408" s="203">
        <f t="shared" si="191"/>
        <v>36.239800129849542</v>
      </c>
    </row>
    <row r="409" spans="27:59">
      <c r="AA409" s="180">
        <f t="shared" si="196"/>
        <v>882000000</v>
      </c>
      <c r="AB409" s="41">
        <f t="shared" si="217"/>
        <v>1050</v>
      </c>
      <c r="AC409" s="21">
        <v>42</v>
      </c>
      <c r="AD409" s="21" t="s">
        <v>283</v>
      </c>
      <c r="AE409" s="175">
        <f t="shared" si="218"/>
        <v>30</v>
      </c>
      <c r="AF409" s="183">
        <f t="shared" si="219"/>
        <v>27</v>
      </c>
      <c r="AG409" s="84">
        <f t="shared" si="226"/>
        <v>0.39750000000000002</v>
      </c>
      <c r="AH409" s="242">
        <f t="shared" si="220"/>
        <v>0.159</v>
      </c>
      <c r="AI409" s="76">
        <f t="shared" si="221"/>
        <v>1.5600000000000002E-3</v>
      </c>
      <c r="AJ409" s="181">
        <f t="shared" si="222"/>
        <v>5.5650000000000005E-2</v>
      </c>
      <c r="AK409" s="182">
        <f t="shared" si="223"/>
        <v>2.3077257367928001</v>
      </c>
      <c r="AM409" s="201">
        <f t="shared" si="189"/>
        <v>2.3649357367928001</v>
      </c>
      <c r="AN409" s="202">
        <f t="shared" si="229"/>
        <v>2.2960541133910679</v>
      </c>
      <c r="AO409" s="202">
        <f t="shared" si="229"/>
        <v>2.2291787508651146</v>
      </c>
      <c r="AP409" s="202">
        <f t="shared" si="230"/>
        <v>2.16425121443215</v>
      </c>
      <c r="AQ409" s="202">
        <f t="shared" si="230"/>
        <v>2.1012147712933498</v>
      </c>
      <c r="AR409" s="202">
        <f t="shared" si="230"/>
        <v>2.0400143410615046</v>
      </c>
      <c r="AS409" s="202">
        <f t="shared" si="230"/>
        <v>1.9805964476325288</v>
      </c>
      <c r="AT409" s="202">
        <f t="shared" si="230"/>
        <v>1.9229091724587657</v>
      </c>
      <c r="AU409" s="202">
        <f t="shared" si="230"/>
        <v>1.8669021091832678</v>
      </c>
      <c r="AV409" s="202">
        <f t="shared" si="230"/>
        <v>1.8125263195954056</v>
      </c>
      <c r="AW409" s="202">
        <f t="shared" si="230"/>
        <v>1.7597342908693259</v>
      </c>
      <c r="AX409" s="202">
        <f t="shared" si="230"/>
        <v>1.7084798940478891</v>
      </c>
      <c r="AY409" s="202">
        <f t="shared" si="230"/>
        <v>1.6587183437358151</v>
      </c>
      <c r="AZ409" s="202">
        <f t="shared" si="231"/>
        <v>1.6104061589668108</v>
      </c>
      <c r="BA409" s="202">
        <f t="shared" si="231"/>
        <v>1.5635011252104958</v>
      </c>
      <c r="BB409" s="202">
        <f t="shared" si="231"/>
        <v>1.517962257485918</v>
      </c>
      <c r="BC409" s="202">
        <f t="shared" si="231"/>
        <v>1.4737497645494353</v>
      </c>
      <c r="BD409" s="202">
        <f t="shared" si="231"/>
        <v>1.4308250141256653</v>
      </c>
      <c r="BE409" s="202">
        <f t="shared" si="231"/>
        <v>1.3891504991511314</v>
      </c>
      <c r="BF409" s="202">
        <f t="shared" si="231"/>
        <v>1.3486898050010985</v>
      </c>
      <c r="BG409" s="203">
        <f t="shared" si="191"/>
        <v>36.239800129849542</v>
      </c>
    </row>
    <row r="410" spans="27:59">
      <c r="AA410" s="180">
        <f t="shared" si="196"/>
        <v>903000000</v>
      </c>
      <c r="AB410" s="41">
        <f t="shared" si="217"/>
        <v>1075</v>
      </c>
      <c r="AC410" s="21">
        <v>43</v>
      </c>
      <c r="AD410" s="21" t="s">
        <v>283</v>
      </c>
      <c r="AE410" s="175">
        <f t="shared" si="218"/>
        <v>30</v>
      </c>
      <c r="AF410" s="183">
        <f t="shared" si="219"/>
        <v>27</v>
      </c>
      <c r="AG410" s="84">
        <f t="shared" si="226"/>
        <v>0.39750000000000002</v>
      </c>
      <c r="AH410" s="242">
        <f t="shared" si="220"/>
        <v>0.159</v>
      </c>
      <c r="AI410" s="76">
        <f t="shared" si="221"/>
        <v>1.5600000000000002E-3</v>
      </c>
      <c r="AJ410" s="181">
        <f t="shared" si="222"/>
        <v>5.5650000000000005E-2</v>
      </c>
      <c r="AK410" s="182">
        <f t="shared" si="223"/>
        <v>2.3077257367928001</v>
      </c>
      <c r="AM410" s="201">
        <f t="shared" si="189"/>
        <v>2.3649357367928001</v>
      </c>
      <c r="AN410" s="202">
        <f t="shared" si="229"/>
        <v>2.2960541133910679</v>
      </c>
      <c r="AO410" s="202">
        <f t="shared" si="229"/>
        <v>2.2291787508651146</v>
      </c>
      <c r="AP410" s="202">
        <f t="shared" si="230"/>
        <v>2.16425121443215</v>
      </c>
      <c r="AQ410" s="202">
        <f t="shared" si="230"/>
        <v>2.1012147712933498</v>
      </c>
      <c r="AR410" s="202">
        <f t="shared" si="230"/>
        <v>2.0400143410615046</v>
      </c>
      <c r="AS410" s="202">
        <f t="shared" si="230"/>
        <v>1.9805964476325288</v>
      </c>
      <c r="AT410" s="202">
        <f t="shared" si="230"/>
        <v>1.9229091724587657</v>
      </c>
      <c r="AU410" s="202">
        <f t="shared" si="230"/>
        <v>1.8669021091832678</v>
      </c>
      <c r="AV410" s="202">
        <f t="shared" si="230"/>
        <v>1.8125263195954056</v>
      </c>
      <c r="AW410" s="202">
        <f t="shared" si="230"/>
        <v>1.7597342908693259</v>
      </c>
      <c r="AX410" s="202">
        <f t="shared" si="230"/>
        <v>1.7084798940478891</v>
      </c>
      <c r="AY410" s="202">
        <f t="shared" si="230"/>
        <v>1.6587183437358151</v>
      </c>
      <c r="AZ410" s="202">
        <f t="shared" si="231"/>
        <v>1.6104061589668108</v>
      </c>
      <c r="BA410" s="202">
        <f t="shared" si="231"/>
        <v>1.5635011252104958</v>
      </c>
      <c r="BB410" s="202">
        <f t="shared" si="231"/>
        <v>1.517962257485918</v>
      </c>
      <c r="BC410" s="202">
        <f t="shared" si="231"/>
        <v>1.4737497645494353</v>
      </c>
      <c r="BD410" s="202">
        <f t="shared" si="231"/>
        <v>1.4308250141256653</v>
      </c>
      <c r="BE410" s="202">
        <f t="shared" si="231"/>
        <v>1.3891504991511314</v>
      </c>
      <c r="BF410" s="202">
        <f t="shared" si="231"/>
        <v>1.3486898050010985</v>
      </c>
      <c r="BG410" s="203">
        <f t="shared" si="191"/>
        <v>36.239800129849542</v>
      </c>
    </row>
    <row r="411" spans="27:59">
      <c r="AA411" s="180">
        <f t="shared" si="196"/>
        <v>924000000</v>
      </c>
      <c r="AB411" s="41">
        <f t="shared" si="217"/>
        <v>1100</v>
      </c>
      <c r="AC411" s="21">
        <v>44</v>
      </c>
      <c r="AD411" s="21" t="s">
        <v>283</v>
      </c>
      <c r="AE411" s="175">
        <f t="shared" si="218"/>
        <v>30</v>
      </c>
      <c r="AF411" s="183">
        <f t="shared" si="219"/>
        <v>27</v>
      </c>
      <c r="AG411" s="84">
        <f t="shared" si="226"/>
        <v>0.39750000000000002</v>
      </c>
      <c r="AH411" s="242">
        <f t="shared" si="220"/>
        <v>0.159</v>
      </c>
      <c r="AI411" s="76">
        <f t="shared" si="221"/>
        <v>1.5600000000000002E-3</v>
      </c>
      <c r="AJ411" s="181">
        <f t="shared" si="222"/>
        <v>5.5650000000000005E-2</v>
      </c>
      <c r="AK411" s="182">
        <f t="shared" si="223"/>
        <v>2.3077257367928001</v>
      </c>
      <c r="AM411" s="201">
        <f t="shared" si="189"/>
        <v>2.3649357367928001</v>
      </c>
      <c r="AN411" s="202">
        <f t="shared" si="229"/>
        <v>2.2960541133910679</v>
      </c>
      <c r="AO411" s="202">
        <f t="shared" si="229"/>
        <v>2.2291787508651146</v>
      </c>
      <c r="AP411" s="202">
        <f t="shared" si="230"/>
        <v>2.16425121443215</v>
      </c>
      <c r="AQ411" s="202">
        <f t="shared" si="230"/>
        <v>2.1012147712933498</v>
      </c>
      <c r="AR411" s="202">
        <f t="shared" si="230"/>
        <v>2.0400143410615046</v>
      </c>
      <c r="AS411" s="202">
        <f t="shared" si="230"/>
        <v>1.9805964476325288</v>
      </c>
      <c r="AT411" s="202">
        <f t="shared" si="230"/>
        <v>1.9229091724587657</v>
      </c>
      <c r="AU411" s="202">
        <f t="shared" si="230"/>
        <v>1.8669021091832678</v>
      </c>
      <c r="AV411" s="202">
        <f t="shared" si="230"/>
        <v>1.8125263195954056</v>
      </c>
      <c r="AW411" s="202">
        <f t="shared" si="230"/>
        <v>1.7597342908693259</v>
      </c>
      <c r="AX411" s="202">
        <f t="shared" si="230"/>
        <v>1.7084798940478891</v>
      </c>
      <c r="AY411" s="202">
        <f t="shared" si="230"/>
        <v>1.6587183437358151</v>
      </c>
      <c r="AZ411" s="202">
        <f t="shared" si="231"/>
        <v>1.6104061589668108</v>
      </c>
      <c r="BA411" s="202">
        <f t="shared" si="231"/>
        <v>1.5635011252104958</v>
      </c>
      <c r="BB411" s="202">
        <f t="shared" si="231"/>
        <v>1.517962257485918</v>
      </c>
      <c r="BC411" s="202">
        <f t="shared" si="231"/>
        <v>1.4737497645494353</v>
      </c>
      <c r="BD411" s="202">
        <f t="shared" si="231"/>
        <v>1.4308250141256653</v>
      </c>
      <c r="BE411" s="202">
        <f t="shared" si="231"/>
        <v>1.3891504991511314</v>
      </c>
      <c r="BF411" s="202">
        <f t="shared" si="231"/>
        <v>1.3486898050010985</v>
      </c>
      <c r="BG411" s="203">
        <f t="shared" si="191"/>
        <v>36.239800129849542</v>
      </c>
    </row>
    <row r="412" spans="27:59">
      <c r="AA412" s="180">
        <f t="shared" si="196"/>
        <v>945000000</v>
      </c>
      <c r="AB412" s="41">
        <f t="shared" si="217"/>
        <v>1125</v>
      </c>
      <c r="AC412" s="21">
        <v>45</v>
      </c>
      <c r="AD412" s="21" t="s">
        <v>283</v>
      </c>
      <c r="AE412" s="175">
        <f t="shared" si="218"/>
        <v>30</v>
      </c>
      <c r="AF412" s="183">
        <f t="shared" si="219"/>
        <v>27</v>
      </c>
      <c r="AG412" s="84">
        <f t="shared" si="226"/>
        <v>0.39750000000000002</v>
      </c>
      <c r="AH412" s="242">
        <f t="shared" si="220"/>
        <v>0.159</v>
      </c>
      <c r="AI412" s="76">
        <f t="shared" si="221"/>
        <v>1.5600000000000002E-3</v>
      </c>
      <c r="AJ412" s="181">
        <f t="shared" si="222"/>
        <v>5.5650000000000005E-2</v>
      </c>
      <c r="AK412" s="182">
        <f t="shared" si="223"/>
        <v>2.3077257367928001</v>
      </c>
      <c r="AM412" s="201">
        <f t="shared" si="189"/>
        <v>2.3649357367928001</v>
      </c>
      <c r="AN412" s="202">
        <f t="shared" si="229"/>
        <v>2.2960541133910679</v>
      </c>
      <c r="AO412" s="202">
        <f t="shared" si="229"/>
        <v>2.2291787508651146</v>
      </c>
      <c r="AP412" s="202">
        <f t="shared" si="230"/>
        <v>2.16425121443215</v>
      </c>
      <c r="AQ412" s="202">
        <f t="shared" si="230"/>
        <v>2.1012147712933498</v>
      </c>
      <c r="AR412" s="202">
        <f t="shared" si="230"/>
        <v>2.0400143410615046</v>
      </c>
      <c r="AS412" s="202">
        <f t="shared" si="230"/>
        <v>1.9805964476325288</v>
      </c>
      <c r="AT412" s="202">
        <f t="shared" si="230"/>
        <v>1.9229091724587657</v>
      </c>
      <c r="AU412" s="202">
        <f t="shared" si="230"/>
        <v>1.8669021091832678</v>
      </c>
      <c r="AV412" s="202">
        <f t="shared" si="230"/>
        <v>1.8125263195954056</v>
      </c>
      <c r="AW412" s="202">
        <f t="shared" si="230"/>
        <v>1.7597342908693259</v>
      </c>
      <c r="AX412" s="202">
        <f t="shared" si="230"/>
        <v>1.7084798940478891</v>
      </c>
      <c r="AY412" s="202">
        <f t="shared" si="230"/>
        <v>1.6587183437358151</v>
      </c>
      <c r="AZ412" s="202">
        <f t="shared" si="231"/>
        <v>1.6104061589668108</v>
      </c>
      <c r="BA412" s="202">
        <f t="shared" si="231"/>
        <v>1.5635011252104958</v>
      </c>
      <c r="BB412" s="202">
        <f t="shared" si="231"/>
        <v>1.517962257485918</v>
      </c>
      <c r="BC412" s="202">
        <f t="shared" si="231"/>
        <v>1.4737497645494353</v>
      </c>
      <c r="BD412" s="202">
        <f t="shared" si="231"/>
        <v>1.4308250141256653</v>
      </c>
      <c r="BE412" s="202">
        <f t="shared" si="231"/>
        <v>1.3891504991511314</v>
      </c>
      <c r="BF412" s="202">
        <f t="shared" si="231"/>
        <v>1.3486898050010985</v>
      </c>
      <c r="BG412" s="203">
        <f t="shared" si="191"/>
        <v>36.239800129849542</v>
      </c>
    </row>
    <row r="413" spans="27:59">
      <c r="AA413" s="180">
        <f t="shared" si="196"/>
        <v>966000000</v>
      </c>
      <c r="AB413" s="41">
        <f t="shared" si="217"/>
        <v>1150</v>
      </c>
      <c r="AC413" s="21">
        <v>46</v>
      </c>
      <c r="AD413" s="21" t="s">
        <v>283</v>
      </c>
      <c r="AE413" s="175">
        <f t="shared" si="218"/>
        <v>30</v>
      </c>
      <c r="AF413" s="183">
        <f t="shared" si="219"/>
        <v>27</v>
      </c>
      <c r="AG413" s="84">
        <f t="shared" si="226"/>
        <v>0.39750000000000002</v>
      </c>
      <c r="AH413" s="242">
        <f t="shared" si="220"/>
        <v>0.159</v>
      </c>
      <c r="AI413" s="76">
        <f t="shared" si="221"/>
        <v>1.5600000000000002E-3</v>
      </c>
      <c r="AJ413" s="181">
        <f t="shared" si="222"/>
        <v>5.5650000000000005E-2</v>
      </c>
      <c r="AK413" s="182">
        <f t="shared" si="223"/>
        <v>2.3077257367928001</v>
      </c>
      <c r="AM413" s="201">
        <f t="shared" si="189"/>
        <v>2.3649357367928001</v>
      </c>
      <c r="AN413" s="202">
        <f t="shared" si="229"/>
        <v>2.2960541133910679</v>
      </c>
      <c r="AO413" s="202">
        <f t="shared" si="229"/>
        <v>2.2291787508651146</v>
      </c>
      <c r="AP413" s="202">
        <f t="shared" si="230"/>
        <v>2.16425121443215</v>
      </c>
      <c r="AQ413" s="202">
        <f t="shared" si="230"/>
        <v>2.1012147712933498</v>
      </c>
      <c r="AR413" s="202">
        <f t="shared" si="230"/>
        <v>2.0400143410615046</v>
      </c>
      <c r="AS413" s="202">
        <f t="shared" si="230"/>
        <v>1.9805964476325288</v>
      </c>
      <c r="AT413" s="202">
        <f t="shared" si="230"/>
        <v>1.9229091724587657</v>
      </c>
      <c r="AU413" s="202">
        <f t="shared" si="230"/>
        <v>1.8669021091832678</v>
      </c>
      <c r="AV413" s="202">
        <f t="shared" si="230"/>
        <v>1.8125263195954056</v>
      </c>
      <c r="AW413" s="202">
        <f t="shared" si="230"/>
        <v>1.7597342908693259</v>
      </c>
      <c r="AX413" s="202">
        <f t="shared" si="230"/>
        <v>1.7084798940478891</v>
      </c>
      <c r="AY413" s="202">
        <f t="shared" si="230"/>
        <v>1.6587183437358151</v>
      </c>
      <c r="AZ413" s="202">
        <f t="shared" si="231"/>
        <v>1.6104061589668108</v>
      </c>
      <c r="BA413" s="202">
        <f t="shared" si="231"/>
        <v>1.5635011252104958</v>
      </c>
      <c r="BB413" s="202">
        <f t="shared" si="231"/>
        <v>1.517962257485918</v>
      </c>
      <c r="BC413" s="202">
        <f t="shared" si="231"/>
        <v>1.4737497645494353</v>
      </c>
      <c r="BD413" s="202">
        <f t="shared" si="231"/>
        <v>1.4308250141256653</v>
      </c>
      <c r="BE413" s="202">
        <f t="shared" si="231"/>
        <v>1.3891504991511314</v>
      </c>
      <c r="BF413" s="202">
        <f t="shared" si="231"/>
        <v>1.3486898050010985</v>
      </c>
      <c r="BG413" s="203">
        <f t="shared" si="191"/>
        <v>36.239800129849542</v>
      </c>
    </row>
    <row r="414" spans="27:59">
      <c r="AA414" s="180">
        <f t="shared" si="196"/>
        <v>987000000</v>
      </c>
      <c r="AB414" s="41">
        <f t="shared" si="217"/>
        <v>1175</v>
      </c>
      <c r="AC414" s="21">
        <v>47</v>
      </c>
      <c r="AD414" s="21" t="s">
        <v>283</v>
      </c>
      <c r="AE414" s="175">
        <f t="shared" si="218"/>
        <v>30</v>
      </c>
      <c r="AF414" s="183">
        <f t="shared" si="219"/>
        <v>27</v>
      </c>
      <c r="AG414" s="84">
        <f t="shared" si="226"/>
        <v>0.39750000000000002</v>
      </c>
      <c r="AH414" s="242">
        <f t="shared" si="220"/>
        <v>0.159</v>
      </c>
      <c r="AI414" s="76">
        <f t="shared" si="221"/>
        <v>1.5600000000000002E-3</v>
      </c>
      <c r="AJ414" s="181">
        <f t="shared" si="222"/>
        <v>5.5650000000000005E-2</v>
      </c>
      <c r="AK414" s="182">
        <f t="shared" si="223"/>
        <v>2.3077257367928001</v>
      </c>
      <c r="AM414" s="201">
        <f t="shared" si="189"/>
        <v>2.3649357367928001</v>
      </c>
      <c r="AN414" s="202">
        <f t="shared" si="229"/>
        <v>2.2960541133910679</v>
      </c>
      <c r="AO414" s="202">
        <f t="shared" si="229"/>
        <v>2.2291787508651146</v>
      </c>
      <c r="AP414" s="202">
        <f t="shared" si="230"/>
        <v>2.16425121443215</v>
      </c>
      <c r="AQ414" s="202">
        <f t="shared" si="230"/>
        <v>2.1012147712933498</v>
      </c>
      <c r="AR414" s="202">
        <f t="shared" si="230"/>
        <v>2.0400143410615046</v>
      </c>
      <c r="AS414" s="202">
        <f t="shared" si="230"/>
        <v>1.9805964476325288</v>
      </c>
      <c r="AT414" s="202">
        <f t="shared" si="230"/>
        <v>1.9229091724587657</v>
      </c>
      <c r="AU414" s="202">
        <f t="shared" si="230"/>
        <v>1.8669021091832678</v>
      </c>
      <c r="AV414" s="202">
        <f t="shared" si="230"/>
        <v>1.8125263195954056</v>
      </c>
      <c r="AW414" s="202">
        <f t="shared" si="230"/>
        <v>1.7597342908693259</v>
      </c>
      <c r="AX414" s="202">
        <f t="shared" si="230"/>
        <v>1.7084798940478891</v>
      </c>
      <c r="AY414" s="202">
        <f t="shared" si="230"/>
        <v>1.6587183437358151</v>
      </c>
      <c r="AZ414" s="202">
        <f t="shared" si="231"/>
        <v>1.6104061589668108</v>
      </c>
      <c r="BA414" s="202">
        <f t="shared" si="231"/>
        <v>1.5635011252104958</v>
      </c>
      <c r="BB414" s="202">
        <f t="shared" si="231"/>
        <v>1.517962257485918</v>
      </c>
      <c r="BC414" s="202">
        <f t="shared" si="231"/>
        <v>1.4737497645494353</v>
      </c>
      <c r="BD414" s="202">
        <f t="shared" si="231"/>
        <v>1.4308250141256653</v>
      </c>
      <c r="BE414" s="202">
        <f t="shared" si="231"/>
        <v>1.3891504991511314</v>
      </c>
      <c r="BF414" s="202">
        <f t="shared" si="231"/>
        <v>1.3486898050010985</v>
      </c>
      <c r="BG414" s="203">
        <f t="shared" si="191"/>
        <v>36.239800129849542</v>
      </c>
    </row>
    <row r="415" spans="27:59">
      <c r="AA415" s="180">
        <f t="shared" si="196"/>
        <v>1008000000</v>
      </c>
      <c r="AB415" s="41">
        <f t="shared" si="217"/>
        <v>1200</v>
      </c>
      <c r="AC415" s="21">
        <v>48</v>
      </c>
      <c r="AD415" s="21" t="s">
        <v>283</v>
      </c>
      <c r="AE415" s="175">
        <f t="shared" si="218"/>
        <v>30</v>
      </c>
      <c r="AF415" s="183">
        <f t="shared" si="219"/>
        <v>27</v>
      </c>
      <c r="AG415" s="84">
        <f t="shared" si="226"/>
        <v>0.39750000000000002</v>
      </c>
      <c r="AH415" s="242">
        <f t="shared" si="220"/>
        <v>0.159</v>
      </c>
      <c r="AI415" s="76">
        <f t="shared" si="221"/>
        <v>1.5600000000000002E-3</v>
      </c>
      <c r="AJ415" s="181">
        <f t="shared" si="222"/>
        <v>5.5650000000000005E-2</v>
      </c>
      <c r="AK415" s="182">
        <f t="shared" si="223"/>
        <v>2.3077257367928001</v>
      </c>
      <c r="AM415" s="201">
        <f t="shared" si="189"/>
        <v>2.3649357367928001</v>
      </c>
      <c r="AN415" s="202">
        <f t="shared" si="229"/>
        <v>2.2960541133910679</v>
      </c>
      <c r="AO415" s="202">
        <f t="shared" si="229"/>
        <v>2.2291787508651146</v>
      </c>
      <c r="AP415" s="202">
        <f t="shared" si="230"/>
        <v>2.16425121443215</v>
      </c>
      <c r="AQ415" s="202">
        <f t="shared" si="230"/>
        <v>2.1012147712933498</v>
      </c>
      <c r="AR415" s="202">
        <f t="shared" si="230"/>
        <v>2.0400143410615046</v>
      </c>
      <c r="AS415" s="202">
        <f t="shared" si="230"/>
        <v>1.9805964476325288</v>
      </c>
      <c r="AT415" s="202">
        <f t="shared" si="230"/>
        <v>1.9229091724587657</v>
      </c>
      <c r="AU415" s="202">
        <f t="shared" si="230"/>
        <v>1.8669021091832678</v>
      </c>
      <c r="AV415" s="202">
        <f t="shared" si="230"/>
        <v>1.8125263195954056</v>
      </c>
      <c r="AW415" s="202">
        <f t="shared" si="230"/>
        <v>1.7597342908693259</v>
      </c>
      <c r="AX415" s="202">
        <f t="shared" si="230"/>
        <v>1.7084798940478891</v>
      </c>
      <c r="AY415" s="202">
        <f t="shared" si="230"/>
        <v>1.6587183437358151</v>
      </c>
      <c r="AZ415" s="202">
        <f t="shared" si="231"/>
        <v>1.6104061589668108</v>
      </c>
      <c r="BA415" s="202">
        <f t="shared" si="231"/>
        <v>1.5635011252104958</v>
      </c>
      <c r="BB415" s="202">
        <f t="shared" si="231"/>
        <v>1.517962257485918</v>
      </c>
      <c r="BC415" s="202">
        <f t="shared" si="231"/>
        <v>1.4737497645494353</v>
      </c>
      <c r="BD415" s="202">
        <f t="shared" si="231"/>
        <v>1.4308250141256653</v>
      </c>
      <c r="BE415" s="202">
        <f t="shared" si="231"/>
        <v>1.3891504991511314</v>
      </c>
      <c r="BF415" s="202">
        <f t="shared" si="231"/>
        <v>1.3486898050010985</v>
      </c>
      <c r="BG415" s="203">
        <f t="shared" si="191"/>
        <v>36.239800129849542</v>
      </c>
    </row>
    <row r="416" spans="27:59">
      <c r="AA416" s="180">
        <f t="shared" si="196"/>
        <v>1029000000</v>
      </c>
      <c r="AB416" s="41">
        <f t="shared" si="217"/>
        <v>1225</v>
      </c>
      <c r="AC416" s="21">
        <v>49</v>
      </c>
      <c r="AD416" s="21" t="s">
        <v>283</v>
      </c>
      <c r="AE416" s="175">
        <f t="shared" si="218"/>
        <v>30</v>
      </c>
      <c r="AF416" s="183">
        <f t="shared" si="219"/>
        <v>27</v>
      </c>
      <c r="AG416" s="84">
        <f t="shared" si="226"/>
        <v>0.39750000000000002</v>
      </c>
      <c r="AH416" s="242">
        <f t="shared" si="220"/>
        <v>0.159</v>
      </c>
      <c r="AI416" s="76">
        <f t="shared" si="221"/>
        <v>1.5600000000000002E-3</v>
      </c>
      <c r="AJ416" s="181">
        <f t="shared" si="222"/>
        <v>5.5650000000000005E-2</v>
      </c>
      <c r="AK416" s="182">
        <f t="shared" si="223"/>
        <v>2.3077257367928001</v>
      </c>
      <c r="AM416" s="201">
        <f t="shared" si="189"/>
        <v>2.3649357367928001</v>
      </c>
      <c r="AN416" s="202">
        <f t="shared" si="229"/>
        <v>2.2960541133910679</v>
      </c>
      <c r="AO416" s="202">
        <f t="shared" si="229"/>
        <v>2.2291787508651146</v>
      </c>
      <c r="AP416" s="202">
        <f t="shared" si="230"/>
        <v>2.16425121443215</v>
      </c>
      <c r="AQ416" s="202">
        <f t="shared" si="230"/>
        <v>2.1012147712933498</v>
      </c>
      <c r="AR416" s="202">
        <f t="shared" si="230"/>
        <v>2.0400143410615046</v>
      </c>
      <c r="AS416" s="202">
        <f t="shared" si="230"/>
        <v>1.9805964476325288</v>
      </c>
      <c r="AT416" s="202">
        <f t="shared" si="230"/>
        <v>1.9229091724587657</v>
      </c>
      <c r="AU416" s="202">
        <f t="shared" si="230"/>
        <v>1.8669021091832678</v>
      </c>
      <c r="AV416" s="202">
        <f t="shared" si="230"/>
        <v>1.8125263195954056</v>
      </c>
      <c r="AW416" s="202">
        <f t="shared" si="230"/>
        <v>1.7597342908693259</v>
      </c>
      <c r="AX416" s="202">
        <f t="shared" si="230"/>
        <v>1.7084798940478891</v>
      </c>
      <c r="AY416" s="202">
        <f t="shared" si="230"/>
        <v>1.6587183437358151</v>
      </c>
      <c r="AZ416" s="202">
        <f t="shared" si="231"/>
        <v>1.6104061589668108</v>
      </c>
      <c r="BA416" s="202">
        <f t="shared" si="231"/>
        <v>1.5635011252104958</v>
      </c>
      <c r="BB416" s="202">
        <f t="shared" si="231"/>
        <v>1.517962257485918</v>
      </c>
      <c r="BC416" s="202">
        <f t="shared" si="231"/>
        <v>1.4737497645494353</v>
      </c>
      <c r="BD416" s="202">
        <f t="shared" si="231"/>
        <v>1.4308250141256653</v>
      </c>
      <c r="BE416" s="202">
        <f t="shared" si="231"/>
        <v>1.3891504991511314</v>
      </c>
      <c r="BF416" s="202">
        <f t="shared" si="231"/>
        <v>1.3486898050010985</v>
      </c>
      <c r="BG416" s="203">
        <f t="shared" si="191"/>
        <v>36.239800129849542</v>
      </c>
    </row>
    <row r="417" spans="27:59">
      <c r="AA417" s="180">
        <f t="shared" si="196"/>
        <v>1050000000</v>
      </c>
      <c r="AB417" s="41">
        <f t="shared" si="217"/>
        <v>1250</v>
      </c>
      <c r="AC417" s="21">
        <v>50</v>
      </c>
      <c r="AD417" s="21" t="s">
        <v>283</v>
      </c>
      <c r="AE417" s="175">
        <f t="shared" si="218"/>
        <v>30</v>
      </c>
      <c r="AF417" s="183">
        <f t="shared" si="219"/>
        <v>27</v>
      </c>
      <c r="AG417" s="84">
        <f t="shared" si="226"/>
        <v>0.39750000000000002</v>
      </c>
      <c r="AH417" s="242">
        <f t="shared" si="220"/>
        <v>0.159</v>
      </c>
      <c r="AI417" s="76">
        <f t="shared" si="221"/>
        <v>1.5600000000000002E-3</v>
      </c>
      <c r="AJ417" s="181">
        <f t="shared" si="222"/>
        <v>5.5650000000000005E-2</v>
      </c>
      <c r="AK417" s="182">
        <f t="shared" si="223"/>
        <v>2.3077257367928001</v>
      </c>
      <c r="AM417" s="201">
        <f t="shared" si="189"/>
        <v>2.3649357367928001</v>
      </c>
      <c r="AN417" s="202">
        <f t="shared" si="229"/>
        <v>2.2960541133910679</v>
      </c>
      <c r="AO417" s="202">
        <f t="shared" si="229"/>
        <v>2.2291787508651146</v>
      </c>
      <c r="AP417" s="202">
        <f t="shared" si="230"/>
        <v>2.16425121443215</v>
      </c>
      <c r="AQ417" s="202">
        <f t="shared" si="230"/>
        <v>2.1012147712933498</v>
      </c>
      <c r="AR417" s="202">
        <f t="shared" si="230"/>
        <v>2.0400143410615046</v>
      </c>
      <c r="AS417" s="202">
        <f t="shared" si="230"/>
        <v>1.9805964476325288</v>
      </c>
      <c r="AT417" s="202">
        <f t="shared" si="230"/>
        <v>1.9229091724587657</v>
      </c>
      <c r="AU417" s="202">
        <f t="shared" si="230"/>
        <v>1.8669021091832678</v>
      </c>
      <c r="AV417" s="202">
        <f t="shared" si="230"/>
        <v>1.8125263195954056</v>
      </c>
      <c r="AW417" s="202">
        <f t="shared" si="230"/>
        <v>1.7597342908693259</v>
      </c>
      <c r="AX417" s="202">
        <f t="shared" si="230"/>
        <v>1.7084798940478891</v>
      </c>
      <c r="AY417" s="202">
        <f t="shared" si="230"/>
        <v>1.6587183437358151</v>
      </c>
      <c r="AZ417" s="202">
        <f t="shared" si="231"/>
        <v>1.6104061589668108</v>
      </c>
      <c r="BA417" s="202">
        <f t="shared" si="231"/>
        <v>1.5635011252104958</v>
      </c>
      <c r="BB417" s="202">
        <f t="shared" si="231"/>
        <v>1.517962257485918</v>
      </c>
      <c r="BC417" s="202">
        <f t="shared" si="231"/>
        <v>1.4737497645494353</v>
      </c>
      <c r="BD417" s="202">
        <f t="shared" si="231"/>
        <v>1.4308250141256653</v>
      </c>
      <c r="BE417" s="202">
        <f t="shared" si="231"/>
        <v>1.3891504991511314</v>
      </c>
      <c r="BF417" s="202">
        <f t="shared" si="231"/>
        <v>1.3486898050010985</v>
      </c>
      <c r="BG417" s="203">
        <f t="shared" si="191"/>
        <v>36.239800129849542</v>
      </c>
    </row>
    <row r="418" spans="27:59">
      <c r="AA418" s="180">
        <f t="shared" si="196"/>
        <v>1071000000</v>
      </c>
      <c r="AB418" s="41">
        <f t="shared" si="217"/>
        <v>1275</v>
      </c>
      <c r="AC418" s="21">
        <v>51</v>
      </c>
      <c r="AD418" s="21" t="s">
        <v>283</v>
      </c>
      <c r="AE418" s="175">
        <f t="shared" si="218"/>
        <v>30</v>
      </c>
      <c r="AF418" s="183">
        <f t="shared" si="219"/>
        <v>27</v>
      </c>
      <c r="AG418" s="84">
        <f t="shared" si="226"/>
        <v>0.39750000000000002</v>
      </c>
      <c r="AH418" s="242">
        <f t="shared" si="220"/>
        <v>0.159</v>
      </c>
      <c r="AI418" s="76">
        <f t="shared" si="221"/>
        <v>1.5600000000000002E-3</v>
      </c>
      <c r="AJ418" s="181">
        <f t="shared" si="222"/>
        <v>5.5650000000000005E-2</v>
      </c>
      <c r="AK418" s="182">
        <f t="shared" si="223"/>
        <v>2.3077257367928001</v>
      </c>
      <c r="AM418" s="201">
        <f t="shared" si="189"/>
        <v>2.3649357367928001</v>
      </c>
      <c r="AN418" s="202">
        <f t="shared" si="229"/>
        <v>2.2960541133910679</v>
      </c>
      <c r="AO418" s="202">
        <f t="shared" si="229"/>
        <v>2.2291787508651146</v>
      </c>
      <c r="AP418" s="202">
        <f t="shared" ref="AP418:AY427" si="232">$AM418/POWER(1+($B$10/100),AP$366-2024)</f>
        <v>2.16425121443215</v>
      </c>
      <c r="AQ418" s="202">
        <f t="shared" si="232"/>
        <v>2.1012147712933498</v>
      </c>
      <c r="AR418" s="202">
        <f t="shared" si="232"/>
        <v>2.0400143410615046</v>
      </c>
      <c r="AS418" s="202">
        <f t="shared" si="232"/>
        <v>1.9805964476325288</v>
      </c>
      <c r="AT418" s="202">
        <f t="shared" si="232"/>
        <v>1.9229091724587657</v>
      </c>
      <c r="AU418" s="202">
        <f t="shared" si="232"/>
        <v>1.8669021091832678</v>
      </c>
      <c r="AV418" s="202">
        <f t="shared" si="232"/>
        <v>1.8125263195954056</v>
      </c>
      <c r="AW418" s="202">
        <f t="shared" si="232"/>
        <v>1.7597342908693259</v>
      </c>
      <c r="AX418" s="202">
        <f t="shared" si="232"/>
        <v>1.7084798940478891</v>
      </c>
      <c r="AY418" s="202">
        <f t="shared" si="232"/>
        <v>1.6587183437358151</v>
      </c>
      <c r="AZ418" s="202">
        <f t="shared" ref="AZ418:BF427" si="233">$AM418/POWER(1+($B$10/100),AZ$366-2024)</f>
        <v>1.6104061589668108</v>
      </c>
      <c r="BA418" s="202">
        <f t="shared" si="233"/>
        <v>1.5635011252104958</v>
      </c>
      <c r="BB418" s="202">
        <f t="shared" si="233"/>
        <v>1.517962257485918</v>
      </c>
      <c r="BC418" s="202">
        <f t="shared" si="233"/>
        <v>1.4737497645494353</v>
      </c>
      <c r="BD418" s="202">
        <f t="shared" si="233"/>
        <v>1.4308250141256653</v>
      </c>
      <c r="BE418" s="202">
        <f t="shared" si="233"/>
        <v>1.3891504991511314</v>
      </c>
      <c r="BF418" s="202">
        <f t="shared" si="233"/>
        <v>1.3486898050010985</v>
      </c>
      <c r="BG418" s="203">
        <f t="shared" si="191"/>
        <v>36.239800129849542</v>
      </c>
    </row>
    <row r="419" spans="27:59">
      <c r="AA419" s="180">
        <f t="shared" si="196"/>
        <v>1092000000</v>
      </c>
      <c r="AB419" s="41">
        <f t="shared" si="217"/>
        <v>1300</v>
      </c>
      <c r="AC419" s="21">
        <v>52</v>
      </c>
      <c r="AD419" s="21" t="s">
        <v>283</v>
      </c>
      <c r="AE419" s="175">
        <f t="shared" si="218"/>
        <v>30</v>
      </c>
      <c r="AF419" s="183">
        <f t="shared" si="219"/>
        <v>27</v>
      </c>
      <c r="AG419" s="84">
        <f t="shared" si="226"/>
        <v>0.39750000000000002</v>
      </c>
      <c r="AH419" s="242">
        <f t="shared" si="220"/>
        <v>0.159</v>
      </c>
      <c r="AI419" s="76">
        <f t="shared" si="221"/>
        <v>1.5600000000000002E-3</v>
      </c>
      <c r="AJ419" s="181">
        <f t="shared" si="222"/>
        <v>5.5650000000000005E-2</v>
      </c>
      <c r="AK419" s="182">
        <f t="shared" si="223"/>
        <v>2.3077257367928001</v>
      </c>
      <c r="AM419" s="201">
        <f t="shared" si="189"/>
        <v>2.3649357367928001</v>
      </c>
      <c r="AN419" s="202">
        <f t="shared" si="229"/>
        <v>2.2960541133910679</v>
      </c>
      <c r="AO419" s="202">
        <f t="shared" si="229"/>
        <v>2.2291787508651146</v>
      </c>
      <c r="AP419" s="202">
        <f t="shared" si="232"/>
        <v>2.16425121443215</v>
      </c>
      <c r="AQ419" s="202">
        <f t="shared" si="232"/>
        <v>2.1012147712933498</v>
      </c>
      <c r="AR419" s="202">
        <f t="shared" si="232"/>
        <v>2.0400143410615046</v>
      </c>
      <c r="AS419" s="202">
        <f t="shared" si="232"/>
        <v>1.9805964476325288</v>
      </c>
      <c r="AT419" s="202">
        <f t="shared" si="232"/>
        <v>1.9229091724587657</v>
      </c>
      <c r="AU419" s="202">
        <f t="shared" si="232"/>
        <v>1.8669021091832678</v>
      </c>
      <c r="AV419" s="202">
        <f t="shared" si="232"/>
        <v>1.8125263195954056</v>
      </c>
      <c r="AW419" s="202">
        <f t="shared" si="232"/>
        <v>1.7597342908693259</v>
      </c>
      <c r="AX419" s="202">
        <f t="shared" si="232"/>
        <v>1.7084798940478891</v>
      </c>
      <c r="AY419" s="202">
        <f t="shared" si="232"/>
        <v>1.6587183437358151</v>
      </c>
      <c r="AZ419" s="202">
        <f t="shared" si="233"/>
        <v>1.6104061589668108</v>
      </c>
      <c r="BA419" s="202">
        <f t="shared" si="233"/>
        <v>1.5635011252104958</v>
      </c>
      <c r="BB419" s="202">
        <f t="shared" si="233"/>
        <v>1.517962257485918</v>
      </c>
      <c r="BC419" s="202">
        <f t="shared" si="233"/>
        <v>1.4737497645494353</v>
      </c>
      <c r="BD419" s="202">
        <f t="shared" si="233"/>
        <v>1.4308250141256653</v>
      </c>
      <c r="BE419" s="202">
        <f t="shared" si="233"/>
        <v>1.3891504991511314</v>
      </c>
      <c r="BF419" s="202">
        <f t="shared" si="233"/>
        <v>1.3486898050010985</v>
      </c>
      <c r="BG419" s="203">
        <f t="shared" si="191"/>
        <v>36.239800129849542</v>
      </c>
    </row>
    <row r="420" spans="27:59">
      <c r="AA420" s="180">
        <f t="shared" si="196"/>
        <v>1113000000</v>
      </c>
      <c r="AB420" s="41">
        <f t="shared" si="217"/>
        <v>1325</v>
      </c>
      <c r="AC420" s="21">
        <v>53</v>
      </c>
      <c r="AD420" s="21" t="s">
        <v>283</v>
      </c>
      <c r="AE420" s="175">
        <f t="shared" si="218"/>
        <v>30</v>
      </c>
      <c r="AF420" s="183">
        <f t="shared" si="219"/>
        <v>27</v>
      </c>
      <c r="AG420" s="84">
        <f t="shared" si="226"/>
        <v>0.39750000000000002</v>
      </c>
      <c r="AH420" s="242">
        <f t="shared" si="220"/>
        <v>0.159</v>
      </c>
      <c r="AI420" s="76">
        <f t="shared" si="221"/>
        <v>1.5600000000000002E-3</v>
      </c>
      <c r="AJ420" s="181">
        <f t="shared" si="222"/>
        <v>5.5650000000000005E-2</v>
      </c>
      <c r="AK420" s="182">
        <f t="shared" si="223"/>
        <v>2.3077257367928001</v>
      </c>
      <c r="AM420" s="201">
        <f t="shared" si="189"/>
        <v>2.3649357367928001</v>
      </c>
      <c r="AN420" s="202">
        <f t="shared" si="229"/>
        <v>2.2960541133910679</v>
      </c>
      <c r="AO420" s="202">
        <f t="shared" si="229"/>
        <v>2.2291787508651146</v>
      </c>
      <c r="AP420" s="202">
        <f t="shared" si="232"/>
        <v>2.16425121443215</v>
      </c>
      <c r="AQ420" s="202">
        <f t="shared" si="232"/>
        <v>2.1012147712933498</v>
      </c>
      <c r="AR420" s="202">
        <f t="shared" si="232"/>
        <v>2.0400143410615046</v>
      </c>
      <c r="AS420" s="202">
        <f t="shared" si="232"/>
        <v>1.9805964476325288</v>
      </c>
      <c r="AT420" s="202">
        <f t="shared" si="232"/>
        <v>1.9229091724587657</v>
      </c>
      <c r="AU420" s="202">
        <f t="shared" si="232"/>
        <v>1.8669021091832678</v>
      </c>
      <c r="AV420" s="202">
        <f t="shared" si="232"/>
        <v>1.8125263195954056</v>
      </c>
      <c r="AW420" s="202">
        <f t="shared" si="232"/>
        <v>1.7597342908693259</v>
      </c>
      <c r="AX420" s="202">
        <f t="shared" si="232"/>
        <v>1.7084798940478891</v>
      </c>
      <c r="AY420" s="202">
        <f t="shared" si="232"/>
        <v>1.6587183437358151</v>
      </c>
      <c r="AZ420" s="202">
        <f t="shared" si="233"/>
        <v>1.6104061589668108</v>
      </c>
      <c r="BA420" s="202">
        <f t="shared" si="233"/>
        <v>1.5635011252104958</v>
      </c>
      <c r="BB420" s="202">
        <f t="shared" si="233"/>
        <v>1.517962257485918</v>
      </c>
      <c r="BC420" s="202">
        <f t="shared" si="233"/>
        <v>1.4737497645494353</v>
      </c>
      <c r="BD420" s="202">
        <f t="shared" si="233"/>
        <v>1.4308250141256653</v>
      </c>
      <c r="BE420" s="202">
        <f t="shared" si="233"/>
        <v>1.3891504991511314</v>
      </c>
      <c r="BF420" s="202">
        <f t="shared" si="233"/>
        <v>1.3486898050010985</v>
      </c>
      <c r="BG420" s="203">
        <f t="shared" si="191"/>
        <v>36.239800129849542</v>
      </c>
    </row>
    <row r="421" spans="27:59">
      <c r="AA421" s="180">
        <f t="shared" si="196"/>
        <v>1134000000</v>
      </c>
      <c r="AB421" s="41">
        <f t="shared" si="217"/>
        <v>1350</v>
      </c>
      <c r="AC421" s="21">
        <v>54</v>
      </c>
      <c r="AD421" s="21" t="s">
        <v>283</v>
      </c>
      <c r="AE421" s="175">
        <f t="shared" si="218"/>
        <v>30</v>
      </c>
      <c r="AF421" s="183">
        <f t="shared" si="219"/>
        <v>27</v>
      </c>
      <c r="AG421" s="84">
        <f t="shared" si="226"/>
        <v>0.39750000000000002</v>
      </c>
      <c r="AH421" s="242">
        <f t="shared" si="220"/>
        <v>0.159</v>
      </c>
      <c r="AI421" s="76">
        <f t="shared" si="221"/>
        <v>1.5600000000000002E-3</v>
      </c>
      <c r="AJ421" s="181">
        <f t="shared" si="222"/>
        <v>5.5650000000000005E-2</v>
      </c>
      <c r="AK421" s="182">
        <f t="shared" si="223"/>
        <v>2.3077257367928001</v>
      </c>
      <c r="AM421" s="201">
        <f t="shared" si="189"/>
        <v>2.3649357367928001</v>
      </c>
      <c r="AN421" s="202">
        <f t="shared" si="229"/>
        <v>2.2960541133910679</v>
      </c>
      <c r="AO421" s="202">
        <f t="shared" si="229"/>
        <v>2.2291787508651146</v>
      </c>
      <c r="AP421" s="202">
        <f t="shared" si="232"/>
        <v>2.16425121443215</v>
      </c>
      <c r="AQ421" s="202">
        <f t="shared" si="232"/>
        <v>2.1012147712933498</v>
      </c>
      <c r="AR421" s="202">
        <f t="shared" si="232"/>
        <v>2.0400143410615046</v>
      </c>
      <c r="AS421" s="202">
        <f t="shared" si="232"/>
        <v>1.9805964476325288</v>
      </c>
      <c r="AT421" s="202">
        <f t="shared" si="232"/>
        <v>1.9229091724587657</v>
      </c>
      <c r="AU421" s="202">
        <f t="shared" si="232"/>
        <v>1.8669021091832678</v>
      </c>
      <c r="AV421" s="202">
        <f t="shared" si="232"/>
        <v>1.8125263195954056</v>
      </c>
      <c r="AW421" s="202">
        <f t="shared" si="232"/>
        <v>1.7597342908693259</v>
      </c>
      <c r="AX421" s="202">
        <f t="shared" si="232"/>
        <v>1.7084798940478891</v>
      </c>
      <c r="AY421" s="202">
        <f t="shared" si="232"/>
        <v>1.6587183437358151</v>
      </c>
      <c r="AZ421" s="202">
        <f t="shared" si="233"/>
        <v>1.6104061589668108</v>
      </c>
      <c r="BA421" s="202">
        <f t="shared" si="233"/>
        <v>1.5635011252104958</v>
      </c>
      <c r="BB421" s="202">
        <f t="shared" si="233"/>
        <v>1.517962257485918</v>
      </c>
      <c r="BC421" s="202">
        <f t="shared" si="233"/>
        <v>1.4737497645494353</v>
      </c>
      <c r="BD421" s="202">
        <f t="shared" si="233"/>
        <v>1.4308250141256653</v>
      </c>
      <c r="BE421" s="202">
        <f t="shared" si="233"/>
        <v>1.3891504991511314</v>
      </c>
      <c r="BF421" s="202">
        <f t="shared" si="233"/>
        <v>1.3486898050010985</v>
      </c>
      <c r="BG421" s="203">
        <f t="shared" si="191"/>
        <v>36.239800129849542</v>
      </c>
    </row>
    <row r="422" spans="27:59">
      <c r="AA422" s="180">
        <f t="shared" si="196"/>
        <v>1155000000</v>
      </c>
      <c r="AB422" s="41">
        <f t="shared" si="217"/>
        <v>1375</v>
      </c>
      <c r="AC422" s="21">
        <v>55</v>
      </c>
      <c r="AD422" s="21" t="s">
        <v>283</v>
      </c>
      <c r="AE422" s="175">
        <f t="shared" si="218"/>
        <v>30</v>
      </c>
      <c r="AF422" s="183">
        <f t="shared" si="219"/>
        <v>27</v>
      </c>
      <c r="AG422" s="84">
        <f t="shared" si="226"/>
        <v>0.39750000000000002</v>
      </c>
      <c r="AH422" s="242">
        <f t="shared" si="220"/>
        <v>0.159</v>
      </c>
      <c r="AI422" s="76">
        <f t="shared" si="221"/>
        <v>1.5600000000000002E-3</v>
      </c>
      <c r="AJ422" s="181">
        <f t="shared" si="222"/>
        <v>5.5650000000000005E-2</v>
      </c>
      <c r="AK422" s="182">
        <f t="shared" si="223"/>
        <v>2.3077257367928001</v>
      </c>
      <c r="AM422" s="201">
        <f t="shared" si="189"/>
        <v>2.3649357367928001</v>
      </c>
      <c r="AN422" s="202">
        <f t="shared" si="229"/>
        <v>2.2960541133910679</v>
      </c>
      <c r="AO422" s="202">
        <f t="shared" si="229"/>
        <v>2.2291787508651146</v>
      </c>
      <c r="AP422" s="202">
        <f t="shared" si="232"/>
        <v>2.16425121443215</v>
      </c>
      <c r="AQ422" s="202">
        <f t="shared" si="232"/>
        <v>2.1012147712933498</v>
      </c>
      <c r="AR422" s="202">
        <f t="shared" si="232"/>
        <v>2.0400143410615046</v>
      </c>
      <c r="AS422" s="202">
        <f t="shared" si="232"/>
        <v>1.9805964476325288</v>
      </c>
      <c r="AT422" s="202">
        <f t="shared" si="232"/>
        <v>1.9229091724587657</v>
      </c>
      <c r="AU422" s="202">
        <f t="shared" si="232"/>
        <v>1.8669021091832678</v>
      </c>
      <c r="AV422" s="202">
        <f t="shared" si="232"/>
        <v>1.8125263195954056</v>
      </c>
      <c r="AW422" s="202">
        <f t="shared" si="232"/>
        <v>1.7597342908693259</v>
      </c>
      <c r="AX422" s="202">
        <f t="shared" si="232"/>
        <v>1.7084798940478891</v>
      </c>
      <c r="AY422" s="202">
        <f t="shared" si="232"/>
        <v>1.6587183437358151</v>
      </c>
      <c r="AZ422" s="202">
        <f t="shared" si="233"/>
        <v>1.6104061589668108</v>
      </c>
      <c r="BA422" s="202">
        <f t="shared" si="233"/>
        <v>1.5635011252104958</v>
      </c>
      <c r="BB422" s="202">
        <f t="shared" si="233"/>
        <v>1.517962257485918</v>
      </c>
      <c r="BC422" s="202">
        <f t="shared" si="233"/>
        <v>1.4737497645494353</v>
      </c>
      <c r="BD422" s="202">
        <f t="shared" si="233"/>
        <v>1.4308250141256653</v>
      </c>
      <c r="BE422" s="202">
        <f t="shared" si="233"/>
        <v>1.3891504991511314</v>
      </c>
      <c r="BF422" s="202">
        <f t="shared" si="233"/>
        <v>1.3486898050010985</v>
      </c>
      <c r="BG422" s="203">
        <f t="shared" si="191"/>
        <v>36.239800129849542</v>
      </c>
    </row>
    <row r="423" spans="27:59">
      <c r="AA423" s="180">
        <f t="shared" si="196"/>
        <v>1176000000</v>
      </c>
      <c r="AB423" s="41">
        <f t="shared" si="217"/>
        <v>1400</v>
      </c>
      <c r="AC423" s="21">
        <v>56</v>
      </c>
      <c r="AD423" s="21" t="s">
        <v>283</v>
      </c>
      <c r="AE423" s="175">
        <f t="shared" si="218"/>
        <v>30</v>
      </c>
      <c r="AF423" s="183">
        <f t="shared" si="219"/>
        <v>27</v>
      </c>
      <c r="AG423" s="84">
        <f t="shared" si="226"/>
        <v>0.39750000000000002</v>
      </c>
      <c r="AH423" s="242">
        <f t="shared" si="220"/>
        <v>0.159</v>
      </c>
      <c r="AI423" s="76">
        <f t="shared" si="221"/>
        <v>1.5600000000000002E-3</v>
      </c>
      <c r="AJ423" s="181">
        <f t="shared" si="222"/>
        <v>5.5650000000000005E-2</v>
      </c>
      <c r="AK423" s="182">
        <f t="shared" si="223"/>
        <v>2.3077257367928001</v>
      </c>
      <c r="AM423" s="201">
        <f t="shared" si="189"/>
        <v>2.3649357367928001</v>
      </c>
      <c r="AN423" s="202">
        <f t="shared" si="229"/>
        <v>2.2960541133910679</v>
      </c>
      <c r="AO423" s="202">
        <f t="shared" si="229"/>
        <v>2.2291787508651146</v>
      </c>
      <c r="AP423" s="202">
        <f t="shared" si="232"/>
        <v>2.16425121443215</v>
      </c>
      <c r="AQ423" s="202">
        <f t="shared" si="232"/>
        <v>2.1012147712933498</v>
      </c>
      <c r="AR423" s="202">
        <f t="shared" si="232"/>
        <v>2.0400143410615046</v>
      </c>
      <c r="AS423" s="202">
        <f t="shared" si="232"/>
        <v>1.9805964476325288</v>
      </c>
      <c r="AT423" s="202">
        <f t="shared" si="232"/>
        <v>1.9229091724587657</v>
      </c>
      <c r="AU423" s="202">
        <f t="shared" si="232"/>
        <v>1.8669021091832678</v>
      </c>
      <c r="AV423" s="202">
        <f t="shared" si="232"/>
        <v>1.8125263195954056</v>
      </c>
      <c r="AW423" s="202">
        <f t="shared" si="232"/>
        <v>1.7597342908693259</v>
      </c>
      <c r="AX423" s="202">
        <f t="shared" si="232"/>
        <v>1.7084798940478891</v>
      </c>
      <c r="AY423" s="202">
        <f t="shared" si="232"/>
        <v>1.6587183437358151</v>
      </c>
      <c r="AZ423" s="202">
        <f t="shared" si="233"/>
        <v>1.6104061589668108</v>
      </c>
      <c r="BA423" s="202">
        <f t="shared" si="233"/>
        <v>1.5635011252104958</v>
      </c>
      <c r="BB423" s="202">
        <f t="shared" si="233"/>
        <v>1.517962257485918</v>
      </c>
      <c r="BC423" s="202">
        <f t="shared" si="233"/>
        <v>1.4737497645494353</v>
      </c>
      <c r="BD423" s="202">
        <f t="shared" si="233"/>
        <v>1.4308250141256653</v>
      </c>
      <c r="BE423" s="202">
        <f t="shared" si="233"/>
        <v>1.3891504991511314</v>
      </c>
      <c r="BF423" s="202">
        <f t="shared" si="233"/>
        <v>1.3486898050010985</v>
      </c>
      <c r="BG423" s="203">
        <f t="shared" si="191"/>
        <v>36.239800129849542</v>
      </c>
    </row>
    <row r="424" spans="27:59">
      <c r="AA424" s="180">
        <f t="shared" si="196"/>
        <v>1197000000</v>
      </c>
      <c r="AB424" s="41">
        <f t="shared" si="217"/>
        <v>1425</v>
      </c>
      <c r="AC424" s="21">
        <v>57</v>
      </c>
      <c r="AD424" s="21" t="s">
        <v>283</v>
      </c>
      <c r="AE424" s="175">
        <f t="shared" si="218"/>
        <v>30</v>
      </c>
      <c r="AF424" s="183">
        <f t="shared" si="219"/>
        <v>27</v>
      </c>
      <c r="AG424" s="84">
        <f t="shared" si="226"/>
        <v>0.39750000000000002</v>
      </c>
      <c r="AH424" s="242">
        <f t="shared" si="220"/>
        <v>0.159</v>
      </c>
      <c r="AI424" s="76">
        <f t="shared" si="221"/>
        <v>1.5600000000000002E-3</v>
      </c>
      <c r="AJ424" s="181">
        <f t="shared" si="222"/>
        <v>5.5650000000000005E-2</v>
      </c>
      <c r="AK424" s="182">
        <f t="shared" si="223"/>
        <v>2.3077257367928001</v>
      </c>
      <c r="AM424" s="201">
        <f t="shared" si="189"/>
        <v>2.3649357367928001</v>
      </c>
      <c r="AN424" s="202">
        <f t="shared" si="229"/>
        <v>2.2960541133910679</v>
      </c>
      <c r="AO424" s="202">
        <f t="shared" si="229"/>
        <v>2.2291787508651146</v>
      </c>
      <c r="AP424" s="202">
        <f t="shared" si="232"/>
        <v>2.16425121443215</v>
      </c>
      <c r="AQ424" s="202">
        <f t="shared" si="232"/>
        <v>2.1012147712933498</v>
      </c>
      <c r="AR424" s="202">
        <f t="shared" si="232"/>
        <v>2.0400143410615046</v>
      </c>
      <c r="AS424" s="202">
        <f t="shared" si="232"/>
        <v>1.9805964476325288</v>
      </c>
      <c r="AT424" s="202">
        <f t="shared" si="232"/>
        <v>1.9229091724587657</v>
      </c>
      <c r="AU424" s="202">
        <f t="shared" si="232"/>
        <v>1.8669021091832678</v>
      </c>
      <c r="AV424" s="202">
        <f t="shared" si="232"/>
        <v>1.8125263195954056</v>
      </c>
      <c r="AW424" s="202">
        <f t="shared" si="232"/>
        <v>1.7597342908693259</v>
      </c>
      <c r="AX424" s="202">
        <f t="shared" si="232"/>
        <v>1.7084798940478891</v>
      </c>
      <c r="AY424" s="202">
        <f t="shared" si="232"/>
        <v>1.6587183437358151</v>
      </c>
      <c r="AZ424" s="202">
        <f t="shared" si="233"/>
        <v>1.6104061589668108</v>
      </c>
      <c r="BA424" s="202">
        <f t="shared" si="233"/>
        <v>1.5635011252104958</v>
      </c>
      <c r="BB424" s="202">
        <f t="shared" si="233"/>
        <v>1.517962257485918</v>
      </c>
      <c r="BC424" s="202">
        <f t="shared" si="233"/>
        <v>1.4737497645494353</v>
      </c>
      <c r="BD424" s="202">
        <f t="shared" si="233"/>
        <v>1.4308250141256653</v>
      </c>
      <c r="BE424" s="202">
        <f t="shared" si="233"/>
        <v>1.3891504991511314</v>
      </c>
      <c r="BF424" s="202">
        <f t="shared" si="233"/>
        <v>1.3486898050010985</v>
      </c>
      <c r="BG424" s="203">
        <f t="shared" si="191"/>
        <v>36.239800129849542</v>
      </c>
    </row>
    <row r="425" spans="27:59">
      <c r="AA425" s="180">
        <f t="shared" si="196"/>
        <v>1218000000</v>
      </c>
      <c r="AB425" s="41">
        <f t="shared" si="217"/>
        <v>1450</v>
      </c>
      <c r="AC425" s="21">
        <v>58</v>
      </c>
      <c r="AD425" s="21" t="s">
        <v>283</v>
      </c>
      <c r="AE425" s="175">
        <f t="shared" si="218"/>
        <v>30</v>
      </c>
      <c r="AF425" s="183">
        <f t="shared" si="219"/>
        <v>27</v>
      </c>
      <c r="AG425" s="84">
        <f t="shared" si="226"/>
        <v>0.39750000000000002</v>
      </c>
      <c r="AH425" s="242">
        <f t="shared" si="220"/>
        <v>0.159</v>
      </c>
      <c r="AI425" s="76">
        <f t="shared" si="221"/>
        <v>1.5600000000000002E-3</v>
      </c>
      <c r="AJ425" s="181">
        <f t="shared" si="222"/>
        <v>5.5650000000000005E-2</v>
      </c>
      <c r="AK425" s="182">
        <f t="shared" si="223"/>
        <v>2.3077257367928001</v>
      </c>
      <c r="AM425" s="201">
        <f t="shared" si="189"/>
        <v>2.3649357367928001</v>
      </c>
      <c r="AN425" s="202">
        <f t="shared" si="229"/>
        <v>2.2960541133910679</v>
      </c>
      <c r="AO425" s="202">
        <f t="shared" si="229"/>
        <v>2.2291787508651146</v>
      </c>
      <c r="AP425" s="202">
        <f t="shared" si="232"/>
        <v>2.16425121443215</v>
      </c>
      <c r="AQ425" s="202">
        <f t="shared" si="232"/>
        <v>2.1012147712933498</v>
      </c>
      <c r="AR425" s="202">
        <f t="shared" si="232"/>
        <v>2.0400143410615046</v>
      </c>
      <c r="AS425" s="202">
        <f t="shared" si="232"/>
        <v>1.9805964476325288</v>
      </c>
      <c r="AT425" s="202">
        <f t="shared" si="232"/>
        <v>1.9229091724587657</v>
      </c>
      <c r="AU425" s="202">
        <f t="shared" si="232"/>
        <v>1.8669021091832678</v>
      </c>
      <c r="AV425" s="202">
        <f t="shared" si="232"/>
        <v>1.8125263195954056</v>
      </c>
      <c r="AW425" s="202">
        <f t="shared" si="232"/>
        <v>1.7597342908693259</v>
      </c>
      <c r="AX425" s="202">
        <f t="shared" si="232"/>
        <v>1.7084798940478891</v>
      </c>
      <c r="AY425" s="202">
        <f t="shared" si="232"/>
        <v>1.6587183437358151</v>
      </c>
      <c r="AZ425" s="202">
        <f t="shared" si="233"/>
        <v>1.6104061589668108</v>
      </c>
      <c r="BA425" s="202">
        <f t="shared" si="233"/>
        <v>1.5635011252104958</v>
      </c>
      <c r="BB425" s="202">
        <f t="shared" si="233"/>
        <v>1.517962257485918</v>
      </c>
      <c r="BC425" s="202">
        <f t="shared" si="233"/>
        <v>1.4737497645494353</v>
      </c>
      <c r="BD425" s="202">
        <f t="shared" si="233"/>
        <v>1.4308250141256653</v>
      </c>
      <c r="BE425" s="202">
        <f t="shared" si="233"/>
        <v>1.3891504991511314</v>
      </c>
      <c r="BF425" s="202">
        <f t="shared" si="233"/>
        <v>1.3486898050010985</v>
      </c>
      <c r="BG425" s="203">
        <f t="shared" si="191"/>
        <v>36.239800129849542</v>
      </c>
    </row>
    <row r="426" spans="27:59">
      <c r="AA426" s="180">
        <f t="shared" si="196"/>
        <v>1239000000</v>
      </c>
      <c r="AB426" s="41">
        <f t="shared" si="217"/>
        <v>1475</v>
      </c>
      <c r="AC426" s="21">
        <v>59</v>
      </c>
      <c r="AD426" s="21" t="s">
        <v>283</v>
      </c>
      <c r="AE426" s="175">
        <f t="shared" si="218"/>
        <v>30</v>
      </c>
      <c r="AF426" s="183">
        <f t="shared" si="219"/>
        <v>27</v>
      </c>
      <c r="AG426" s="84">
        <f t="shared" si="226"/>
        <v>0.39750000000000002</v>
      </c>
      <c r="AH426" s="242">
        <f t="shared" si="220"/>
        <v>0.159</v>
      </c>
      <c r="AI426" s="76">
        <f t="shared" si="221"/>
        <v>1.5600000000000002E-3</v>
      </c>
      <c r="AJ426" s="181">
        <f t="shared" si="222"/>
        <v>5.5650000000000005E-2</v>
      </c>
      <c r="AK426" s="182">
        <f t="shared" si="223"/>
        <v>2.3077257367928001</v>
      </c>
      <c r="AM426" s="201">
        <f t="shared" si="189"/>
        <v>2.3649357367928001</v>
      </c>
      <c r="AN426" s="202">
        <f t="shared" si="229"/>
        <v>2.2960541133910679</v>
      </c>
      <c r="AO426" s="202">
        <f t="shared" si="229"/>
        <v>2.2291787508651146</v>
      </c>
      <c r="AP426" s="202">
        <f t="shared" si="232"/>
        <v>2.16425121443215</v>
      </c>
      <c r="AQ426" s="202">
        <f t="shared" si="232"/>
        <v>2.1012147712933498</v>
      </c>
      <c r="AR426" s="202">
        <f t="shared" si="232"/>
        <v>2.0400143410615046</v>
      </c>
      <c r="AS426" s="202">
        <f t="shared" si="232"/>
        <v>1.9805964476325288</v>
      </c>
      <c r="AT426" s="202">
        <f t="shared" si="232"/>
        <v>1.9229091724587657</v>
      </c>
      <c r="AU426" s="202">
        <f t="shared" si="232"/>
        <v>1.8669021091832678</v>
      </c>
      <c r="AV426" s="202">
        <f t="shared" si="232"/>
        <v>1.8125263195954056</v>
      </c>
      <c r="AW426" s="202">
        <f t="shared" si="232"/>
        <v>1.7597342908693259</v>
      </c>
      <c r="AX426" s="202">
        <f t="shared" si="232"/>
        <v>1.7084798940478891</v>
      </c>
      <c r="AY426" s="202">
        <f t="shared" si="232"/>
        <v>1.6587183437358151</v>
      </c>
      <c r="AZ426" s="202">
        <f t="shared" si="233"/>
        <v>1.6104061589668108</v>
      </c>
      <c r="BA426" s="202">
        <f t="shared" si="233"/>
        <v>1.5635011252104958</v>
      </c>
      <c r="BB426" s="202">
        <f t="shared" si="233"/>
        <v>1.517962257485918</v>
      </c>
      <c r="BC426" s="202">
        <f t="shared" si="233"/>
        <v>1.4737497645494353</v>
      </c>
      <c r="BD426" s="202">
        <f t="shared" si="233"/>
        <v>1.4308250141256653</v>
      </c>
      <c r="BE426" s="202">
        <f t="shared" si="233"/>
        <v>1.3891504991511314</v>
      </c>
      <c r="BF426" s="202">
        <f t="shared" si="233"/>
        <v>1.3486898050010985</v>
      </c>
      <c r="BG426" s="203">
        <f t="shared" si="191"/>
        <v>36.239800129849542</v>
      </c>
    </row>
    <row r="427" spans="27:59">
      <c r="AA427" s="180">
        <f t="shared" si="196"/>
        <v>1260000000</v>
      </c>
      <c r="AB427" s="41">
        <f t="shared" si="217"/>
        <v>1500</v>
      </c>
      <c r="AC427" s="21">
        <v>60</v>
      </c>
      <c r="AD427" s="21" t="s">
        <v>283</v>
      </c>
      <c r="AE427" s="175">
        <f t="shared" si="218"/>
        <v>30</v>
      </c>
      <c r="AF427" s="183">
        <f t="shared" si="219"/>
        <v>27</v>
      </c>
      <c r="AG427" s="84">
        <f t="shared" si="226"/>
        <v>0.39750000000000002</v>
      </c>
      <c r="AH427" s="242">
        <f t="shared" si="220"/>
        <v>0.159</v>
      </c>
      <c r="AI427" s="76">
        <f t="shared" si="221"/>
        <v>1.5600000000000002E-3</v>
      </c>
      <c r="AJ427" s="181">
        <f t="shared" si="222"/>
        <v>5.5650000000000005E-2</v>
      </c>
      <c r="AK427" s="182">
        <f t="shared" si="223"/>
        <v>2.3077257367928001</v>
      </c>
      <c r="AM427" s="201">
        <f t="shared" si="189"/>
        <v>2.3649357367928001</v>
      </c>
      <c r="AN427" s="202">
        <f t="shared" ref="AN427:AO446" si="234">$AM427/POWER(1+($B$10/100),AN$366-2024)</f>
        <v>2.2960541133910679</v>
      </c>
      <c r="AO427" s="202">
        <f t="shared" si="234"/>
        <v>2.2291787508651146</v>
      </c>
      <c r="AP427" s="202">
        <f t="shared" si="232"/>
        <v>2.16425121443215</v>
      </c>
      <c r="AQ427" s="202">
        <f t="shared" si="232"/>
        <v>2.1012147712933498</v>
      </c>
      <c r="AR427" s="202">
        <f t="shared" si="232"/>
        <v>2.0400143410615046</v>
      </c>
      <c r="AS427" s="202">
        <f t="shared" si="232"/>
        <v>1.9805964476325288</v>
      </c>
      <c r="AT427" s="202">
        <f t="shared" si="232"/>
        <v>1.9229091724587657</v>
      </c>
      <c r="AU427" s="202">
        <f t="shared" si="232"/>
        <v>1.8669021091832678</v>
      </c>
      <c r="AV427" s="202">
        <f t="shared" si="232"/>
        <v>1.8125263195954056</v>
      </c>
      <c r="AW427" s="202">
        <f t="shared" si="232"/>
        <v>1.7597342908693259</v>
      </c>
      <c r="AX427" s="202">
        <f t="shared" si="232"/>
        <v>1.7084798940478891</v>
      </c>
      <c r="AY427" s="202">
        <f t="shared" si="232"/>
        <v>1.6587183437358151</v>
      </c>
      <c r="AZ427" s="202">
        <f t="shared" si="233"/>
        <v>1.6104061589668108</v>
      </c>
      <c r="BA427" s="202">
        <f t="shared" si="233"/>
        <v>1.5635011252104958</v>
      </c>
      <c r="BB427" s="202">
        <f t="shared" si="233"/>
        <v>1.517962257485918</v>
      </c>
      <c r="BC427" s="202">
        <f t="shared" si="233"/>
        <v>1.4737497645494353</v>
      </c>
      <c r="BD427" s="202">
        <f t="shared" si="233"/>
        <v>1.4308250141256653</v>
      </c>
      <c r="BE427" s="202">
        <f t="shared" si="233"/>
        <v>1.3891504991511314</v>
      </c>
      <c r="BF427" s="202">
        <f t="shared" si="233"/>
        <v>1.3486898050010985</v>
      </c>
      <c r="BG427" s="203">
        <f t="shared" si="191"/>
        <v>36.239800129849542</v>
      </c>
    </row>
    <row r="428" spans="27:59">
      <c r="AA428" s="180">
        <f t="shared" si="196"/>
        <v>1281000000</v>
      </c>
      <c r="AB428" s="41">
        <f t="shared" si="217"/>
        <v>1525</v>
      </c>
      <c r="AC428" s="21">
        <v>61</v>
      </c>
      <c r="AD428" s="21" t="s">
        <v>283</v>
      </c>
      <c r="AE428" s="175">
        <f t="shared" si="218"/>
        <v>30</v>
      </c>
      <c r="AF428" s="183">
        <f t="shared" si="219"/>
        <v>27</v>
      </c>
      <c r="AG428" s="84">
        <f t="shared" si="226"/>
        <v>0.39750000000000002</v>
      </c>
      <c r="AH428" s="242">
        <f t="shared" si="220"/>
        <v>0.159</v>
      </c>
      <c r="AI428" s="76">
        <f t="shared" si="221"/>
        <v>1.5600000000000002E-3</v>
      </c>
      <c r="AJ428" s="181">
        <f t="shared" si="222"/>
        <v>5.5650000000000005E-2</v>
      </c>
      <c r="AK428" s="182">
        <f t="shared" si="223"/>
        <v>2.3077257367928001</v>
      </c>
      <c r="AM428" s="201">
        <f t="shared" si="189"/>
        <v>2.3649357367928001</v>
      </c>
      <c r="AN428" s="202">
        <f t="shared" si="234"/>
        <v>2.2960541133910679</v>
      </c>
      <c r="AO428" s="202">
        <f t="shared" si="234"/>
        <v>2.2291787508651146</v>
      </c>
      <c r="AP428" s="202">
        <f t="shared" ref="AP428:AY437" si="235">$AM428/POWER(1+($B$10/100),AP$366-2024)</f>
        <v>2.16425121443215</v>
      </c>
      <c r="AQ428" s="202">
        <f t="shared" si="235"/>
        <v>2.1012147712933498</v>
      </c>
      <c r="AR428" s="202">
        <f t="shared" si="235"/>
        <v>2.0400143410615046</v>
      </c>
      <c r="AS428" s="202">
        <f t="shared" si="235"/>
        <v>1.9805964476325288</v>
      </c>
      <c r="AT428" s="202">
        <f t="shared" si="235"/>
        <v>1.9229091724587657</v>
      </c>
      <c r="AU428" s="202">
        <f t="shared" si="235"/>
        <v>1.8669021091832678</v>
      </c>
      <c r="AV428" s="202">
        <f t="shared" si="235"/>
        <v>1.8125263195954056</v>
      </c>
      <c r="AW428" s="202">
        <f t="shared" si="235"/>
        <v>1.7597342908693259</v>
      </c>
      <c r="AX428" s="202">
        <f t="shared" si="235"/>
        <v>1.7084798940478891</v>
      </c>
      <c r="AY428" s="202">
        <f t="shared" si="235"/>
        <v>1.6587183437358151</v>
      </c>
      <c r="AZ428" s="202">
        <f t="shared" ref="AZ428:BF437" si="236">$AM428/POWER(1+($B$10/100),AZ$366-2024)</f>
        <v>1.6104061589668108</v>
      </c>
      <c r="BA428" s="202">
        <f t="shared" si="236"/>
        <v>1.5635011252104958</v>
      </c>
      <c r="BB428" s="202">
        <f t="shared" si="236"/>
        <v>1.517962257485918</v>
      </c>
      <c r="BC428" s="202">
        <f t="shared" si="236"/>
        <v>1.4737497645494353</v>
      </c>
      <c r="BD428" s="202">
        <f t="shared" si="236"/>
        <v>1.4308250141256653</v>
      </c>
      <c r="BE428" s="202">
        <f t="shared" si="236"/>
        <v>1.3891504991511314</v>
      </c>
      <c r="BF428" s="202">
        <f t="shared" si="236"/>
        <v>1.3486898050010985</v>
      </c>
      <c r="BG428" s="203">
        <f t="shared" si="191"/>
        <v>36.239800129849542</v>
      </c>
    </row>
    <row r="429" spans="27:59">
      <c r="AA429" s="180">
        <f t="shared" si="196"/>
        <v>1302000000</v>
      </c>
      <c r="AB429" s="41">
        <f t="shared" si="217"/>
        <v>1550</v>
      </c>
      <c r="AC429" s="21">
        <v>62</v>
      </c>
      <c r="AD429" s="21" t="s">
        <v>283</v>
      </c>
      <c r="AE429" s="175">
        <f t="shared" si="218"/>
        <v>30</v>
      </c>
      <c r="AF429" s="183">
        <f t="shared" si="219"/>
        <v>27</v>
      </c>
      <c r="AG429" s="84">
        <f t="shared" si="226"/>
        <v>0.39750000000000002</v>
      </c>
      <c r="AH429" s="242">
        <f t="shared" si="220"/>
        <v>0.159</v>
      </c>
      <c r="AI429" s="76">
        <f t="shared" si="221"/>
        <v>1.5600000000000002E-3</v>
      </c>
      <c r="AJ429" s="181">
        <f t="shared" si="222"/>
        <v>5.5650000000000005E-2</v>
      </c>
      <c r="AK429" s="182">
        <f t="shared" si="223"/>
        <v>2.3077257367928001</v>
      </c>
      <c r="AM429" s="201">
        <f t="shared" si="189"/>
        <v>2.3649357367928001</v>
      </c>
      <c r="AN429" s="202">
        <f t="shared" si="234"/>
        <v>2.2960541133910679</v>
      </c>
      <c r="AO429" s="202">
        <f t="shared" si="234"/>
        <v>2.2291787508651146</v>
      </c>
      <c r="AP429" s="202">
        <f t="shared" si="235"/>
        <v>2.16425121443215</v>
      </c>
      <c r="AQ429" s="202">
        <f t="shared" si="235"/>
        <v>2.1012147712933498</v>
      </c>
      <c r="AR429" s="202">
        <f t="shared" si="235"/>
        <v>2.0400143410615046</v>
      </c>
      <c r="AS429" s="202">
        <f t="shared" si="235"/>
        <v>1.9805964476325288</v>
      </c>
      <c r="AT429" s="202">
        <f t="shared" si="235"/>
        <v>1.9229091724587657</v>
      </c>
      <c r="AU429" s="202">
        <f t="shared" si="235"/>
        <v>1.8669021091832678</v>
      </c>
      <c r="AV429" s="202">
        <f t="shared" si="235"/>
        <v>1.8125263195954056</v>
      </c>
      <c r="AW429" s="202">
        <f t="shared" si="235"/>
        <v>1.7597342908693259</v>
      </c>
      <c r="AX429" s="202">
        <f t="shared" si="235"/>
        <v>1.7084798940478891</v>
      </c>
      <c r="AY429" s="202">
        <f t="shared" si="235"/>
        <v>1.6587183437358151</v>
      </c>
      <c r="AZ429" s="202">
        <f t="shared" si="236"/>
        <v>1.6104061589668108</v>
      </c>
      <c r="BA429" s="202">
        <f t="shared" si="236"/>
        <v>1.5635011252104958</v>
      </c>
      <c r="BB429" s="202">
        <f t="shared" si="236"/>
        <v>1.517962257485918</v>
      </c>
      <c r="BC429" s="202">
        <f t="shared" si="236"/>
        <v>1.4737497645494353</v>
      </c>
      <c r="BD429" s="202">
        <f t="shared" si="236"/>
        <v>1.4308250141256653</v>
      </c>
      <c r="BE429" s="202">
        <f t="shared" si="236"/>
        <v>1.3891504991511314</v>
      </c>
      <c r="BF429" s="202">
        <f t="shared" si="236"/>
        <v>1.3486898050010985</v>
      </c>
      <c r="BG429" s="203">
        <f t="shared" si="191"/>
        <v>36.239800129849542</v>
      </c>
    </row>
    <row r="430" spans="27:59">
      <c r="AA430" s="180">
        <f t="shared" si="196"/>
        <v>1323000000</v>
      </c>
      <c r="AB430" s="41">
        <f t="shared" si="217"/>
        <v>1575</v>
      </c>
      <c r="AC430" s="21">
        <v>63</v>
      </c>
      <c r="AD430" s="21" t="s">
        <v>283</v>
      </c>
      <c r="AE430" s="175">
        <f t="shared" si="218"/>
        <v>30</v>
      </c>
      <c r="AF430" s="183">
        <f t="shared" si="219"/>
        <v>27</v>
      </c>
      <c r="AG430" s="84">
        <f t="shared" si="226"/>
        <v>0.39750000000000002</v>
      </c>
      <c r="AH430" s="242">
        <f t="shared" si="220"/>
        <v>0.159</v>
      </c>
      <c r="AI430" s="76">
        <f t="shared" si="221"/>
        <v>1.5600000000000002E-3</v>
      </c>
      <c r="AJ430" s="181">
        <f t="shared" si="222"/>
        <v>5.5650000000000005E-2</v>
      </c>
      <c r="AK430" s="182">
        <f t="shared" si="223"/>
        <v>2.3077257367928001</v>
      </c>
      <c r="AM430" s="201">
        <f t="shared" si="189"/>
        <v>2.3649357367928001</v>
      </c>
      <c r="AN430" s="202">
        <f t="shared" si="234"/>
        <v>2.2960541133910679</v>
      </c>
      <c r="AO430" s="202">
        <f t="shared" si="234"/>
        <v>2.2291787508651146</v>
      </c>
      <c r="AP430" s="202">
        <f t="shared" si="235"/>
        <v>2.16425121443215</v>
      </c>
      <c r="AQ430" s="202">
        <f t="shared" si="235"/>
        <v>2.1012147712933498</v>
      </c>
      <c r="AR430" s="202">
        <f t="shared" si="235"/>
        <v>2.0400143410615046</v>
      </c>
      <c r="AS430" s="202">
        <f t="shared" si="235"/>
        <v>1.9805964476325288</v>
      </c>
      <c r="AT430" s="202">
        <f t="shared" si="235"/>
        <v>1.9229091724587657</v>
      </c>
      <c r="AU430" s="202">
        <f t="shared" si="235"/>
        <v>1.8669021091832678</v>
      </c>
      <c r="AV430" s="202">
        <f t="shared" si="235"/>
        <v>1.8125263195954056</v>
      </c>
      <c r="AW430" s="202">
        <f t="shared" si="235"/>
        <v>1.7597342908693259</v>
      </c>
      <c r="AX430" s="202">
        <f t="shared" si="235"/>
        <v>1.7084798940478891</v>
      </c>
      <c r="AY430" s="202">
        <f t="shared" si="235"/>
        <v>1.6587183437358151</v>
      </c>
      <c r="AZ430" s="202">
        <f t="shared" si="236"/>
        <v>1.6104061589668108</v>
      </c>
      <c r="BA430" s="202">
        <f t="shared" si="236"/>
        <v>1.5635011252104958</v>
      </c>
      <c r="BB430" s="202">
        <f t="shared" si="236"/>
        <v>1.517962257485918</v>
      </c>
      <c r="BC430" s="202">
        <f t="shared" si="236"/>
        <v>1.4737497645494353</v>
      </c>
      <c r="BD430" s="202">
        <f t="shared" si="236"/>
        <v>1.4308250141256653</v>
      </c>
      <c r="BE430" s="202">
        <f t="shared" si="236"/>
        <v>1.3891504991511314</v>
      </c>
      <c r="BF430" s="202">
        <f t="shared" si="236"/>
        <v>1.3486898050010985</v>
      </c>
      <c r="BG430" s="203">
        <f t="shared" si="191"/>
        <v>36.239800129849542</v>
      </c>
    </row>
    <row r="431" spans="27:59">
      <c r="AA431" s="180">
        <f t="shared" si="196"/>
        <v>1344000000</v>
      </c>
      <c r="AB431" s="41">
        <f t="shared" si="217"/>
        <v>1600</v>
      </c>
      <c r="AC431" s="21">
        <v>64</v>
      </c>
      <c r="AD431" s="21" t="s">
        <v>283</v>
      </c>
      <c r="AE431" s="175">
        <f t="shared" si="218"/>
        <v>30</v>
      </c>
      <c r="AF431" s="183">
        <f t="shared" si="219"/>
        <v>27</v>
      </c>
      <c r="AG431" s="84">
        <f t="shared" si="226"/>
        <v>0.39750000000000002</v>
      </c>
      <c r="AH431" s="242">
        <f t="shared" si="220"/>
        <v>0.159</v>
      </c>
      <c r="AI431" s="76">
        <f t="shared" si="221"/>
        <v>1.5600000000000002E-3</v>
      </c>
      <c r="AJ431" s="181">
        <f t="shared" si="222"/>
        <v>5.5650000000000005E-2</v>
      </c>
      <c r="AK431" s="182">
        <f t="shared" si="223"/>
        <v>2.3077257367928001</v>
      </c>
      <c r="AM431" s="201">
        <f t="shared" ref="AM431:AM494" si="237">(AI431+AJ431+AK431)</f>
        <v>2.3649357367928001</v>
      </c>
      <c r="AN431" s="202">
        <f t="shared" si="234"/>
        <v>2.2960541133910679</v>
      </c>
      <c r="AO431" s="202">
        <f t="shared" si="234"/>
        <v>2.2291787508651146</v>
      </c>
      <c r="AP431" s="202">
        <f t="shared" si="235"/>
        <v>2.16425121443215</v>
      </c>
      <c r="AQ431" s="202">
        <f t="shared" si="235"/>
        <v>2.1012147712933498</v>
      </c>
      <c r="AR431" s="202">
        <f t="shared" si="235"/>
        <v>2.0400143410615046</v>
      </c>
      <c r="AS431" s="202">
        <f t="shared" si="235"/>
        <v>1.9805964476325288</v>
      </c>
      <c r="AT431" s="202">
        <f t="shared" si="235"/>
        <v>1.9229091724587657</v>
      </c>
      <c r="AU431" s="202">
        <f t="shared" si="235"/>
        <v>1.8669021091832678</v>
      </c>
      <c r="AV431" s="202">
        <f t="shared" si="235"/>
        <v>1.8125263195954056</v>
      </c>
      <c r="AW431" s="202">
        <f t="shared" si="235"/>
        <v>1.7597342908693259</v>
      </c>
      <c r="AX431" s="202">
        <f t="shared" si="235"/>
        <v>1.7084798940478891</v>
      </c>
      <c r="AY431" s="202">
        <f t="shared" si="235"/>
        <v>1.6587183437358151</v>
      </c>
      <c r="AZ431" s="202">
        <f t="shared" si="236"/>
        <v>1.6104061589668108</v>
      </c>
      <c r="BA431" s="202">
        <f t="shared" si="236"/>
        <v>1.5635011252104958</v>
      </c>
      <c r="BB431" s="202">
        <f t="shared" si="236"/>
        <v>1.517962257485918</v>
      </c>
      <c r="BC431" s="202">
        <f t="shared" si="236"/>
        <v>1.4737497645494353</v>
      </c>
      <c r="BD431" s="202">
        <f t="shared" si="236"/>
        <v>1.4308250141256653</v>
      </c>
      <c r="BE431" s="202">
        <f t="shared" si="236"/>
        <v>1.3891504991511314</v>
      </c>
      <c r="BF431" s="202">
        <f t="shared" si="236"/>
        <v>1.3486898050010985</v>
      </c>
      <c r="BG431" s="203">
        <f t="shared" ref="BG431:BG494" si="238">SUM(AM431:BF431)</f>
        <v>36.239800129849542</v>
      </c>
    </row>
    <row r="432" spans="27:59">
      <c r="AA432" s="180">
        <f t="shared" si="196"/>
        <v>1365000000</v>
      </c>
      <c r="AB432" s="41">
        <f t="shared" si="217"/>
        <v>1625</v>
      </c>
      <c r="AC432" s="21">
        <v>65</v>
      </c>
      <c r="AD432" s="21" t="s">
        <v>283</v>
      </c>
      <c r="AE432" s="175">
        <f t="shared" si="218"/>
        <v>30</v>
      </c>
      <c r="AF432" s="183">
        <f t="shared" si="219"/>
        <v>27</v>
      </c>
      <c r="AG432" s="84">
        <f t="shared" si="226"/>
        <v>0.39750000000000002</v>
      </c>
      <c r="AH432" s="242">
        <f t="shared" si="220"/>
        <v>0.159</v>
      </c>
      <c r="AI432" s="76">
        <f t="shared" si="221"/>
        <v>1.5600000000000002E-3</v>
      </c>
      <c r="AJ432" s="181">
        <f t="shared" si="222"/>
        <v>5.5650000000000005E-2</v>
      </c>
      <c r="AK432" s="182">
        <f t="shared" si="223"/>
        <v>2.3077257367928001</v>
      </c>
      <c r="AM432" s="201">
        <f t="shared" si="237"/>
        <v>2.3649357367928001</v>
      </c>
      <c r="AN432" s="202">
        <f t="shared" si="234"/>
        <v>2.2960541133910679</v>
      </c>
      <c r="AO432" s="202">
        <f t="shared" si="234"/>
        <v>2.2291787508651146</v>
      </c>
      <c r="AP432" s="202">
        <f t="shared" si="235"/>
        <v>2.16425121443215</v>
      </c>
      <c r="AQ432" s="202">
        <f t="shared" si="235"/>
        <v>2.1012147712933498</v>
      </c>
      <c r="AR432" s="202">
        <f t="shared" si="235"/>
        <v>2.0400143410615046</v>
      </c>
      <c r="AS432" s="202">
        <f t="shared" si="235"/>
        <v>1.9805964476325288</v>
      </c>
      <c r="AT432" s="202">
        <f t="shared" si="235"/>
        <v>1.9229091724587657</v>
      </c>
      <c r="AU432" s="202">
        <f t="shared" si="235"/>
        <v>1.8669021091832678</v>
      </c>
      <c r="AV432" s="202">
        <f t="shared" si="235"/>
        <v>1.8125263195954056</v>
      </c>
      <c r="AW432" s="202">
        <f t="shared" si="235"/>
        <v>1.7597342908693259</v>
      </c>
      <c r="AX432" s="202">
        <f t="shared" si="235"/>
        <v>1.7084798940478891</v>
      </c>
      <c r="AY432" s="202">
        <f t="shared" si="235"/>
        <v>1.6587183437358151</v>
      </c>
      <c r="AZ432" s="202">
        <f t="shared" si="236"/>
        <v>1.6104061589668108</v>
      </c>
      <c r="BA432" s="202">
        <f t="shared" si="236"/>
        <v>1.5635011252104958</v>
      </c>
      <c r="BB432" s="202">
        <f t="shared" si="236"/>
        <v>1.517962257485918</v>
      </c>
      <c r="BC432" s="202">
        <f t="shared" si="236"/>
        <v>1.4737497645494353</v>
      </c>
      <c r="BD432" s="202">
        <f t="shared" si="236"/>
        <v>1.4308250141256653</v>
      </c>
      <c r="BE432" s="202">
        <f t="shared" si="236"/>
        <v>1.3891504991511314</v>
      </c>
      <c r="BF432" s="202">
        <f t="shared" si="236"/>
        <v>1.3486898050010985</v>
      </c>
      <c r="BG432" s="203">
        <f t="shared" si="238"/>
        <v>36.239800129849542</v>
      </c>
    </row>
    <row r="433" spans="27:59">
      <c r="AA433" s="180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283</v>
      </c>
      <c r="AE433" s="175">
        <f t="shared" si="218"/>
        <v>30</v>
      </c>
      <c r="AF433" s="183">
        <f t="shared" si="219"/>
        <v>27</v>
      </c>
      <c r="AG433" s="84">
        <f t="shared" si="226"/>
        <v>0.39750000000000002</v>
      </c>
      <c r="AH433" s="242">
        <f t="shared" si="220"/>
        <v>0.159</v>
      </c>
      <c r="AI433" s="76">
        <f t="shared" si="221"/>
        <v>1.5600000000000002E-3</v>
      </c>
      <c r="AJ433" s="181">
        <f t="shared" si="222"/>
        <v>5.5650000000000005E-2</v>
      </c>
      <c r="AK433" s="182">
        <f t="shared" si="223"/>
        <v>2.3077257367928001</v>
      </c>
      <c r="AM433" s="201">
        <f t="shared" si="237"/>
        <v>2.3649357367928001</v>
      </c>
      <c r="AN433" s="202">
        <f t="shared" si="234"/>
        <v>2.2960541133910679</v>
      </c>
      <c r="AO433" s="202">
        <f t="shared" si="234"/>
        <v>2.2291787508651146</v>
      </c>
      <c r="AP433" s="202">
        <f t="shared" si="235"/>
        <v>2.16425121443215</v>
      </c>
      <c r="AQ433" s="202">
        <f t="shared" si="235"/>
        <v>2.1012147712933498</v>
      </c>
      <c r="AR433" s="202">
        <f t="shared" si="235"/>
        <v>2.0400143410615046</v>
      </c>
      <c r="AS433" s="202">
        <f t="shared" si="235"/>
        <v>1.9805964476325288</v>
      </c>
      <c r="AT433" s="202">
        <f t="shared" si="235"/>
        <v>1.9229091724587657</v>
      </c>
      <c r="AU433" s="202">
        <f t="shared" si="235"/>
        <v>1.8669021091832678</v>
      </c>
      <c r="AV433" s="202">
        <f t="shared" si="235"/>
        <v>1.8125263195954056</v>
      </c>
      <c r="AW433" s="202">
        <f t="shared" si="235"/>
        <v>1.7597342908693259</v>
      </c>
      <c r="AX433" s="202">
        <f t="shared" si="235"/>
        <v>1.7084798940478891</v>
      </c>
      <c r="AY433" s="202">
        <f t="shared" si="235"/>
        <v>1.6587183437358151</v>
      </c>
      <c r="AZ433" s="202">
        <f t="shared" si="236"/>
        <v>1.6104061589668108</v>
      </c>
      <c r="BA433" s="202">
        <f t="shared" si="236"/>
        <v>1.5635011252104958</v>
      </c>
      <c r="BB433" s="202">
        <f t="shared" si="236"/>
        <v>1.517962257485918</v>
      </c>
      <c r="BC433" s="202">
        <f t="shared" si="236"/>
        <v>1.4737497645494353</v>
      </c>
      <c r="BD433" s="202">
        <f t="shared" si="236"/>
        <v>1.4308250141256653</v>
      </c>
      <c r="BE433" s="202">
        <f t="shared" si="236"/>
        <v>1.3891504991511314</v>
      </c>
      <c r="BF433" s="202">
        <f t="shared" si="236"/>
        <v>1.3486898050010985</v>
      </c>
      <c r="BG433" s="203">
        <f t="shared" si="238"/>
        <v>36.239800129849542</v>
      </c>
    </row>
    <row r="434" spans="27:59">
      <c r="AA434" s="180">
        <f t="shared" si="239"/>
        <v>1407000000</v>
      </c>
      <c r="AB434" s="41">
        <f t="shared" si="240"/>
        <v>1675</v>
      </c>
      <c r="AC434" s="21">
        <v>67</v>
      </c>
      <c r="AD434" s="21" t="s">
        <v>283</v>
      </c>
      <c r="AE434" s="175">
        <f t="shared" si="218"/>
        <v>30</v>
      </c>
      <c r="AF434" s="183">
        <f t="shared" si="219"/>
        <v>27</v>
      </c>
      <c r="AG434" s="84">
        <f t="shared" si="226"/>
        <v>0.39750000000000002</v>
      </c>
      <c r="AH434" s="242">
        <f t="shared" si="220"/>
        <v>0.159</v>
      </c>
      <c r="AI434" s="76">
        <f t="shared" si="221"/>
        <v>1.5600000000000002E-3</v>
      </c>
      <c r="AJ434" s="181">
        <f t="shared" si="222"/>
        <v>5.5650000000000005E-2</v>
      </c>
      <c r="AK434" s="182">
        <f t="shared" si="223"/>
        <v>2.3077257367928001</v>
      </c>
      <c r="AM434" s="201">
        <f t="shared" si="237"/>
        <v>2.3649357367928001</v>
      </c>
      <c r="AN434" s="202">
        <f t="shared" si="234"/>
        <v>2.2960541133910679</v>
      </c>
      <c r="AO434" s="202">
        <f t="shared" si="234"/>
        <v>2.2291787508651146</v>
      </c>
      <c r="AP434" s="202">
        <f t="shared" si="235"/>
        <v>2.16425121443215</v>
      </c>
      <c r="AQ434" s="202">
        <f t="shared" si="235"/>
        <v>2.1012147712933498</v>
      </c>
      <c r="AR434" s="202">
        <f t="shared" si="235"/>
        <v>2.0400143410615046</v>
      </c>
      <c r="AS434" s="202">
        <f t="shared" si="235"/>
        <v>1.9805964476325288</v>
      </c>
      <c r="AT434" s="202">
        <f t="shared" si="235"/>
        <v>1.9229091724587657</v>
      </c>
      <c r="AU434" s="202">
        <f t="shared" si="235"/>
        <v>1.8669021091832678</v>
      </c>
      <c r="AV434" s="202">
        <f t="shared" si="235"/>
        <v>1.8125263195954056</v>
      </c>
      <c r="AW434" s="202">
        <f t="shared" si="235"/>
        <v>1.7597342908693259</v>
      </c>
      <c r="AX434" s="202">
        <f t="shared" si="235"/>
        <v>1.7084798940478891</v>
      </c>
      <c r="AY434" s="202">
        <f t="shared" si="235"/>
        <v>1.6587183437358151</v>
      </c>
      <c r="AZ434" s="202">
        <f t="shared" si="236"/>
        <v>1.6104061589668108</v>
      </c>
      <c r="BA434" s="202">
        <f t="shared" si="236"/>
        <v>1.5635011252104958</v>
      </c>
      <c r="BB434" s="202">
        <f t="shared" si="236"/>
        <v>1.517962257485918</v>
      </c>
      <c r="BC434" s="202">
        <f t="shared" si="236"/>
        <v>1.4737497645494353</v>
      </c>
      <c r="BD434" s="202">
        <f t="shared" si="236"/>
        <v>1.4308250141256653</v>
      </c>
      <c r="BE434" s="202">
        <f t="shared" si="236"/>
        <v>1.3891504991511314</v>
      </c>
      <c r="BF434" s="202">
        <f t="shared" si="236"/>
        <v>1.3486898050010985</v>
      </c>
      <c r="BG434" s="203">
        <f t="shared" si="238"/>
        <v>36.239800129849542</v>
      </c>
    </row>
    <row r="435" spans="27:59">
      <c r="AA435" s="180">
        <f t="shared" si="239"/>
        <v>1428000000</v>
      </c>
      <c r="AB435" s="41">
        <f t="shared" si="240"/>
        <v>1700</v>
      </c>
      <c r="AC435" s="21">
        <v>68</v>
      </c>
      <c r="AD435" s="21" t="s">
        <v>283</v>
      </c>
      <c r="AE435" s="175">
        <f t="shared" si="218"/>
        <v>30</v>
      </c>
      <c r="AF435" s="183">
        <f t="shared" si="219"/>
        <v>27</v>
      </c>
      <c r="AG435" s="84">
        <f t="shared" si="226"/>
        <v>0.39750000000000002</v>
      </c>
      <c r="AH435" s="242">
        <f t="shared" si="220"/>
        <v>0.159</v>
      </c>
      <c r="AI435" s="76">
        <f t="shared" si="221"/>
        <v>1.5600000000000002E-3</v>
      </c>
      <c r="AJ435" s="181">
        <f t="shared" si="222"/>
        <v>5.5650000000000005E-2</v>
      </c>
      <c r="AK435" s="182">
        <f t="shared" si="223"/>
        <v>2.3077257367928001</v>
      </c>
      <c r="AM435" s="201">
        <f t="shared" si="237"/>
        <v>2.3649357367928001</v>
      </c>
      <c r="AN435" s="202">
        <f t="shared" si="234"/>
        <v>2.2960541133910679</v>
      </c>
      <c r="AO435" s="202">
        <f t="shared" si="234"/>
        <v>2.2291787508651146</v>
      </c>
      <c r="AP435" s="202">
        <f t="shared" si="235"/>
        <v>2.16425121443215</v>
      </c>
      <c r="AQ435" s="202">
        <f t="shared" si="235"/>
        <v>2.1012147712933498</v>
      </c>
      <c r="AR435" s="202">
        <f t="shared" si="235"/>
        <v>2.0400143410615046</v>
      </c>
      <c r="AS435" s="202">
        <f t="shared" si="235"/>
        <v>1.9805964476325288</v>
      </c>
      <c r="AT435" s="202">
        <f t="shared" si="235"/>
        <v>1.9229091724587657</v>
      </c>
      <c r="AU435" s="202">
        <f t="shared" si="235"/>
        <v>1.8669021091832678</v>
      </c>
      <c r="AV435" s="202">
        <f t="shared" si="235"/>
        <v>1.8125263195954056</v>
      </c>
      <c r="AW435" s="202">
        <f t="shared" si="235"/>
        <v>1.7597342908693259</v>
      </c>
      <c r="AX435" s="202">
        <f t="shared" si="235"/>
        <v>1.7084798940478891</v>
      </c>
      <c r="AY435" s="202">
        <f t="shared" si="235"/>
        <v>1.6587183437358151</v>
      </c>
      <c r="AZ435" s="202">
        <f t="shared" si="236"/>
        <v>1.6104061589668108</v>
      </c>
      <c r="BA435" s="202">
        <f t="shared" si="236"/>
        <v>1.5635011252104958</v>
      </c>
      <c r="BB435" s="202">
        <f t="shared" si="236"/>
        <v>1.517962257485918</v>
      </c>
      <c r="BC435" s="202">
        <f t="shared" si="236"/>
        <v>1.4737497645494353</v>
      </c>
      <c r="BD435" s="202">
        <f t="shared" si="236"/>
        <v>1.4308250141256653</v>
      </c>
      <c r="BE435" s="202">
        <f t="shared" si="236"/>
        <v>1.3891504991511314</v>
      </c>
      <c r="BF435" s="202">
        <f t="shared" si="236"/>
        <v>1.3486898050010985</v>
      </c>
      <c r="BG435" s="203">
        <f t="shared" si="238"/>
        <v>36.239800129849542</v>
      </c>
    </row>
    <row r="436" spans="27:59">
      <c r="AA436" s="180">
        <f t="shared" si="239"/>
        <v>1449000000</v>
      </c>
      <c r="AB436" s="41">
        <f t="shared" si="240"/>
        <v>1725</v>
      </c>
      <c r="AC436" s="21">
        <v>69</v>
      </c>
      <c r="AD436" s="21" t="s">
        <v>283</v>
      </c>
      <c r="AE436" s="175">
        <f t="shared" si="218"/>
        <v>30</v>
      </c>
      <c r="AF436" s="183">
        <f t="shared" si="219"/>
        <v>27</v>
      </c>
      <c r="AG436" s="84">
        <f t="shared" si="226"/>
        <v>0.39750000000000002</v>
      </c>
      <c r="AH436" s="242">
        <f t="shared" si="220"/>
        <v>0.159</v>
      </c>
      <c r="AI436" s="76">
        <f t="shared" si="221"/>
        <v>1.5600000000000002E-3</v>
      </c>
      <c r="AJ436" s="181">
        <f t="shared" si="222"/>
        <v>5.5650000000000005E-2</v>
      </c>
      <c r="AK436" s="182">
        <f t="shared" si="223"/>
        <v>2.3077257367928001</v>
      </c>
      <c r="AM436" s="201">
        <f t="shared" si="237"/>
        <v>2.3649357367928001</v>
      </c>
      <c r="AN436" s="202">
        <f t="shared" si="234"/>
        <v>2.2960541133910679</v>
      </c>
      <c r="AO436" s="202">
        <f t="shared" si="234"/>
        <v>2.2291787508651146</v>
      </c>
      <c r="AP436" s="202">
        <f t="shared" si="235"/>
        <v>2.16425121443215</v>
      </c>
      <c r="AQ436" s="202">
        <f t="shared" si="235"/>
        <v>2.1012147712933498</v>
      </c>
      <c r="AR436" s="202">
        <f t="shared" si="235"/>
        <v>2.0400143410615046</v>
      </c>
      <c r="AS436" s="202">
        <f t="shared" si="235"/>
        <v>1.9805964476325288</v>
      </c>
      <c r="AT436" s="202">
        <f t="shared" si="235"/>
        <v>1.9229091724587657</v>
      </c>
      <c r="AU436" s="202">
        <f t="shared" si="235"/>
        <v>1.8669021091832678</v>
      </c>
      <c r="AV436" s="202">
        <f t="shared" si="235"/>
        <v>1.8125263195954056</v>
      </c>
      <c r="AW436" s="202">
        <f t="shared" si="235"/>
        <v>1.7597342908693259</v>
      </c>
      <c r="AX436" s="202">
        <f t="shared" si="235"/>
        <v>1.7084798940478891</v>
      </c>
      <c r="AY436" s="202">
        <f t="shared" si="235"/>
        <v>1.6587183437358151</v>
      </c>
      <c r="AZ436" s="202">
        <f t="shared" si="236"/>
        <v>1.6104061589668108</v>
      </c>
      <c r="BA436" s="202">
        <f t="shared" si="236"/>
        <v>1.5635011252104958</v>
      </c>
      <c r="BB436" s="202">
        <f t="shared" si="236"/>
        <v>1.517962257485918</v>
      </c>
      <c r="BC436" s="202">
        <f t="shared" si="236"/>
        <v>1.4737497645494353</v>
      </c>
      <c r="BD436" s="202">
        <f t="shared" si="236"/>
        <v>1.4308250141256653</v>
      </c>
      <c r="BE436" s="202">
        <f t="shared" si="236"/>
        <v>1.3891504991511314</v>
      </c>
      <c r="BF436" s="202">
        <f t="shared" si="236"/>
        <v>1.3486898050010985</v>
      </c>
      <c r="BG436" s="203">
        <f t="shared" si="238"/>
        <v>36.239800129849542</v>
      </c>
    </row>
    <row r="437" spans="27:59">
      <c r="AA437" s="180">
        <f t="shared" si="239"/>
        <v>1470000000</v>
      </c>
      <c r="AB437" s="41">
        <f t="shared" si="240"/>
        <v>1750</v>
      </c>
      <c r="AC437" s="21">
        <v>70</v>
      </c>
      <c r="AD437" s="21" t="s">
        <v>283</v>
      </c>
      <c r="AE437" s="175">
        <f t="shared" si="218"/>
        <v>30</v>
      </c>
      <c r="AF437" s="183">
        <f t="shared" si="219"/>
        <v>27</v>
      </c>
      <c r="AG437" s="84">
        <f t="shared" si="226"/>
        <v>0.39750000000000002</v>
      </c>
      <c r="AH437" s="242">
        <f t="shared" si="220"/>
        <v>0.159</v>
      </c>
      <c r="AI437" s="76">
        <f t="shared" si="221"/>
        <v>1.5600000000000002E-3</v>
      </c>
      <c r="AJ437" s="181">
        <f t="shared" si="222"/>
        <v>5.5650000000000005E-2</v>
      </c>
      <c r="AK437" s="182">
        <f t="shared" si="223"/>
        <v>2.3077257367928001</v>
      </c>
      <c r="AM437" s="201">
        <f t="shared" si="237"/>
        <v>2.3649357367928001</v>
      </c>
      <c r="AN437" s="202">
        <f t="shared" si="234"/>
        <v>2.2960541133910679</v>
      </c>
      <c r="AO437" s="202">
        <f t="shared" si="234"/>
        <v>2.2291787508651146</v>
      </c>
      <c r="AP437" s="202">
        <f t="shared" si="235"/>
        <v>2.16425121443215</v>
      </c>
      <c r="AQ437" s="202">
        <f t="shared" si="235"/>
        <v>2.1012147712933498</v>
      </c>
      <c r="AR437" s="202">
        <f t="shared" si="235"/>
        <v>2.0400143410615046</v>
      </c>
      <c r="AS437" s="202">
        <f t="shared" si="235"/>
        <v>1.9805964476325288</v>
      </c>
      <c r="AT437" s="202">
        <f t="shared" si="235"/>
        <v>1.9229091724587657</v>
      </c>
      <c r="AU437" s="202">
        <f t="shared" si="235"/>
        <v>1.8669021091832678</v>
      </c>
      <c r="AV437" s="202">
        <f t="shared" si="235"/>
        <v>1.8125263195954056</v>
      </c>
      <c r="AW437" s="202">
        <f t="shared" si="235"/>
        <v>1.7597342908693259</v>
      </c>
      <c r="AX437" s="202">
        <f t="shared" si="235"/>
        <v>1.7084798940478891</v>
      </c>
      <c r="AY437" s="202">
        <f t="shared" si="235"/>
        <v>1.6587183437358151</v>
      </c>
      <c r="AZ437" s="202">
        <f t="shared" si="236"/>
        <v>1.6104061589668108</v>
      </c>
      <c r="BA437" s="202">
        <f t="shared" si="236"/>
        <v>1.5635011252104958</v>
      </c>
      <c r="BB437" s="202">
        <f t="shared" si="236"/>
        <v>1.517962257485918</v>
      </c>
      <c r="BC437" s="202">
        <f t="shared" si="236"/>
        <v>1.4737497645494353</v>
      </c>
      <c r="BD437" s="202">
        <f t="shared" si="236"/>
        <v>1.4308250141256653</v>
      </c>
      <c r="BE437" s="202">
        <f t="shared" si="236"/>
        <v>1.3891504991511314</v>
      </c>
      <c r="BF437" s="202">
        <f t="shared" si="236"/>
        <v>1.3486898050010985</v>
      </c>
      <c r="BG437" s="203">
        <f t="shared" si="238"/>
        <v>36.239800129849542</v>
      </c>
    </row>
    <row r="438" spans="27:59">
      <c r="AA438" s="180">
        <f t="shared" si="239"/>
        <v>1491000000</v>
      </c>
      <c r="AB438" s="41">
        <f t="shared" si="240"/>
        <v>1775</v>
      </c>
      <c r="AC438" s="21">
        <v>71</v>
      </c>
      <c r="AD438" s="21" t="s">
        <v>283</v>
      </c>
      <c r="AE438" s="175">
        <f t="shared" si="218"/>
        <v>30</v>
      </c>
      <c r="AF438" s="183">
        <f t="shared" si="219"/>
        <v>27</v>
      </c>
      <c r="AG438" s="84">
        <f t="shared" si="226"/>
        <v>0.39750000000000002</v>
      </c>
      <c r="AH438" s="242">
        <f t="shared" si="220"/>
        <v>0.159</v>
      </c>
      <c r="AI438" s="76">
        <f t="shared" si="221"/>
        <v>1.5600000000000002E-3</v>
      </c>
      <c r="AJ438" s="181">
        <f t="shared" si="222"/>
        <v>5.5650000000000005E-2</v>
      </c>
      <c r="AK438" s="182">
        <f t="shared" si="223"/>
        <v>2.3077257367928001</v>
      </c>
      <c r="AM438" s="201">
        <f t="shared" si="237"/>
        <v>2.3649357367928001</v>
      </c>
      <c r="AN438" s="202">
        <f t="shared" si="234"/>
        <v>2.2960541133910679</v>
      </c>
      <c r="AO438" s="202">
        <f t="shared" si="234"/>
        <v>2.2291787508651146</v>
      </c>
      <c r="AP438" s="202">
        <f t="shared" ref="AP438:AY447" si="241">$AM438/POWER(1+($B$10/100),AP$366-2024)</f>
        <v>2.16425121443215</v>
      </c>
      <c r="AQ438" s="202">
        <f t="shared" si="241"/>
        <v>2.1012147712933498</v>
      </c>
      <c r="AR438" s="202">
        <f t="shared" si="241"/>
        <v>2.0400143410615046</v>
      </c>
      <c r="AS438" s="202">
        <f t="shared" si="241"/>
        <v>1.9805964476325288</v>
      </c>
      <c r="AT438" s="202">
        <f t="shared" si="241"/>
        <v>1.9229091724587657</v>
      </c>
      <c r="AU438" s="202">
        <f t="shared" si="241"/>
        <v>1.8669021091832678</v>
      </c>
      <c r="AV438" s="202">
        <f t="shared" si="241"/>
        <v>1.8125263195954056</v>
      </c>
      <c r="AW438" s="202">
        <f t="shared" si="241"/>
        <v>1.7597342908693259</v>
      </c>
      <c r="AX438" s="202">
        <f t="shared" si="241"/>
        <v>1.7084798940478891</v>
      </c>
      <c r="AY438" s="202">
        <f t="shared" si="241"/>
        <v>1.6587183437358151</v>
      </c>
      <c r="AZ438" s="202">
        <f t="shared" ref="AZ438:BF447" si="242">$AM438/POWER(1+($B$10/100),AZ$366-2024)</f>
        <v>1.6104061589668108</v>
      </c>
      <c r="BA438" s="202">
        <f t="shared" si="242"/>
        <v>1.5635011252104958</v>
      </c>
      <c r="BB438" s="202">
        <f t="shared" si="242"/>
        <v>1.517962257485918</v>
      </c>
      <c r="BC438" s="202">
        <f t="shared" si="242"/>
        <v>1.4737497645494353</v>
      </c>
      <c r="BD438" s="202">
        <f t="shared" si="242"/>
        <v>1.4308250141256653</v>
      </c>
      <c r="BE438" s="202">
        <f t="shared" si="242"/>
        <v>1.3891504991511314</v>
      </c>
      <c r="BF438" s="202">
        <f t="shared" si="242"/>
        <v>1.3486898050010985</v>
      </c>
      <c r="BG438" s="203">
        <f t="shared" si="238"/>
        <v>36.239800129849542</v>
      </c>
    </row>
    <row r="439" spans="27:59">
      <c r="AA439" s="180">
        <f t="shared" si="239"/>
        <v>1512000000</v>
      </c>
      <c r="AB439" s="41">
        <f t="shared" si="240"/>
        <v>1800</v>
      </c>
      <c r="AC439" s="21">
        <v>72</v>
      </c>
      <c r="AD439" s="21" t="s">
        <v>283</v>
      </c>
      <c r="AE439" s="175">
        <f t="shared" si="218"/>
        <v>30</v>
      </c>
      <c r="AF439" s="183">
        <f t="shared" si="219"/>
        <v>27</v>
      </c>
      <c r="AG439" s="84">
        <f t="shared" si="226"/>
        <v>0.39750000000000002</v>
      </c>
      <c r="AH439" s="242">
        <f t="shared" si="220"/>
        <v>0.159</v>
      </c>
      <c r="AI439" s="76">
        <f t="shared" si="221"/>
        <v>1.5600000000000002E-3</v>
      </c>
      <c r="AJ439" s="181">
        <f t="shared" si="222"/>
        <v>5.5650000000000005E-2</v>
      </c>
      <c r="AK439" s="182">
        <f t="shared" si="223"/>
        <v>2.3077257367928001</v>
      </c>
      <c r="AM439" s="201">
        <f t="shared" si="237"/>
        <v>2.3649357367928001</v>
      </c>
      <c r="AN439" s="202">
        <f t="shared" si="234"/>
        <v>2.2960541133910679</v>
      </c>
      <c r="AO439" s="202">
        <f t="shared" si="234"/>
        <v>2.2291787508651146</v>
      </c>
      <c r="AP439" s="202">
        <f t="shared" si="241"/>
        <v>2.16425121443215</v>
      </c>
      <c r="AQ439" s="202">
        <f t="shared" si="241"/>
        <v>2.1012147712933498</v>
      </c>
      <c r="AR439" s="202">
        <f t="shared" si="241"/>
        <v>2.0400143410615046</v>
      </c>
      <c r="AS439" s="202">
        <f t="shared" si="241"/>
        <v>1.9805964476325288</v>
      </c>
      <c r="AT439" s="202">
        <f t="shared" si="241"/>
        <v>1.9229091724587657</v>
      </c>
      <c r="AU439" s="202">
        <f t="shared" si="241"/>
        <v>1.8669021091832678</v>
      </c>
      <c r="AV439" s="202">
        <f t="shared" si="241"/>
        <v>1.8125263195954056</v>
      </c>
      <c r="AW439" s="202">
        <f t="shared" si="241"/>
        <v>1.7597342908693259</v>
      </c>
      <c r="AX439" s="202">
        <f t="shared" si="241"/>
        <v>1.7084798940478891</v>
      </c>
      <c r="AY439" s="202">
        <f t="shared" si="241"/>
        <v>1.6587183437358151</v>
      </c>
      <c r="AZ439" s="202">
        <f t="shared" si="242"/>
        <v>1.6104061589668108</v>
      </c>
      <c r="BA439" s="202">
        <f t="shared" si="242"/>
        <v>1.5635011252104958</v>
      </c>
      <c r="BB439" s="202">
        <f t="shared" si="242"/>
        <v>1.517962257485918</v>
      </c>
      <c r="BC439" s="202">
        <f t="shared" si="242"/>
        <v>1.4737497645494353</v>
      </c>
      <c r="BD439" s="202">
        <f t="shared" si="242"/>
        <v>1.4308250141256653</v>
      </c>
      <c r="BE439" s="202">
        <f t="shared" si="242"/>
        <v>1.3891504991511314</v>
      </c>
      <c r="BF439" s="202">
        <f t="shared" si="242"/>
        <v>1.3486898050010985</v>
      </c>
      <c r="BG439" s="203">
        <f t="shared" si="238"/>
        <v>36.239800129849542</v>
      </c>
    </row>
    <row r="440" spans="27:59">
      <c r="AA440" s="180">
        <f t="shared" si="239"/>
        <v>1533000000</v>
      </c>
      <c r="AB440" s="41">
        <f t="shared" si="240"/>
        <v>1825</v>
      </c>
      <c r="AC440" s="21">
        <v>73</v>
      </c>
      <c r="AD440" s="21" t="s">
        <v>283</v>
      </c>
      <c r="AE440" s="175">
        <f t="shared" si="218"/>
        <v>30</v>
      </c>
      <c r="AF440" s="183">
        <f t="shared" si="219"/>
        <v>27</v>
      </c>
      <c r="AG440" s="84">
        <f t="shared" si="226"/>
        <v>0.39750000000000002</v>
      </c>
      <c r="AH440" s="242">
        <f t="shared" si="220"/>
        <v>0.159</v>
      </c>
      <c r="AI440" s="76">
        <f t="shared" si="221"/>
        <v>1.5600000000000002E-3</v>
      </c>
      <c r="AJ440" s="181">
        <f t="shared" si="222"/>
        <v>5.5650000000000005E-2</v>
      </c>
      <c r="AK440" s="182">
        <f t="shared" si="223"/>
        <v>2.3077257367928001</v>
      </c>
      <c r="AM440" s="201">
        <f t="shared" si="237"/>
        <v>2.3649357367928001</v>
      </c>
      <c r="AN440" s="202">
        <f t="shared" si="234"/>
        <v>2.2960541133910679</v>
      </c>
      <c r="AO440" s="202">
        <f t="shared" si="234"/>
        <v>2.2291787508651146</v>
      </c>
      <c r="AP440" s="202">
        <f t="shared" si="241"/>
        <v>2.16425121443215</v>
      </c>
      <c r="AQ440" s="202">
        <f t="shared" si="241"/>
        <v>2.1012147712933498</v>
      </c>
      <c r="AR440" s="202">
        <f t="shared" si="241"/>
        <v>2.0400143410615046</v>
      </c>
      <c r="AS440" s="202">
        <f t="shared" si="241"/>
        <v>1.9805964476325288</v>
      </c>
      <c r="AT440" s="202">
        <f t="shared" si="241"/>
        <v>1.9229091724587657</v>
      </c>
      <c r="AU440" s="202">
        <f t="shared" si="241"/>
        <v>1.8669021091832678</v>
      </c>
      <c r="AV440" s="202">
        <f t="shared" si="241"/>
        <v>1.8125263195954056</v>
      </c>
      <c r="AW440" s="202">
        <f t="shared" si="241"/>
        <v>1.7597342908693259</v>
      </c>
      <c r="AX440" s="202">
        <f t="shared" si="241"/>
        <v>1.7084798940478891</v>
      </c>
      <c r="AY440" s="202">
        <f t="shared" si="241"/>
        <v>1.6587183437358151</v>
      </c>
      <c r="AZ440" s="202">
        <f t="shared" si="242"/>
        <v>1.6104061589668108</v>
      </c>
      <c r="BA440" s="202">
        <f t="shared" si="242"/>
        <v>1.5635011252104958</v>
      </c>
      <c r="BB440" s="202">
        <f t="shared" si="242"/>
        <v>1.517962257485918</v>
      </c>
      <c r="BC440" s="202">
        <f t="shared" si="242"/>
        <v>1.4737497645494353</v>
      </c>
      <c r="BD440" s="202">
        <f t="shared" si="242"/>
        <v>1.4308250141256653</v>
      </c>
      <c r="BE440" s="202">
        <f t="shared" si="242"/>
        <v>1.3891504991511314</v>
      </c>
      <c r="BF440" s="202">
        <f t="shared" si="242"/>
        <v>1.3486898050010985</v>
      </c>
      <c r="BG440" s="203">
        <f t="shared" si="238"/>
        <v>36.239800129849542</v>
      </c>
    </row>
    <row r="441" spans="27:59">
      <c r="AA441" s="180">
        <f t="shared" si="239"/>
        <v>1554000000</v>
      </c>
      <c r="AB441" s="41">
        <f t="shared" si="240"/>
        <v>1850</v>
      </c>
      <c r="AC441" s="21">
        <v>74</v>
      </c>
      <c r="AD441" s="21" t="s">
        <v>283</v>
      </c>
      <c r="AE441" s="175">
        <f t="shared" si="218"/>
        <v>30</v>
      </c>
      <c r="AF441" s="183">
        <f t="shared" si="219"/>
        <v>27</v>
      </c>
      <c r="AG441" s="84">
        <f t="shared" si="226"/>
        <v>0.39750000000000002</v>
      </c>
      <c r="AH441" s="242">
        <f t="shared" si="220"/>
        <v>0.159</v>
      </c>
      <c r="AI441" s="76">
        <f t="shared" si="221"/>
        <v>1.5600000000000002E-3</v>
      </c>
      <c r="AJ441" s="181">
        <f t="shared" si="222"/>
        <v>5.5650000000000005E-2</v>
      </c>
      <c r="AK441" s="182">
        <f t="shared" si="223"/>
        <v>2.3077257367928001</v>
      </c>
      <c r="AM441" s="201">
        <f t="shared" si="237"/>
        <v>2.3649357367928001</v>
      </c>
      <c r="AN441" s="202">
        <f t="shared" si="234"/>
        <v>2.2960541133910679</v>
      </c>
      <c r="AO441" s="202">
        <f t="shared" si="234"/>
        <v>2.2291787508651146</v>
      </c>
      <c r="AP441" s="202">
        <f t="shared" si="241"/>
        <v>2.16425121443215</v>
      </c>
      <c r="AQ441" s="202">
        <f t="shared" si="241"/>
        <v>2.1012147712933498</v>
      </c>
      <c r="AR441" s="202">
        <f t="shared" si="241"/>
        <v>2.0400143410615046</v>
      </c>
      <c r="AS441" s="202">
        <f t="shared" si="241"/>
        <v>1.9805964476325288</v>
      </c>
      <c r="AT441" s="202">
        <f t="shared" si="241"/>
        <v>1.9229091724587657</v>
      </c>
      <c r="AU441" s="202">
        <f t="shared" si="241"/>
        <v>1.8669021091832678</v>
      </c>
      <c r="AV441" s="202">
        <f t="shared" si="241"/>
        <v>1.8125263195954056</v>
      </c>
      <c r="AW441" s="202">
        <f t="shared" si="241"/>
        <v>1.7597342908693259</v>
      </c>
      <c r="AX441" s="202">
        <f t="shared" si="241"/>
        <v>1.7084798940478891</v>
      </c>
      <c r="AY441" s="202">
        <f t="shared" si="241"/>
        <v>1.6587183437358151</v>
      </c>
      <c r="AZ441" s="202">
        <f t="shared" si="242"/>
        <v>1.6104061589668108</v>
      </c>
      <c r="BA441" s="202">
        <f t="shared" si="242"/>
        <v>1.5635011252104958</v>
      </c>
      <c r="BB441" s="202">
        <f t="shared" si="242"/>
        <v>1.517962257485918</v>
      </c>
      <c r="BC441" s="202">
        <f t="shared" si="242"/>
        <v>1.4737497645494353</v>
      </c>
      <c r="BD441" s="202">
        <f t="shared" si="242"/>
        <v>1.4308250141256653</v>
      </c>
      <c r="BE441" s="202">
        <f t="shared" si="242"/>
        <v>1.3891504991511314</v>
      </c>
      <c r="BF441" s="202">
        <f t="shared" si="242"/>
        <v>1.3486898050010985</v>
      </c>
      <c r="BG441" s="203">
        <f t="shared" si="238"/>
        <v>36.239800129849542</v>
      </c>
    </row>
    <row r="442" spans="27:59">
      <c r="AA442" s="180">
        <f t="shared" si="239"/>
        <v>1575000000</v>
      </c>
      <c r="AB442" s="41">
        <f t="shared" si="240"/>
        <v>1875</v>
      </c>
      <c r="AC442" s="21">
        <v>75</v>
      </c>
      <c r="AD442" s="21" t="s">
        <v>283</v>
      </c>
      <c r="AE442" s="175">
        <f t="shared" si="218"/>
        <v>30</v>
      </c>
      <c r="AF442" s="183">
        <f t="shared" si="219"/>
        <v>27</v>
      </c>
      <c r="AG442" s="84">
        <f t="shared" si="226"/>
        <v>0.39750000000000002</v>
      </c>
      <c r="AH442" s="242">
        <f t="shared" si="220"/>
        <v>0.159</v>
      </c>
      <c r="AI442" s="76">
        <f t="shared" si="221"/>
        <v>1.5600000000000002E-3</v>
      </c>
      <c r="AJ442" s="181">
        <f t="shared" si="222"/>
        <v>5.5650000000000005E-2</v>
      </c>
      <c r="AK442" s="182">
        <f t="shared" si="223"/>
        <v>2.3077257367928001</v>
      </c>
      <c r="AM442" s="201">
        <f t="shared" si="237"/>
        <v>2.3649357367928001</v>
      </c>
      <c r="AN442" s="202">
        <f t="shared" si="234"/>
        <v>2.2960541133910679</v>
      </c>
      <c r="AO442" s="202">
        <f t="shared" si="234"/>
        <v>2.2291787508651146</v>
      </c>
      <c r="AP442" s="202">
        <f t="shared" si="241"/>
        <v>2.16425121443215</v>
      </c>
      <c r="AQ442" s="202">
        <f t="shared" si="241"/>
        <v>2.1012147712933498</v>
      </c>
      <c r="AR442" s="202">
        <f t="shared" si="241"/>
        <v>2.0400143410615046</v>
      </c>
      <c r="AS442" s="202">
        <f t="shared" si="241"/>
        <v>1.9805964476325288</v>
      </c>
      <c r="AT442" s="202">
        <f t="shared" si="241"/>
        <v>1.9229091724587657</v>
      </c>
      <c r="AU442" s="202">
        <f t="shared" si="241"/>
        <v>1.8669021091832678</v>
      </c>
      <c r="AV442" s="202">
        <f t="shared" si="241"/>
        <v>1.8125263195954056</v>
      </c>
      <c r="AW442" s="202">
        <f t="shared" si="241"/>
        <v>1.7597342908693259</v>
      </c>
      <c r="AX442" s="202">
        <f t="shared" si="241"/>
        <v>1.7084798940478891</v>
      </c>
      <c r="AY442" s="202">
        <f t="shared" si="241"/>
        <v>1.6587183437358151</v>
      </c>
      <c r="AZ442" s="202">
        <f t="shared" si="242"/>
        <v>1.6104061589668108</v>
      </c>
      <c r="BA442" s="202">
        <f t="shared" si="242"/>
        <v>1.5635011252104958</v>
      </c>
      <c r="BB442" s="202">
        <f t="shared" si="242"/>
        <v>1.517962257485918</v>
      </c>
      <c r="BC442" s="202">
        <f t="shared" si="242"/>
        <v>1.4737497645494353</v>
      </c>
      <c r="BD442" s="202">
        <f t="shared" si="242"/>
        <v>1.4308250141256653</v>
      </c>
      <c r="BE442" s="202">
        <f t="shared" si="242"/>
        <v>1.3891504991511314</v>
      </c>
      <c r="BF442" s="202">
        <f t="shared" si="242"/>
        <v>1.3486898050010985</v>
      </c>
      <c r="BG442" s="203">
        <f t="shared" si="238"/>
        <v>36.239800129849542</v>
      </c>
    </row>
    <row r="443" spans="27:59">
      <c r="AA443" s="180">
        <f t="shared" si="239"/>
        <v>1596000000</v>
      </c>
      <c r="AB443" s="41">
        <f t="shared" si="240"/>
        <v>1900</v>
      </c>
      <c r="AC443" s="21">
        <v>76</v>
      </c>
      <c r="AD443" s="21" t="s">
        <v>283</v>
      </c>
      <c r="AE443" s="175">
        <f t="shared" si="218"/>
        <v>30</v>
      </c>
      <c r="AF443" s="183">
        <f t="shared" si="219"/>
        <v>27</v>
      </c>
      <c r="AG443" s="84">
        <f t="shared" si="226"/>
        <v>0.39750000000000002</v>
      </c>
      <c r="AH443" s="242">
        <f t="shared" si="220"/>
        <v>0.159</v>
      </c>
      <c r="AI443" s="76">
        <f t="shared" si="221"/>
        <v>1.5600000000000002E-3</v>
      </c>
      <c r="AJ443" s="181">
        <f t="shared" si="222"/>
        <v>5.5650000000000005E-2</v>
      </c>
      <c r="AK443" s="182">
        <f t="shared" si="223"/>
        <v>2.3077257367928001</v>
      </c>
      <c r="AM443" s="201">
        <f t="shared" si="237"/>
        <v>2.3649357367928001</v>
      </c>
      <c r="AN443" s="202">
        <f t="shared" si="234"/>
        <v>2.2960541133910679</v>
      </c>
      <c r="AO443" s="202">
        <f t="shared" si="234"/>
        <v>2.2291787508651146</v>
      </c>
      <c r="AP443" s="202">
        <f t="shared" si="241"/>
        <v>2.16425121443215</v>
      </c>
      <c r="AQ443" s="202">
        <f t="shared" si="241"/>
        <v>2.1012147712933498</v>
      </c>
      <c r="AR443" s="202">
        <f t="shared" si="241"/>
        <v>2.0400143410615046</v>
      </c>
      <c r="AS443" s="202">
        <f t="shared" si="241"/>
        <v>1.9805964476325288</v>
      </c>
      <c r="AT443" s="202">
        <f t="shared" si="241"/>
        <v>1.9229091724587657</v>
      </c>
      <c r="AU443" s="202">
        <f t="shared" si="241"/>
        <v>1.8669021091832678</v>
      </c>
      <c r="AV443" s="202">
        <f t="shared" si="241"/>
        <v>1.8125263195954056</v>
      </c>
      <c r="AW443" s="202">
        <f t="shared" si="241"/>
        <v>1.7597342908693259</v>
      </c>
      <c r="AX443" s="202">
        <f t="shared" si="241"/>
        <v>1.7084798940478891</v>
      </c>
      <c r="AY443" s="202">
        <f t="shared" si="241"/>
        <v>1.6587183437358151</v>
      </c>
      <c r="AZ443" s="202">
        <f t="shared" si="242"/>
        <v>1.6104061589668108</v>
      </c>
      <c r="BA443" s="202">
        <f t="shared" si="242"/>
        <v>1.5635011252104958</v>
      </c>
      <c r="BB443" s="202">
        <f t="shared" si="242"/>
        <v>1.517962257485918</v>
      </c>
      <c r="BC443" s="202">
        <f t="shared" si="242"/>
        <v>1.4737497645494353</v>
      </c>
      <c r="BD443" s="202">
        <f t="shared" si="242"/>
        <v>1.4308250141256653</v>
      </c>
      <c r="BE443" s="202">
        <f t="shared" si="242"/>
        <v>1.3891504991511314</v>
      </c>
      <c r="BF443" s="202">
        <f t="shared" si="242"/>
        <v>1.3486898050010985</v>
      </c>
      <c r="BG443" s="203">
        <f t="shared" si="238"/>
        <v>36.239800129849542</v>
      </c>
    </row>
    <row r="444" spans="27:59">
      <c r="AA444" s="180">
        <f t="shared" si="239"/>
        <v>1617000000</v>
      </c>
      <c r="AB444" s="41">
        <f t="shared" si="240"/>
        <v>1925</v>
      </c>
      <c r="AC444" s="21">
        <v>77</v>
      </c>
      <c r="AD444" s="21" t="s">
        <v>283</v>
      </c>
      <c r="AE444" s="175">
        <f t="shared" si="218"/>
        <v>30</v>
      </c>
      <c r="AF444" s="183">
        <f t="shared" si="219"/>
        <v>27</v>
      </c>
      <c r="AG444" s="84">
        <f t="shared" si="226"/>
        <v>0.39750000000000002</v>
      </c>
      <c r="AH444" s="242">
        <f t="shared" si="220"/>
        <v>0.159</v>
      </c>
      <c r="AI444" s="76">
        <f t="shared" si="221"/>
        <v>1.5600000000000002E-3</v>
      </c>
      <c r="AJ444" s="181">
        <f t="shared" si="222"/>
        <v>5.5650000000000005E-2</v>
      </c>
      <c r="AK444" s="182">
        <f t="shared" si="223"/>
        <v>2.3077257367928001</v>
      </c>
      <c r="AM444" s="201">
        <f t="shared" si="237"/>
        <v>2.3649357367928001</v>
      </c>
      <c r="AN444" s="202">
        <f t="shared" si="234"/>
        <v>2.2960541133910679</v>
      </c>
      <c r="AO444" s="202">
        <f t="shared" si="234"/>
        <v>2.2291787508651146</v>
      </c>
      <c r="AP444" s="202">
        <f t="shared" si="241"/>
        <v>2.16425121443215</v>
      </c>
      <c r="AQ444" s="202">
        <f t="shared" si="241"/>
        <v>2.1012147712933498</v>
      </c>
      <c r="AR444" s="202">
        <f t="shared" si="241"/>
        <v>2.0400143410615046</v>
      </c>
      <c r="AS444" s="202">
        <f t="shared" si="241"/>
        <v>1.9805964476325288</v>
      </c>
      <c r="AT444" s="202">
        <f t="shared" si="241"/>
        <v>1.9229091724587657</v>
      </c>
      <c r="AU444" s="202">
        <f t="shared" si="241"/>
        <v>1.8669021091832678</v>
      </c>
      <c r="AV444" s="202">
        <f t="shared" si="241"/>
        <v>1.8125263195954056</v>
      </c>
      <c r="AW444" s="202">
        <f t="shared" si="241"/>
        <v>1.7597342908693259</v>
      </c>
      <c r="AX444" s="202">
        <f t="shared" si="241"/>
        <v>1.7084798940478891</v>
      </c>
      <c r="AY444" s="202">
        <f t="shared" si="241"/>
        <v>1.6587183437358151</v>
      </c>
      <c r="AZ444" s="202">
        <f t="shared" si="242"/>
        <v>1.6104061589668108</v>
      </c>
      <c r="BA444" s="202">
        <f t="shared" si="242"/>
        <v>1.5635011252104958</v>
      </c>
      <c r="BB444" s="202">
        <f t="shared" si="242"/>
        <v>1.517962257485918</v>
      </c>
      <c r="BC444" s="202">
        <f t="shared" si="242"/>
        <v>1.4737497645494353</v>
      </c>
      <c r="BD444" s="202">
        <f t="shared" si="242"/>
        <v>1.4308250141256653</v>
      </c>
      <c r="BE444" s="202">
        <f t="shared" si="242"/>
        <v>1.3891504991511314</v>
      </c>
      <c r="BF444" s="202">
        <f t="shared" si="242"/>
        <v>1.3486898050010985</v>
      </c>
      <c r="BG444" s="203">
        <f t="shared" si="238"/>
        <v>36.239800129849542</v>
      </c>
    </row>
    <row r="445" spans="27:59">
      <c r="AA445" s="180">
        <f t="shared" si="239"/>
        <v>1638000000</v>
      </c>
      <c r="AB445" s="41">
        <f t="shared" si="240"/>
        <v>1950</v>
      </c>
      <c r="AC445" s="21">
        <v>78</v>
      </c>
      <c r="AD445" s="21" t="s">
        <v>283</v>
      </c>
      <c r="AE445" s="175">
        <f t="shared" si="218"/>
        <v>30</v>
      </c>
      <c r="AF445" s="183">
        <f t="shared" si="219"/>
        <v>27</v>
      </c>
      <c r="AG445" s="84">
        <f t="shared" si="226"/>
        <v>0.39750000000000002</v>
      </c>
      <c r="AH445" s="242">
        <f t="shared" si="220"/>
        <v>0.159</v>
      </c>
      <c r="AI445" s="76">
        <f t="shared" si="221"/>
        <v>1.5600000000000002E-3</v>
      </c>
      <c r="AJ445" s="181">
        <f t="shared" si="222"/>
        <v>5.5650000000000005E-2</v>
      </c>
      <c r="AK445" s="182">
        <f t="shared" si="223"/>
        <v>2.3077257367928001</v>
      </c>
      <c r="AM445" s="201">
        <f t="shared" si="237"/>
        <v>2.3649357367928001</v>
      </c>
      <c r="AN445" s="202">
        <f t="shared" si="234"/>
        <v>2.2960541133910679</v>
      </c>
      <c r="AO445" s="202">
        <f t="shared" si="234"/>
        <v>2.2291787508651146</v>
      </c>
      <c r="AP445" s="202">
        <f t="shared" si="241"/>
        <v>2.16425121443215</v>
      </c>
      <c r="AQ445" s="202">
        <f t="shared" si="241"/>
        <v>2.1012147712933498</v>
      </c>
      <c r="AR445" s="202">
        <f t="shared" si="241"/>
        <v>2.0400143410615046</v>
      </c>
      <c r="AS445" s="202">
        <f t="shared" si="241"/>
        <v>1.9805964476325288</v>
      </c>
      <c r="AT445" s="202">
        <f t="shared" si="241"/>
        <v>1.9229091724587657</v>
      </c>
      <c r="AU445" s="202">
        <f t="shared" si="241"/>
        <v>1.8669021091832678</v>
      </c>
      <c r="AV445" s="202">
        <f t="shared" si="241"/>
        <v>1.8125263195954056</v>
      </c>
      <c r="AW445" s="202">
        <f t="shared" si="241"/>
        <v>1.7597342908693259</v>
      </c>
      <c r="AX445" s="202">
        <f t="shared" si="241"/>
        <v>1.7084798940478891</v>
      </c>
      <c r="AY445" s="202">
        <f t="shared" si="241"/>
        <v>1.6587183437358151</v>
      </c>
      <c r="AZ445" s="202">
        <f t="shared" si="242"/>
        <v>1.6104061589668108</v>
      </c>
      <c r="BA445" s="202">
        <f t="shared" si="242"/>
        <v>1.5635011252104958</v>
      </c>
      <c r="BB445" s="202">
        <f t="shared" si="242"/>
        <v>1.517962257485918</v>
      </c>
      <c r="BC445" s="202">
        <f t="shared" si="242"/>
        <v>1.4737497645494353</v>
      </c>
      <c r="BD445" s="202">
        <f t="shared" si="242"/>
        <v>1.4308250141256653</v>
      </c>
      <c r="BE445" s="202">
        <f t="shared" si="242"/>
        <v>1.3891504991511314</v>
      </c>
      <c r="BF445" s="202">
        <f t="shared" si="242"/>
        <v>1.3486898050010985</v>
      </c>
      <c r="BG445" s="203">
        <f t="shared" si="238"/>
        <v>36.239800129849542</v>
      </c>
    </row>
    <row r="446" spans="27:59">
      <c r="AA446" s="180">
        <f t="shared" si="239"/>
        <v>1659000000</v>
      </c>
      <c r="AB446" s="41">
        <f t="shared" si="240"/>
        <v>1975</v>
      </c>
      <c r="AC446" s="21">
        <v>79</v>
      </c>
      <c r="AD446" s="21" t="s">
        <v>283</v>
      </c>
      <c r="AE446" s="175">
        <f t="shared" si="218"/>
        <v>30</v>
      </c>
      <c r="AF446" s="183">
        <f t="shared" si="219"/>
        <v>27</v>
      </c>
      <c r="AG446" s="84">
        <f t="shared" si="226"/>
        <v>0.39750000000000002</v>
      </c>
      <c r="AH446" s="242">
        <f t="shared" si="220"/>
        <v>0.159</v>
      </c>
      <c r="AI446" s="76">
        <f t="shared" si="221"/>
        <v>1.5600000000000002E-3</v>
      </c>
      <c r="AJ446" s="181">
        <f t="shared" si="222"/>
        <v>5.5650000000000005E-2</v>
      </c>
      <c r="AK446" s="182">
        <f t="shared" si="223"/>
        <v>2.3077257367928001</v>
      </c>
      <c r="AM446" s="201">
        <f t="shared" si="237"/>
        <v>2.3649357367928001</v>
      </c>
      <c r="AN446" s="202">
        <f t="shared" si="234"/>
        <v>2.2960541133910679</v>
      </c>
      <c r="AO446" s="202">
        <f t="shared" si="234"/>
        <v>2.2291787508651146</v>
      </c>
      <c r="AP446" s="202">
        <f t="shared" si="241"/>
        <v>2.16425121443215</v>
      </c>
      <c r="AQ446" s="202">
        <f t="shared" si="241"/>
        <v>2.1012147712933498</v>
      </c>
      <c r="AR446" s="202">
        <f t="shared" si="241"/>
        <v>2.0400143410615046</v>
      </c>
      <c r="AS446" s="202">
        <f t="shared" si="241"/>
        <v>1.9805964476325288</v>
      </c>
      <c r="AT446" s="202">
        <f t="shared" si="241"/>
        <v>1.9229091724587657</v>
      </c>
      <c r="AU446" s="202">
        <f t="shared" si="241"/>
        <v>1.8669021091832678</v>
      </c>
      <c r="AV446" s="202">
        <f t="shared" si="241"/>
        <v>1.8125263195954056</v>
      </c>
      <c r="AW446" s="202">
        <f t="shared" si="241"/>
        <v>1.7597342908693259</v>
      </c>
      <c r="AX446" s="202">
        <f t="shared" si="241"/>
        <v>1.7084798940478891</v>
      </c>
      <c r="AY446" s="202">
        <f t="shared" si="241"/>
        <v>1.6587183437358151</v>
      </c>
      <c r="AZ446" s="202">
        <f t="shared" si="242"/>
        <v>1.6104061589668108</v>
      </c>
      <c r="BA446" s="202">
        <f t="shared" si="242"/>
        <v>1.5635011252104958</v>
      </c>
      <c r="BB446" s="202">
        <f t="shared" si="242"/>
        <v>1.517962257485918</v>
      </c>
      <c r="BC446" s="202">
        <f t="shared" si="242"/>
        <v>1.4737497645494353</v>
      </c>
      <c r="BD446" s="202">
        <f t="shared" si="242"/>
        <v>1.4308250141256653</v>
      </c>
      <c r="BE446" s="202">
        <f t="shared" si="242"/>
        <v>1.3891504991511314</v>
      </c>
      <c r="BF446" s="202">
        <f t="shared" si="242"/>
        <v>1.3486898050010985</v>
      </c>
      <c r="BG446" s="203">
        <f t="shared" si="238"/>
        <v>36.239800129849542</v>
      </c>
    </row>
    <row r="447" spans="27:59">
      <c r="AA447" s="180">
        <f t="shared" si="239"/>
        <v>1680000000</v>
      </c>
      <c r="AB447" s="41">
        <f t="shared" si="240"/>
        <v>2000</v>
      </c>
      <c r="AC447" s="21">
        <v>80</v>
      </c>
      <c r="AD447" s="21" t="s">
        <v>283</v>
      </c>
      <c r="AE447" s="175">
        <f t="shared" si="218"/>
        <v>30</v>
      </c>
      <c r="AF447" s="183">
        <f t="shared" si="219"/>
        <v>27</v>
      </c>
      <c r="AG447" s="84">
        <f t="shared" si="226"/>
        <v>0.39750000000000002</v>
      </c>
      <c r="AH447" s="242">
        <f t="shared" si="220"/>
        <v>0.159</v>
      </c>
      <c r="AI447" s="76">
        <f t="shared" si="221"/>
        <v>1.5600000000000002E-3</v>
      </c>
      <c r="AJ447" s="181">
        <f t="shared" si="222"/>
        <v>5.5650000000000005E-2</v>
      </c>
      <c r="AK447" s="182">
        <f t="shared" si="223"/>
        <v>2.3077257367928001</v>
      </c>
      <c r="AM447" s="201">
        <f t="shared" si="237"/>
        <v>2.3649357367928001</v>
      </c>
      <c r="AN447" s="202">
        <f t="shared" ref="AN447:AO466" si="243">$AM447/POWER(1+($B$10/100),AN$366-2024)</f>
        <v>2.2960541133910679</v>
      </c>
      <c r="AO447" s="202">
        <f t="shared" si="243"/>
        <v>2.2291787508651146</v>
      </c>
      <c r="AP447" s="202">
        <f t="shared" si="241"/>
        <v>2.16425121443215</v>
      </c>
      <c r="AQ447" s="202">
        <f t="shared" si="241"/>
        <v>2.1012147712933498</v>
      </c>
      <c r="AR447" s="202">
        <f t="shared" si="241"/>
        <v>2.0400143410615046</v>
      </c>
      <c r="AS447" s="202">
        <f t="shared" si="241"/>
        <v>1.9805964476325288</v>
      </c>
      <c r="AT447" s="202">
        <f t="shared" si="241"/>
        <v>1.9229091724587657</v>
      </c>
      <c r="AU447" s="202">
        <f t="shared" si="241"/>
        <v>1.8669021091832678</v>
      </c>
      <c r="AV447" s="202">
        <f t="shared" si="241"/>
        <v>1.8125263195954056</v>
      </c>
      <c r="AW447" s="202">
        <f t="shared" si="241"/>
        <v>1.7597342908693259</v>
      </c>
      <c r="AX447" s="202">
        <f t="shared" si="241"/>
        <v>1.7084798940478891</v>
      </c>
      <c r="AY447" s="202">
        <f t="shared" si="241"/>
        <v>1.6587183437358151</v>
      </c>
      <c r="AZ447" s="202">
        <f t="shared" si="242"/>
        <v>1.6104061589668108</v>
      </c>
      <c r="BA447" s="202">
        <f t="shared" si="242"/>
        <v>1.5635011252104958</v>
      </c>
      <c r="BB447" s="202">
        <f t="shared" si="242"/>
        <v>1.517962257485918</v>
      </c>
      <c r="BC447" s="202">
        <f t="shared" si="242"/>
        <v>1.4737497645494353</v>
      </c>
      <c r="BD447" s="202">
        <f t="shared" si="242"/>
        <v>1.4308250141256653</v>
      </c>
      <c r="BE447" s="202">
        <f t="shared" si="242"/>
        <v>1.3891504991511314</v>
      </c>
      <c r="BF447" s="202">
        <f t="shared" si="242"/>
        <v>1.3486898050010985</v>
      </c>
      <c r="BG447" s="203">
        <f t="shared" si="238"/>
        <v>36.239800129849542</v>
      </c>
    </row>
    <row r="448" spans="27:59">
      <c r="AA448" s="180">
        <f t="shared" si="239"/>
        <v>1701000000</v>
      </c>
      <c r="AB448" s="41">
        <f t="shared" si="240"/>
        <v>2025</v>
      </c>
      <c r="AC448" s="21">
        <v>81</v>
      </c>
      <c r="AD448" s="21" t="s">
        <v>283</v>
      </c>
      <c r="AE448" s="175">
        <f t="shared" si="218"/>
        <v>30</v>
      </c>
      <c r="AF448" s="183">
        <f t="shared" si="219"/>
        <v>27</v>
      </c>
      <c r="AG448" s="84">
        <f t="shared" si="226"/>
        <v>0.39750000000000002</v>
      </c>
      <c r="AH448" s="242">
        <f t="shared" si="220"/>
        <v>0.159</v>
      </c>
      <c r="AI448" s="76">
        <f t="shared" si="221"/>
        <v>1.5600000000000002E-3</v>
      </c>
      <c r="AJ448" s="181">
        <f t="shared" si="222"/>
        <v>5.5650000000000005E-2</v>
      </c>
      <c r="AK448" s="182">
        <f t="shared" si="223"/>
        <v>2.3077257367928001</v>
      </c>
      <c r="AM448" s="201">
        <f t="shared" si="237"/>
        <v>2.3649357367928001</v>
      </c>
      <c r="AN448" s="202">
        <f t="shared" si="243"/>
        <v>2.2960541133910679</v>
      </c>
      <c r="AO448" s="202">
        <f t="shared" si="243"/>
        <v>2.2291787508651146</v>
      </c>
      <c r="AP448" s="202">
        <f t="shared" ref="AP448:AY457" si="244">$AM448/POWER(1+($B$10/100),AP$366-2024)</f>
        <v>2.16425121443215</v>
      </c>
      <c r="AQ448" s="202">
        <f t="shared" si="244"/>
        <v>2.1012147712933498</v>
      </c>
      <c r="AR448" s="202">
        <f t="shared" si="244"/>
        <v>2.0400143410615046</v>
      </c>
      <c r="AS448" s="202">
        <f t="shared" si="244"/>
        <v>1.9805964476325288</v>
      </c>
      <c r="AT448" s="202">
        <f t="shared" si="244"/>
        <v>1.9229091724587657</v>
      </c>
      <c r="AU448" s="202">
        <f t="shared" si="244"/>
        <v>1.8669021091832678</v>
      </c>
      <c r="AV448" s="202">
        <f t="shared" si="244"/>
        <v>1.8125263195954056</v>
      </c>
      <c r="AW448" s="202">
        <f t="shared" si="244"/>
        <v>1.7597342908693259</v>
      </c>
      <c r="AX448" s="202">
        <f t="shared" si="244"/>
        <v>1.7084798940478891</v>
      </c>
      <c r="AY448" s="202">
        <f t="shared" si="244"/>
        <v>1.6587183437358151</v>
      </c>
      <c r="AZ448" s="202">
        <f t="shared" ref="AZ448:BF457" si="245">$AM448/POWER(1+($B$10/100),AZ$366-2024)</f>
        <v>1.6104061589668108</v>
      </c>
      <c r="BA448" s="202">
        <f t="shared" si="245"/>
        <v>1.5635011252104958</v>
      </c>
      <c r="BB448" s="202">
        <f t="shared" si="245"/>
        <v>1.517962257485918</v>
      </c>
      <c r="BC448" s="202">
        <f t="shared" si="245"/>
        <v>1.4737497645494353</v>
      </c>
      <c r="BD448" s="202">
        <f t="shared" si="245"/>
        <v>1.4308250141256653</v>
      </c>
      <c r="BE448" s="202">
        <f t="shared" si="245"/>
        <v>1.3891504991511314</v>
      </c>
      <c r="BF448" s="202">
        <f t="shared" si="245"/>
        <v>1.3486898050010985</v>
      </c>
      <c r="BG448" s="203">
        <f t="shared" si="238"/>
        <v>36.239800129849542</v>
      </c>
    </row>
    <row r="449" spans="27:59">
      <c r="AA449" s="180">
        <f t="shared" si="239"/>
        <v>1722000000</v>
      </c>
      <c r="AB449" s="41">
        <f t="shared" si="240"/>
        <v>2050</v>
      </c>
      <c r="AC449" s="21">
        <v>82</v>
      </c>
      <c r="AD449" s="21" t="s">
        <v>283</v>
      </c>
      <c r="AE449" s="175">
        <f t="shared" si="218"/>
        <v>30</v>
      </c>
      <c r="AF449" s="183">
        <f t="shared" si="219"/>
        <v>27</v>
      </c>
      <c r="AG449" s="84">
        <f t="shared" si="226"/>
        <v>0.39750000000000002</v>
      </c>
      <c r="AH449" s="242">
        <f t="shared" si="220"/>
        <v>0.159</v>
      </c>
      <c r="AI449" s="76">
        <f t="shared" si="221"/>
        <v>1.5600000000000002E-3</v>
      </c>
      <c r="AJ449" s="181">
        <f t="shared" si="222"/>
        <v>5.5650000000000005E-2</v>
      </c>
      <c r="AK449" s="182">
        <f t="shared" si="223"/>
        <v>2.3077257367928001</v>
      </c>
      <c r="AM449" s="201">
        <f t="shared" si="237"/>
        <v>2.3649357367928001</v>
      </c>
      <c r="AN449" s="202">
        <f t="shared" si="243"/>
        <v>2.2960541133910679</v>
      </c>
      <c r="AO449" s="202">
        <f t="shared" si="243"/>
        <v>2.2291787508651146</v>
      </c>
      <c r="AP449" s="202">
        <f t="shared" si="244"/>
        <v>2.16425121443215</v>
      </c>
      <c r="AQ449" s="202">
        <f t="shared" si="244"/>
        <v>2.1012147712933498</v>
      </c>
      <c r="AR449" s="202">
        <f t="shared" si="244"/>
        <v>2.0400143410615046</v>
      </c>
      <c r="AS449" s="202">
        <f t="shared" si="244"/>
        <v>1.9805964476325288</v>
      </c>
      <c r="AT449" s="202">
        <f t="shared" si="244"/>
        <v>1.9229091724587657</v>
      </c>
      <c r="AU449" s="202">
        <f t="shared" si="244"/>
        <v>1.8669021091832678</v>
      </c>
      <c r="AV449" s="202">
        <f t="shared" si="244"/>
        <v>1.8125263195954056</v>
      </c>
      <c r="AW449" s="202">
        <f t="shared" si="244"/>
        <v>1.7597342908693259</v>
      </c>
      <c r="AX449" s="202">
        <f t="shared" si="244"/>
        <v>1.7084798940478891</v>
      </c>
      <c r="AY449" s="202">
        <f t="shared" si="244"/>
        <v>1.6587183437358151</v>
      </c>
      <c r="AZ449" s="202">
        <f t="shared" si="245"/>
        <v>1.6104061589668108</v>
      </c>
      <c r="BA449" s="202">
        <f t="shared" si="245"/>
        <v>1.5635011252104958</v>
      </c>
      <c r="BB449" s="202">
        <f t="shared" si="245"/>
        <v>1.517962257485918</v>
      </c>
      <c r="BC449" s="202">
        <f t="shared" si="245"/>
        <v>1.4737497645494353</v>
      </c>
      <c r="BD449" s="202">
        <f t="shared" si="245"/>
        <v>1.4308250141256653</v>
      </c>
      <c r="BE449" s="202">
        <f t="shared" si="245"/>
        <v>1.3891504991511314</v>
      </c>
      <c r="BF449" s="202">
        <f t="shared" si="245"/>
        <v>1.3486898050010985</v>
      </c>
      <c r="BG449" s="203">
        <f t="shared" si="238"/>
        <v>36.239800129849542</v>
      </c>
    </row>
    <row r="450" spans="27:59">
      <c r="AA450" s="180">
        <f t="shared" si="239"/>
        <v>1743000000</v>
      </c>
      <c r="AB450" s="41">
        <f t="shared" si="240"/>
        <v>2075</v>
      </c>
      <c r="AC450" s="21">
        <v>83</v>
      </c>
      <c r="AD450" s="21" t="s">
        <v>283</v>
      </c>
      <c r="AE450" s="175">
        <f t="shared" si="218"/>
        <v>30</v>
      </c>
      <c r="AF450" s="183">
        <f t="shared" si="219"/>
        <v>27</v>
      </c>
      <c r="AG450" s="84">
        <f t="shared" si="226"/>
        <v>0.39750000000000002</v>
      </c>
      <c r="AH450" s="242">
        <f t="shared" si="220"/>
        <v>0.159</v>
      </c>
      <c r="AI450" s="76">
        <f t="shared" si="221"/>
        <v>1.5600000000000002E-3</v>
      </c>
      <c r="AJ450" s="181">
        <f t="shared" si="222"/>
        <v>5.5650000000000005E-2</v>
      </c>
      <c r="AK450" s="182">
        <f t="shared" si="223"/>
        <v>2.3077257367928001</v>
      </c>
      <c r="AM450" s="201">
        <f t="shared" si="237"/>
        <v>2.3649357367928001</v>
      </c>
      <c r="AN450" s="202">
        <f t="shared" si="243"/>
        <v>2.2960541133910679</v>
      </c>
      <c r="AO450" s="202">
        <f t="shared" si="243"/>
        <v>2.2291787508651146</v>
      </c>
      <c r="AP450" s="202">
        <f t="shared" si="244"/>
        <v>2.16425121443215</v>
      </c>
      <c r="AQ450" s="202">
        <f t="shared" si="244"/>
        <v>2.1012147712933498</v>
      </c>
      <c r="AR450" s="202">
        <f t="shared" si="244"/>
        <v>2.0400143410615046</v>
      </c>
      <c r="AS450" s="202">
        <f t="shared" si="244"/>
        <v>1.9805964476325288</v>
      </c>
      <c r="AT450" s="202">
        <f t="shared" si="244"/>
        <v>1.9229091724587657</v>
      </c>
      <c r="AU450" s="202">
        <f t="shared" si="244"/>
        <v>1.8669021091832678</v>
      </c>
      <c r="AV450" s="202">
        <f t="shared" si="244"/>
        <v>1.8125263195954056</v>
      </c>
      <c r="AW450" s="202">
        <f t="shared" si="244"/>
        <v>1.7597342908693259</v>
      </c>
      <c r="AX450" s="202">
        <f t="shared" si="244"/>
        <v>1.7084798940478891</v>
      </c>
      <c r="AY450" s="202">
        <f t="shared" si="244"/>
        <v>1.6587183437358151</v>
      </c>
      <c r="AZ450" s="202">
        <f t="shared" si="245"/>
        <v>1.6104061589668108</v>
      </c>
      <c r="BA450" s="202">
        <f t="shared" si="245"/>
        <v>1.5635011252104958</v>
      </c>
      <c r="BB450" s="202">
        <f t="shared" si="245"/>
        <v>1.517962257485918</v>
      </c>
      <c r="BC450" s="202">
        <f t="shared" si="245"/>
        <v>1.4737497645494353</v>
      </c>
      <c r="BD450" s="202">
        <f t="shared" si="245"/>
        <v>1.4308250141256653</v>
      </c>
      <c r="BE450" s="202">
        <f t="shared" si="245"/>
        <v>1.3891504991511314</v>
      </c>
      <c r="BF450" s="202">
        <f t="shared" si="245"/>
        <v>1.3486898050010985</v>
      </c>
      <c r="BG450" s="203">
        <f t="shared" si="238"/>
        <v>36.239800129849542</v>
      </c>
    </row>
    <row r="451" spans="27:59">
      <c r="AA451" s="180">
        <f t="shared" si="239"/>
        <v>1764000000</v>
      </c>
      <c r="AB451" s="41">
        <f t="shared" si="240"/>
        <v>2100</v>
      </c>
      <c r="AC451" s="21">
        <v>84</v>
      </c>
      <c r="AD451" s="21" t="s">
        <v>283</v>
      </c>
      <c r="AE451" s="175">
        <f t="shared" si="218"/>
        <v>30</v>
      </c>
      <c r="AF451" s="183">
        <f t="shared" si="219"/>
        <v>27</v>
      </c>
      <c r="AG451" s="84">
        <f t="shared" si="226"/>
        <v>0.39750000000000002</v>
      </c>
      <c r="AH451" s="242">
        <f t="shared" si="220"/>
        <v>0.159</v>
      </c>
      <c r="AI451" s="76">
        <f t="shared" si="221"/>
        <v>1.5600000000000002E-3</v>
      </c>
      <c r="AJ451" s="181">
        <f t="shared" si="222"/>
        <v>5.5650000000000005E-2</v>
      </c>
      <c r="AK451" s="182">
        <f t="shared" si="223"/>
        <v>2.3077257367928001</v>
      </c>
      <c r="AM451" s="201">
        <f t="shared" si="237"/>
        <v>2.3649357367928001</v>
      </c>
      <c r="AN451" s="202">
        <f t="shared" si="243"/>
        <v>2.2960541133910679</v>
      </c>
      <c r="AO451" s="202">
        <f t="shared" si="243"/>
        <v>2.2291787508651146</v>
      </c>
      <c r="AP451" s="202">
        <f t="shared" si="244"/>
        <v>2.16425121443215</v>
      </c>
      <c r="AQ451" s="202">
        <f t="shared" si="244"/>
        <v>2.1012147712933498</v>
      </c>
      <c r="AR451" s="202">
        <f t="shared" si="244"/>
        <v>2.0400143410615046</v>
      </c>
      <c r="AS451" s="202">
        <f t="shared" si="244"/>
        <v>1.9805964476325288</v>
      </c>
      <c r="AT451" s="202">
        <f t="shared" si="244"/>
        <v>1.9229091724587657</v>
      </c>
      <c r="AU451" s="202">
        <f t="shared" si="244"/>
        <v>1.8669021091832678</v>
      </c>
      <c r="AV451" s="202">
        <f t="shared" si="244"/>
        <v>1.8125263195954056</v>
      </c>
      <c r="AW451" s="202">
        <f t="shared" si="244"/>
        <v>1.7597342908693259</v>
      </c>
      <c r="AX451" s="202">
        <f t="shared" si="244"/>
        <v>1.7084798940478891</v>
      </c>
      <c r="AY451" s="202">
        <f t="shared" si="244"/>
        <v>1.6587183437358151</v>
      </c>
      <c r="AZ451" s="202">
        <f t="shared" si="245"/>
        <v>1.6104061589668108</v>
      </c>
      <c r="BA451" s="202">
        <f t="shared" si="245"/>
        <v>1.5635011252104958</v>
      </c>
      <c r="BB451" s="202">
        <f t="shared" si="245"/>
        <v>1.517962257485918</v>
      </c>
      <c r="BC451" s="202">
        <f t="shared" si="245"/>
        <v>1.4737497645494353</v>
      </c>
      <c r="BD451" s="202">
        <f t="shared" si="245"/>
        <v>1.4308250141256653</v>
      </c>
      <c r="BE451" s="202">
        <f t="shared" si="245"/>
        <v>1.3891504991511314</v>
      </c>
      <c r="BF451" s="202">
        <f t="shared" si="245"/>
        <v>1.3486898050010985</v>
      </c>
      <c r="BG451" s="203">
        <f t="shared" si="238"/>
        <v>36.239800129849542</v>
      </c>
    </row>
    <row r="452" spans="27:59">
      <c r="AA452" s="180">
        <f t="shared" si="239"/>
        <v>1785000000</v>
      </c>
      <c r="AB452" s="41">
        <f t="shared" si="240"/>
        <v>2125</v>
      </c>
      <c r="AC452" s="21">
        <v>85</v>
      </c>
      <c r="AD452" s="21" t="s">
        <v>283</v>
      </c>
      <c r="AE452" s="175">
        <f t="shared" ref="AE452:AE515" si="246">AE270*$B$3</f>
        <v>30</v>
      </c>
      <c r="AF452" s="183">
        <f t="shared" ref="AF452:AF515" si="247">AF270*$B$4</f>
        <v>27</v>
      </c>
      <c r="AG452" s="84">
        <f t="shared" ref="AG452:AG515" si="248">AG270*$B$5</f>
        <v>0.39750000000000002</v>
      </c>
      <c r="AH452" s="242">
        <f t="shared" ref="AH452:AH515" si="249">AH270*$B$6</f>
        <v>0.159</v>
      </c>
      <c r="AI452" s="76">
        <f t="shared" ref="AI452:AI515" si="250">AI270*$B$7</f>
        <v>1.5600000000000002E-3</v>
      </c>
      <c r="AJ452" s="181">
        <f t="shared" ref="AJ452:AJ515" si="251">(AG452+AH452)*(AJ270/100)</f>
        <v>5.5650000000000005E-2</v>
      </c>
      <c r="AK452" s="182">
        <f t="shared" ref="AK452:AK515" si="252">AK270*$B$9</f>
        <v>2.3077257367928001</v>
      </c>
      <c r="AM452" s="201">
        <f t="shared" si="237"/>
        <v>2.3649357367928001</v>
      </c>
      <c r="AN452" s="202">
        <f t="shared" si="243"/>
        <v>2.2960541133910679</v>
      </c>
      <c r="AO452" s="202">
        <f t="shared" si="243"/>
        <v>2.2291787508651146</v>
      </c>
      <c r="AP452" s="202">
        <f t="shared" si="244"/>
        <v>2.16425121443215</v>
      </c>
      <c r="AQ452" s="202">
        <f t="shared" si="244"/>
        <v>2.1012147712933498</v>
      </c>
      <c r="AR452" s="202">
        <f t="shared" si="244"/>
        <v>2.0400143410615046</v>
      </c>
      <c r="AS452" s="202">
        <f t="shared" si="244"/>
        <v>1.9805964476325288</v>
      </c>
      <c r="AT452" s="202">
        <f t="shared" si="244"/>
        <v>1.9229091724587657</v>
      </c>
      <c r="AU452" s="202">
        <f t="shared" si="244"/>
        <v>1.8669021091832678</v>
      </c>
      <c r="AV452" s="202">
        <f t="shared" si="244"/>
        <v>1.8125263195954056</v>
      </c>
      <c r="AW452" s="202">
        <f t="shared" si="244"/>
        <v>1.7597342908693259</v>
      </c>
      <c r="AX452" s="202">
        <f t="shared" si="244"/>
        <v>1.7084798940478891</v>
      </c>
      <c r="AY452" s="202">
        <f t="shared" si="244"/>
        <v>1.6587183437358151</v>
      </c>
      <c r="AZ452" s="202">
        <f t="shared" si="245"/>
        <v>1.6104061589668108</v>
      </c>
      <c r="BA452" s="202">
        <f t="shared" si="245"/>
        <v>1.5635011252104958</v>
      </c>
      <c r="BB452" s="202">
        <f t="shared" si="245"/>
        <v>1.517962257485918</v>
      </c>
      <c r="BC452" s="202">
        <f t="shared" si="245"/>
        <v>1.4737497645494353</v>
      </c>
      <c r="BD452" s="202">
        <f t="shared" si="245"/>
        <v>1.4308250141256653</v>
      </c>
      <c r="BE452" s="202">
        <f t="shared" si="245"/>
        <v>1.3891504991511314</v>
      </c>
      <c r="BF452" s="202">
        <f t="shared" si="245"/>
        <v>1.3486898050010985</v>
      </c>
      <c r="BG452" s="203">
        <f t="shared" si="238"/>
        <v>36.239800129849542</v>
      </c>
    </row>
    <row r="453" spans="27:59">
      <c r="AA453" s="180">
        <f t="shared" si="239"/>
        <v>1806000000</v>
      </c>
      <c r="AB453" s="41">
        <f t="shared" si="240"/>
        <v>2150</v>
      </c>
      <c r="AC453" s="21">
        <v>86</v>
      </c>
      <c r="AD453" s="21" t="s">
        <v>283</v>
      </c>
      <c r="AE453" s="175">
        <f t="shared" si="246"/>
        <v>30</v>
      </c>
      <c r="AF453" s="183">
        <f t="shared" si="247"/>
        <v>27</v>
      </c>
      <c r="AG453" s="84">
        <f t="shared" si="248"/>
        <v>0.39750000000000002</v>
      </c>
      <c r="AH453" s="242">
        <f t="shared" si="249"/>
        <v>0.159</v>
      </c>
      <c r="AI453" s="76">
        <f t="shared" si="250"/>
        <v>1.5600000000000002E-3</v>
      </c>
      <c r="AJ453" s="181">
        <f t="shared" si="251"/>
        <v>5.5650000000000005E-2</v>
      </c>
      <c r="AK453" s="182">
        <f t="shared" si="252"/>
        <v>2.3077257367928001</v>
      </c>
      <c r="AM453" s="201">
        <f t="shared" si="237"/>
        <v>2.3649357367928001</v>
      </c>
      <c r="AN453" s="202">
        <f t="shared" si="243"/>
        <v>2.2960541133910679</v>
      </c>
      <c r="AO453" s="202">
        <f t="shared" si="243"/>
        <v>2.2291787508651146</v>
      </c>
      <c r="AP453" s="202">
        <f t="shared" si="244"/>
        <v>2.16425121443215</v>
      </c>
      <c r="AQ453" s="202">
        <f t="shared" si="244"/>
        <v>2.1012147712933498</v>
      </c>
      <c r="AR453" s="202">
        <f t="shared" si="244"/>
        <v>2.0400143410615046</v>
      </c>
      <c r="AS453" s="202">
        <f t="shared" si="244"/>
        <v>1.9805964476325288</v>
      </c>
      <c r="AT453" s="202">
        <f t="shared" si="244"/>
        <v>1.9229091724587657</v>
      </c>
      <c r="AU453" s="202">
        <f t="shared" si="244"/>
        <v>1.8669021091832678</v>
      </c>
      <c r="AV453" s="202">
        <f t="shared" si="244"/>
        <v>1.8125263195954056</v>
      </c>
      <c r="AW453" s="202">
        <f t="shared" si="244"/>
        <v>1.7597342908693259</v>
      </c>
      <c r="AX453" s="202">
        <f t="shared" si="244"/>
        <v>1.7084798940478891</v>
      </c>
      <c r="AY453" s="202">
        <f t="shared" si="244"/>
        <v>1.6587183437358151</v>
      </c>
      <c r="AZ453" s="202">
        <f t="shared" si="245"/>
        <v>1.6104061589668108</v>
      </c>
      <c r="BA453" s="202">
        <f t="shared" si="245"/>
        <v>1.5635011252104958</v>
      </c>
      <c r="BB453" s="202">
        <f t="shared" si="245"/>
        <v>1.517962257485918</v>
      </c>
      <c r="BC453" s="202">
        <f t="shared" si="245"/>
        <v>1.4737497645494353</v>
      </c>
      <c r="BD453" s="202">
        <f t="shared" si="245"/>
        <v>1.4308250141256653</v>
      </c>
      <c r="BE453" s="202">
        <f t="shared" si="245"/>
        <v>1.3891504991511314</v>
      </c>
      <c r="BF453" s="202">
        <f t="shared" si="245"/>
        <v>1.3486898050010985</v>
      </c>
      <c r="BG453" s="203">
        <f t="shared" si="238"/>
        <v>36.239800129849542</v>
      </c>
    </row>
    <row r="454" spans="27:59">
      <c r="AA454" s="180">
        <f t="shared" si="239"/>
        <v>1827000000</v>
      </c>
      <c r="AB454" s="41">
        <f t="shared" si="240"/>
        <v>2175</v>
      </c>
      <c r="AC454" s="21">
        <v>87</v>
      </c>
      <c r="AD454" s="21" t="s">
        <v>283</v>
      </c>
      <c r="AE454" s="175">
        <f t="shared" si="246"/>
        <v>30</v>
      </c>
      <c r="AF454" s="183">
        <f t="shared" si="247"/>
        <v>27</v>
      </c>
      <c r="AG454" s="84">
        <f t="shared" si="248"/>
        <v>0.39750000000000002</v>
      </c>
      <c r="AH454" s="242">
        <f t="shared" si="249"/>
        <v>0.159</v>
      </c>
      <c r="AI454" s="76">
        <f t="shared" si="250"/>
        <v>1.5600000000000002E-3</v>
      </c>
      <c r="AJ454" s="181">
        <f t="shared" si="251"/>
        <v>5.5650000000000005E-2</v>
      </c>
      <c r="AK454" s="182">
        <f t="shared" si="252"/>
        <v>2.3077257367928001</v>
      </c>
      <c r="AM454" s="201">
        <f t="shared" si="237"/>
        <v>2.3649357367928001</v>
      </c>
      <c r="AN454" s="202">
        <f t="shared" si="243"/>
        <v>2.2960541133910679</v>
      </c>
      <c r="AO454" s="202">
        <f t="shared" si="243"/>
        <v>2.2291787508651146</v>
      </c>
      <c r="AP454" s="202">
        <f t="shared" si="244"/>
        <v>2.16425121443215</v>
      </c>
      <c r="AQ454" s="202">
        <f t="shared" si="244"/>
        <v>2.1012147712933498</v>
      </c>
      <c r="AR454" s="202">
        <f t="shared" si="244"/>
        <v>2.0400143410615046</v>
      </c>
      <c r="AS454" s="202">
        <f t="shared" si="244"/>
        <v>1.9805964476325288</v>
      </c>
      <c r="AT454" s="202">
        <f t="shared" si="244"/>
        <v>1.9229091724587657</v>
      </c>
      <c r="AU454" s="202">
        <f t="shared" si="244"/>
        <v>1.8669021091832678</v>
      </c>
      <c r="AV454" s="202">
        <f t="shared" si="244"/>
        <v>1.8125263195954056</v>
      </c>
      <c r="AW454" s="202">
        <f t="shared" si="244"/>
        <v>1.7597342908693259</v>
      </c>
      <c r="AX454" s="202">
        <f t="shared" si="244"/>
        <v>1.7084798940478891</v>
      </c>
      <c r="AY454" s="202">
        <f t="shared" si="244"/>
        <v>1.6587183437358151</v>
      </c>
      <c r="AZ454" s="202">
        <f t="shared" si="245"/>
        <v>1.6104061589668108</v>
      </c>
      <c r="BA454" s="202">
        <f t="shared" si="245"/>
        <v>1.5635011252104958</v>
      </c>
      <c r="BB454" s="202">
        <f t="shared" si="245"/>
        <v>1.517962257485918</v>
      </c>
      <c r="BC454" s="202">
        <f t="shared" si="245"/>
        <v>1.4737497645494353</v>
      </c>
      <c r="BD454" s="202">
        <f t="shared" si="245"/>
        <v>1.4308250141256653</v>
      </c>
      <c r="BE454" s="202">
        <f t="shared" si="245"/>
        <v>1.3891504991511314</v>
      </c>
      <c r="BF454" s="202">
        <f t="shared" si="245"/>
        <v>1.3486898050010985</v>
      </c>
      <c r="BG454" s="203">
        <f t="shared" si="238"/>
        <v>36.239800129849542</v>
      </c>
    </row>
    <row r="455" spans="27:59">
      <c r="AA455" s="180">
        <f t="shared" si="239"/>
        <v>1848000000</v>
      </c>
      <c r="AB455" s="41">
        <f t="shared" si="240"/>
        <v>2200</v>
      </c>
      <c r="AC455" s="21">
        <v>88</v>
      </c>
      <c r="AD455" s="21" t="s">
        <v>283</v>
      </c>
      <c r="AE455" s="175">
        <f t="shared" si="246"/>
        <v>30</v>
      </c>
      <c r="AF455" s="183">
        <f t="shared" si="247"/>
        <v>27</v>
      </c>
      <c r="AG455" s="84">
        <f t="shared" si="248"/>
        <v>0.39750000000000002</v>
      </c>
      <c r="AH455" s="242">
        <f t="shared" si="249"/>
        <v>0.159</v>
      </c>
      <c r="AI455" s="76">
        <f t="shared" si="250"/>
        <v>1.5600000000000002E-3</v>
      </c>
      <c r="AJ455" s="181">
        <f t="shared" si="251"/>
        <v>5.5650000000000005E-2</v>
      </c>
      <c r="AK455" s="182">
        <f t="shared" si="252"/>
        <v>2.3077257367928001</v>
      </c>
      <c r="AM455" s="201">
        <f t="shared" si="237"/>
        <v>2.3649357367928001</v>
      </c>
      <c r="AN455" s="202">
        <f t="shared" si="243"/>
        <v>2.2960541133910679</v>
      </c>
      <c r="AO455" s="202">
        <f t="shared" si="243"/>
        <v>2.2291787508651146</v>
      </c>
      <c r="AP455" s="202">
        <f t="shared" si="244"/>
        <v>2.16425121443215</v>
      </c>
      <c r="AQ455" s="202">
        <f t="shared" si="244"/>
        <v>2.1012147712933498</v>
      </c>
      <c r="AR455" s="202">
        <f t="shared" si="244"/>
        <v>2.0400143410615046</v>
      </c>
      <c r="AS455" s="202">
        <f t="shared" si="244"/>
        <v>1.9805964476325288</v>
      </c>
      <c r="AT455" s="202">
        <f t="shared" si="244"/>
        <v>1.9229091724587657</v>
      </c>
      <c r="AU455" s="202">
        <f t="shared" si="244"/>
        <v>1.8669021091832678</v>
      </c>
      <c r="AV455" s="202">
        <f t="shared" si="244"/>
        <v>1.8125263195954056</v>
      </c>
      <c r="AW455" s="202">
        <f t="shared" si="244"/>
        <v>1.7597342908693259</v>
      </c>
      <c r="AX455" s="202">
        <f t="shared" si="244"/>
        <v>1.7084798940478891</v>
      </c>
      <c r="AY455" s="202">
        <f t="shared" si="244"/>
        <v>1.6587183437358151</v>
      </c>
      <c r="AZ455" s="202">
        <f t="shared" si="245"/>
        <v>1.6104061589668108</v>
      </c>
      <c r="BA455" s="202">
        <f t="shared" si="245"/>
        <v>1.5635011252104958</v>
      </c>
      <c r="BB455" s="202">
        <f t="shared" si="245"/>
        <v>1.517962257485918</v>
      </c>
      <c r="BC455" s="202">
        <f t="shared" si="245"/>
        <v>1.4737497645494353</v>
      </c>
      <c r="BD455" s="202">
        <f t="shared" si="245"/>
        <v>1.4308250141256653</v>
      </c>
      <c r="BE455" s="202">
        <f t="shared" si="245"/>
        <v>1.3891504991511314</v>
      </c>
      <c r="BF455" s="202">
        <f t="shared" si="245"/>
        <v>1.3486898050010985</v>
      </c>
      <c r="BG455" s="203">
        <f t="shared" si="238"/>
        <v>36.239800129849542</v>
      </c>
    </row>
    <row r="456" spans="27:59">
      <c r="AA456" s="180">
        <f t="shared" si="239"/>
        <v>1869000000</v>
      </c>
      <c r="AB456" s="41">
        <f t="shared" si="240"/>
        <v>2225</v>
      </c>
      <c r="AC456" s="21">
        <v>89</v>
      </c>
      <c r="AD456" s="21" t="s">
        <v>283</v>
      </c>
      <c r="AE456" s="175">
        <f t="shared" si="246"/>
        <v>30</v>
      </c>
      <c r="AF456" s="183">
        <f t="shared" si="247"/>
        <v>27</v>
      </c>
      <c r="AG456" s="84">
        <f t="shared" si="248"/>
        <v>0.39750000000000002</v>
      </c>
      <c r="AH456" s="242">
        <f t="shared" si="249"/>
        <v>0.159</v>
      </c>
      <c r="AI456" s="76">
        <f t="shared" si="250"/>
        <v>1.5600000000000002E-3</v>
      </c>
      <c r="AJ456" s="181">
        <f t="shared" si="251"/>
        <v>5.5650000000000005E-2</v>
      </c>
      <c r="AK456" s="182">
        <f t="shared" si="252"/>
        <v>2.3077257367928001</v>
      </c>
      <c r="AM456" s="201">
        <f t="shared" si="237"/>
        <v>2.3649357367928001</v>
      </c>
      <c r="AN456" s="202">
        <f t="shared" si="243"/>
        <v>2.2960541133910679</v>
      </c>
      <c r="AO456" s="202">
        <f t="shared" si="243"/>
        <v>2.2291787508651146</v>
      </c>
      <c r="AP456" s="202">
        <f t="shared" si="244"/>
        <v>2.16425121443215</v>
      </c>
      <c r="AQ456" s="202">
        <f t="shared" si="244"/>
        <v>2.1012147712933498</v>
      </c>
      <c r="AR456" s="202">
        <f t="shared" si="244"/>
        <v>2.0400143410615046</v>
      </c>
      <c r="AS456" s="202">
        <f t="shared" si="244"/>
        <v>1.9805964476325288</v>
      </c>
      <c r="AT456" s="202">
        <f t="shared" si="244"/>
        <v>1.9229091724587657</v>
      </c>
      <c r="AU456" s="202">
        <f t="shared" si="244"/>
        <v>1.8669021091832678</v>
      </c>
      <c r="AV456" s="202">
        <f t="shared" si="244"/>
        <v>1.8125263195954056</v>
      </c>
      <c r="AW456" s="202">
        <f t="shared" si="244"/>
        <v>1.7597342908693259</v>
      </c>
      <c r="AX456" s="202">
        <f t="shared" si="244"/>
        <v>1.7084798940478891</v>
      </c>
      <c r="AY456" s="202">
        <f t="shared" si="244"/>
        <v>1.6587183437358151</v>
      </c>
      <c r="AZ456" s="202">
        <f t="shared" si="245"/>
        <v>1.6104061589668108</v>
      </c>
      <c r="BA456" s="202">
        <f t="shared" si="245"/>
        <v>1.5635011252104958</v>
      </c>
      <c r="BB456" s="202">
        <f t="shared" si="245"/>
        <v>1.517962257485918</v>
      </c>
      <c r="BC456" s="202">
        <f t="shared" si="245"/>
        <v>1.4737497645494353</v>
      </c>
      <c r="BD456" s="202">
        <f t="shared" si="245"/>
        <v>1.4308250141256653</v>
      </c>
      <c r="BE456" s="202">
        <f t="shared" si="245"/>
        <v>1.3891504991511314</v>
      </c>
      <c r="BF456" s="202">
        <f t="shared" si="245"/>
        <v>1.3486898050010985</v>
      </c>
      <c r="BG456" s="203">
        <f t="shared" si="238"/>
        <v>36.239800129849542</v>
      </c>
    </row>
    <row r="457" spans="27:59">
      <c r="AA457" s="180">
        <f t="shared" si="239"/>
        <v>1890000000</v>
      </c>
      <c r="AB457" s="41">
        <f t="shared" si="240"/>
        <v>2250</v>
      </c>
      <c r="AC457" s="21">
        <v>90</v>
      </c>
      <c r="AD457" s="21" t="s">
        <v>283</v>
      </c>
      <c r="AE457" s="175">
        <f t="shared" si="246"/>
        <v>30</v>
      </c>
      <c r="AF457" s="183">
        <f t="shared" si="247"/>
        <v>27</v>
      </c>
      <c r="AG457" s="84">
        <f t="shared" si="248"/>
        <v>0.39750000000000002</v>
      </c>
      <c r="AH457" s="242">
        <f t="shared" si="249"/>
        <v>0.159</v>
      </c>
      <c r="AI457" s="76">
        <f t="shared" si="250"/>
        <v>1.5600000000000002E-3</v>
      </c>
      <c r="AJ457" s="181">
        <f t="shared" si="251"/>
        <v>5.5650000000000005E-2</v>
      </c>
      <c r="AK457" s="182">
        <f t="shared" si="252"/>
        <v>2.3077257367928001</v>
      </c>
      <c r="AM457" s="201">
        <f t="shared" si="237"/>
        <v>2.3649357367928001</v>
      </c>
      <c r="AN457" s="202">
        <f t="shared" si="243"/>
        <v>2.2960541133910679</v>
      </c>
      <c r="AO457" s="202">
        <f t="shared" si="243"/>
        <v>2.2291787508651146</v>
      </c>
      <c r="AP457" s="202">
        <f t="shared" si="244"/>
        <v>2.16425121443215</v>
      </c>
      <c r="AQ457" s="202">
        <f t="shared" si="244"/>
        <v>2.1012147712933498</v>
      </c>
      <c r="AR457" s="202">
        <f t="shared" si="244"/>
        <v>2.0400143410615046</v>
      </c>
      <c r="AS457" s="202">
        <f t="shared" si="244"/>
        <v>1.9805964476325288</v>
      </c>
      <c r="AT457" s="202">
        <f t="shared" si="244"/>
        <v>1.9229091724587657</v>
      </c>
      <c r="AU457" s="202">
        <f t="shared" si="244"/>
        <v>1.8669021091832678</v>
      </c>
      <c r="AV457" s="202">
        <f t="shared" si="244"/>
        <v>1.8125263195954056</v>
      </c>
      <c r="AW457" s="202">
        <f t="shared" si="244"/>
        <v>1.7597342908693259</v>
      </c>
      <c r="AX457" s="202">
        <f t="shared" si="244"/>
        <v>1.7084798940478891</v>
      </c>
      <c r="AY457" s="202">
        <f t="shared" si="244"/>
        <v>1.6587183437358151</v>
      </c>
      <c r="AZ457" s="202">
        <f t="shared" si="245"/>
        <v>1.6104061589668108</v>
      </c>
      <c r="BA457" s="202">
        <f t="shared" si="245"/>
        <v>1.5635011252104958</v>
      </c>
      <c r="BB457" s="202">
        <f t="shared" si="245"/>
        <v>1.517962257485918</v>
      </c>
      <c r="BC457" s="202">
        <f t="shared" si="245"/>
        <v>1.4737497645494353</v>
      </c>
      <c r="BD457" s="202">
        <f t="shared" si="245"/>
        <v>1.4308250141256653</v>
      </c>
      <c r="BE457" s="202">
        <f t="shared" si="245"/>
        <v>1.3891504991511314</v>
      </c>
      <c r="BF457" s="202">
        <f t="shared" si="245"/>
        <v>1.3486898050010985</v>
      </c>
      <c r="BG457" s="203">
        <f t="shared" si="238"/>
        <v>36.239800129849542</v>
      </c>
    </row>
    <row r="458" spans="27:59">
      <c r="AA458" s="180">
        <f t="shared" si="239"/>
        <v>1911000000</v>
      </c>
      <c r="AB458" s="41">
        <f t="shared" si="240"/>
        <v>2275</v>
      </c>
      <c r="AC458" s="21">
        <v>91</v>
      </c>
      <c r="AD458" s="21" t="s">
        <v>283</v>
      </c>
      <c r="AE458" s="175">
        <f t="shared" si="246"/>
        <v>30</v>
      </c>
      <c r="AF458" s="183">
        <f t="shared" si="247"/>
        <v>27</v>
      </c>
      <c r="AG458" s="84">
        <f t="shared" si="248"/>
        <v>0.39750000000000002</v>
      </c>
      <c r="AH458" s="242">
        <f t="shared" si="249"/>
        <v>0.159</v>
      </c>
      <c r="AI458" s="76">
        <f t="shared" si="250"/>
        <v>1.5600000000000002E-3</v>
      </c>
      <c r="AJ458" s="181">
        <f t="shared" si="251"/>
        <v>5.5650000000000005E-2</v>
      </c>
      <c r="AK458" s="182">
        <f t="shared" si="252"/>
        <v>2.3077257367928001</v>
      </c>
      <c r="AM458" s="201">
        <f t="shared" si="237"/>
        <v>2.3649357367928001</v>
      </c>
      <c r="AN458" s="202">
        <f t="shared" si="243"/>
        <v>2.2960541133910679</v>
      </c>
      <c r="AO458" s="202">
        <f t="shared" si="243"/>
        <v>2.2291787508651146</v>
      </c>
      <c r="AP458" s="202">
        <f t="shared" ref="AP458:AY467" si="253">$AM458/POWER(1+($B$10/100),AP$366-2024)</f>
        <v>2.16425121443215</v>
      </c>
      <c r="AQ458" s="202">
        <f t="shared" si="253"/>
        <v>2.1012147712933498</v>
      </c>
      <c r="AR458" s="202">
        <f t="shared" si="253"/>
        <v>2.0400143410615046</v>
      </c>
      <c r="AS458" s="202">
        <f t="shared" si="253"/>
        <v>1.9805964476325288</v>
      </c>
      <c r="AT458" s="202">
        <f t="shared" si="253"/>
        <v>1.9229091724587657</v>
      </c>
      <c r="AU458" s="202">
        <f t="shared" si="253"/>
        <v>1.8669021091832678</v>
      </c>
      <c r="AV458" s="202">
        <f t="shared" si="253"/>
        <v>1.8125263195954056</v>
      </c>
      <c r="AW458" s="202">
        <f t="shared" si="253"/>
        <v>1.7597342908693259</v>
      </c>
      <c r="AX458" s="202">
        <f t="shared" si="253"/>
        <v>1.7084798940478891</v>
      </c>
      <c r="AY458" s="202">
        <f t="shared" si="253"/>
        <v>1.6587183437358151</v>
      </c>
      <c r="AZ458" s="202">
        <f t="shared" ref="AZ458:BF467" si="254">$AM458/POWER(1+($B$10/100),AZ$366-2024)</f>
        <v>1.6104061589668108</v>
      </c>
      <c r="BA458" s="202">
        <f t="shared" si="254"/>
        <v>1.5635011252104958</v>
      </c>
      <c r="BB458" s="202">
        <f t="shared" si="254"/>
        <v>1.517962257485918</v>
      </c>
      <c r="BC458" s="202">
        <f t="shared" si="254"/>
        <v>1.4737497645494353</v>
      </c>
      <c r="BD458" s="202">
        <f t="shared" si="254"/>
        <v>1.4308250141256653</v>
      </c>
      <c r="BE458" s="202">
        <f t="shared" si="254"/>
        <v>1.3891504991511314</v>
      </c>
      <c r="BF458" s="202">
        <f t="shared" si="254"/>
        <v>1.3486898050010985</v>
      </c>
      <c r="BG458" s="203">
        <f t="shared" si="238"/>
        <v>36.239800129849542</v>
      </c>
    </row>
    <row r="459" spans="27:59">
      <c r="AA459" s="180">
        <f t="shared" si="239"/>
        <v>1932000000</v>
      </c>
      <c r="AB459" s="41">
        <f t="shared" si="240"/>
        <v>2300</v>
      </c>
      <c r="AC459" s="21">
        <v>92</v>
      </c>
      <c r="AD459" s="21" t="s">
        <v>283</v>
      </c>
      <c r="AE459" s="175">
        <f t="shared" si="246"/>
        <v>30</v>
      </c>
      <c r="AF459" s="183">
        <f t="shared" si="247"/>
        <v>27</v>
      </c>
      <c r="AG459" s="84">
        <f t="shared" si="248"/>
        <v>0.39750000000000002</v>
      </c>
      <c r="AH459" s="242">
        <f t="shared" si="249"/>
        <v>0.159</v>
      </c>
      <c r="AI459" s="76">
        <f t="shared" si="250"/>
        <v>1.5600000000000002E-3</v>
      </c>
      <c r="AJ459" s="181">
        <f t="shared" si="251"/>
        <v>5.5650000000000005E-2</v>
      </c>
      <c r="AK459" s="182">
        <f t="shared" si="252"/>
        <v>2.3077257367928001</v>
      </c>
      <c r="AM459" s="201">
        <f t="shared" si="237"/>
        <v>2.3649357367928001</v>
      </c>
      <c r="AN459" s="202">
        <f t="shared" si="243"/>
        <v>2.2960541133910679</v>
      </c>
      <c r="AO459" s="202">
        <f t="shared" si="243"/>
        <v>2.2291787508651146</v>
      </c>
      <c r="AP459" s="202">
        <f t="shared" si="253"/>
        <v>2.16425121443215</v>
      </c>
      <c r="AQ459" s="202">
        <f t="shared" si="253"/>
        <v>2.1012147712933498</v>
      </c>
      <c r="AR459" s="202">
        <f t="shared" si="253"/>
        <v>2.0400143410615046</v>
      </c>
      <c r="AS459" s="202">
        <f t="shared" si="253"/>
        <v>1.9805964476325288</v>
      </c>
      <c r="AT459" s="202">
        <f t="shared" si="253"/>
        <v>1.9229091724587657</v>
      </c>
      <c r="AU459" s="202">
        <f t="shared" si="253"/>
        <v>1.8669021091832678</v>
      </c>
      <c r="AV459" s="202">
        <f t="shared" si="253"/>
        <v>1.8125263195954056</v>
      </c>
      <c r="AW459" s="202">
        <f t="shared" si="253"/>
        <v>1.7597342908693259</v>
      </c>
      <c r="AX459" s="202">
        <f t="shared" si="253"/>
        <v>1.7084798940478891</v>
      </c>
      <c r="AY459" s="202">
        <f t="shared" si="253"/>
        <v>1.6587183437358151</v>
      </c>
      <c r="AZ459" s="202">
        <f t="shared" si="254"/>
        <v>1.6104061589668108</v>
      </c>
      <c r="BA459" s="202">
        <f t="shared" si="254"/>
        <v>1.5635011252104958</v>
      </c>
      <c r="BB459" s="202">
        <f t="shared" si="254"/>
        <v>1.517962257485918</v>
      </c>
      <c r="BC459" s="202">
        <f t="shared" si="254"/>
        <v>1.4737497645494353</v>
      </c>
      <c r="BD459" s="202">
        <f t="shared" si="254"/>
        <v>1.4308250141256653</v>
      </c>
      <c r="BE459" s="202">
        <f t="shared" si="254"/>
        <v>1.3891504991511314</v>
      </c>
      <c r="BF459" s="202">
        <f t="shared" si="254"/>
        <v>1.3486898050010985</v>
      </c>
      <c r="BG459" s="203">
        <f t="shared" si="238"/>
        <v>36.239800129849542</v>
      </c>
    </row>
    <row r="460" spans="27:59">
      <c r="AA460" s="180">
        <f t="shared" si="239"/>
        <v>1953000000</v>
      </c>
      <c r="AB460" s="41">
        <f t="shared" si="240"/>
        <v>2325</v>
      </c>
      <c r="AC460" s="21">
        <v>93</v>
      </c>
      <c r="AD460" s="21" t="s">
        <v>283</v>
      </c>
      <c r="AE460" s="175">
        <f t="shared" si="246"/>
        <v>30</v>
      </c>
      <c r="AF460" s="183">
        <f t="shared" si="247"/>
        <v>27</v>
      </c>
      <c r="AG460" s="84">
        <f t="shared" si="248"/>
        <v>0.39750000000000002</v>
      </c>
      <c r="AH460" s="242">
        <f t="shared" si="249"/>
        <v>0.159</v>
      </c>
      <c r="AI460" s="76">
        <f t="shared" si="250"/>
        <v>1.5600000000000002E-3</v>
      </c>
      <c r="AJ460" s="181">
        <f t="shared" si="251"/>
        <v>5.5650000000000005E-2</v>
      </c>
      <c r="AK460" s="182">
        <f t="shared" si="252"/>
        <v>2.3077257367928001</v>
      </c>
      <c r="AM460" s="201">
        <f t="shared" si="237"/>
        <v>2.3649357367928001</v>
      </c>
      <c r="AN460" s="202">
        <f t="shared" si="243"/>
        <v>2.2960541133910679</v>
      </c>
      <c r="AO460" s="202">
        <f t="shared" si="243"/>
        <v>2.2291787508651146</v>
      </c>
      <c r="AP460" s="202">
        <f t="shared" si="253"/>
        <v>2.16425121443215</v>
      </c>
      <c r="AQ460" s="202">
        <f t="shared" si="253"/>
        <v>2.1012147712933498</v>
      </c>
      <c r="AR460" s="202">
        <f t="shared" si="253"/>
        <v>2.0400143410615046</v>
      </c>
      <c r="AS460" s="202">
        <f t="shared" si="253"/>
        <v>1.9805964476325288</v>
      </c>
      <c r="AT460" s="202">
        <f t="shared" si="253"/>
        <v>1.9229091724587657</v>
      </c>
      <c r="AU460" s="202">
        <f t="shared" si="253"/>
        <v>1.8669021091832678</v>
      </c>
      <c r="AV460" s="202">
        <f t="shared" si="253"/>
        <v>1.8125263195954056</v>
      </c>
      <c r="AW460" s="202">
        <f t="shared" si="253"/>
        <v>1.7597342908693259</v>
      </c>
      <c r="AX460" s="202">
        <f t="shared" si="253"/>
        <v>1.7084798940478891</v>
      </c>
      <c r="AY460" s="202">
        <f t="shared" si="253"/>
        <v>1.6587183437358151</v>
      </c>
      <c r="AZ460" s="202">
        <f t="shared" si="254"/>
        <v>1.6104061589668108</v>
      </c>
      <c r="BA460" s="202">
        <f t="shared" si="254"/>
        <v>1.5635011252104958</v>
      </c>
      <c r="BB460" s="202">
        <f t="shared" si="254"/>
        <v>1.517962257485918</v>
      </c>
      <c r="BC460" s="202">
        <f t="shared" si="254"/>
        <v>1.4737497645494353</v>
      </c>
      <c r="BD460" s="202">
        <f t="shared" si="254"/>
        <v>1.4308250141256653</v>
      </c>
      <c r="BE460" s="202">
        <f t="shared" si="254"/>
        <v>1.3891504991511314</v>
      </c>
      <c r="BF460" s="202">
        <f t="shared" si="254"/>
        <v>1.3486898050010985</v>
      </c>
      <c r="BG460" s="203">
        <f t="shared" si="238"/>
        <v>36.239800129849542</v>
      </c>
    </row>
    <row r="461" spans="27:59">
      <c r="AA461" s="180">
        <f t="shared" si="239"/>
        <v>1974000000</v>
      </c>
      <c r="AB461" s="41">
        <f t="shared" si="240"/>
        <v>2350</v>
      </c>
      <c r="AC461" s="21">
        <v>94</v>
      </c>
      <c r="AD461" s="21" t="s">
        <v>283</v>
      </c>
      <c r="AE461" s="175">
        <f t="shared" si="246"/>
        <v>30</v>
      </c>
      <c r="AF461" s="183">
        <f t="shared" si="247"/>
        <v>27</v>
      </c>
      <c r="AG461" s="84">
        <f t="shared" si="248"/>
        <v>0.39750000000000002</v>
      </c>
      <c r="AH461" s="242">
        <f t="shared" si="249"/>
        <v>0.159</v>
      </c>
      <c r="AI461" s="76">
        <f t="shared" si="250"/>
        <v>1.5600000000000002E-3</v>
      </c>
      <c r="AJ461" s="181">
        <f t="shared" si="251"/>
        <v>5.5650000000000005E-2</v>
      </c>
      <c r="AK461" s="182">
        <f t="shared" si="252"/>
        <v>2.3077257367928001</v>
      </c>
      <c r="AM461" s="201">
        <f t="shared" si="237"/>
        <v>2.3649357367928001</v>
      </c>
      <c r="AN461" s="202">
        <f t="shared" si="243"/>
        <v>2.2960541133910679</v>
      </c>
      <c r="AO461" s="202">
        <f t="shared" si="243"/>
        <v>2.2291787508651146</v>
      </c>
      <c r="AP461" s="202">
        <f t="shared" si="253"/>
        <v>2.16425121443215</v>
      </c>
      <c r="AQ461" s="202">
        <f t="shared" si="253"/>
        <v>2.1012147712933498</v>
      </c>
      <c r="AR461" s="202">
        <f t="shared" si="253"/>
        <v>2.0400143410615046</v>
      </c>
      <c r="AS461" s="202">
        <f t="shared" si="253"/>
        <v>1.9805964476325288</v>
      </c>
      <c r="AT461" s="202">
        <f t="shared" si="253"/>
        <v>1.9229091724587657</v>
      </c>
      <c r="AU461" s="202">
        <f t="shared" si="253"/>
        <v>1.8669021091832678</v>
      </c>
      <c r="AV461" s="202">
        <f t="shared" si="253"/>
        <v>1.8125263195954056</v>
      </c>
      <c r="AW461" s="202">
        <f t="shared" si="253"/>
        <v>1.7597342908693259</v>
      </c>
      <c r="AX461" s="202">
        <f t="shared" si="253"/>
        <v>1.7084798940478891</v>
      </c>
      <c r="AY461" s="202">
        <f t="shared" si="253"/>
        <v>1.6587183437358151</v>
      </c>
      <c r="AZ461" s="202">
        <f t="shared" si="254"/>
        <v>1.6104061589668108</v>
      </c>
      <c r="BA461" s="202">
        <f t="shared" si="254"/>
        <v>1.5635011252104958</v>
      </c>
      <c r="BB461" s="202">
        <f t="shared" si="254"/>
        <v>1.517962257485918</v>
      </c>
      <c r="BC461" s="202">
        <f t="shared" si="254"/>
        <v>1.4737497645494353</v>
      </c>
      <c r="BD461" s="202">
        <f t="shared" si="254"/>
        <v>1.4308250141256653</v>
      </c>
      <c r="BE461" s="202">
        <f t="shared" si="254"/>
        <v>1.3891504991511314</v>
      </c>
      <c r="BF461" s="202">
        <f t="shared" si="254"/>
        <v>1.3486898050010985</v>
      </c>
      <c r="BG461" s="203">
        <f t="shared" si="238"/>
        <v>36.239800129849542</v>
      </c>
    </row>
    <row r="462" spans="27:59">
      <c r="AA462" s="180">
        <f t="shared" si="239"/>
        <v>1995000000</v>
      </c>
      <c r="AB462" s="41">
        <f t="shared" si="240"/>
        <v>2375</v>
      </c>
      <c r="AC462" s="21">
        <v>95</v>
      </c>
      <c r="AD462" s="21" t="s">
        <v>283</v>
      </c>
      <c r="AE462" s="175">
        <f t="shared" si="246"/>
        <v>30</v>
      </c>
      <c r="AF462" s="183">
        <f t="shared" si="247"/>
        <v>27</v>
      </c>
      <c r="AG462" s="84">
        <f t="shared" si="248"/>
        <v>0.39750000000000002</v>
      </c>
      <c r="AH462" s="242">
        <f t="shared" si="249"/>
        <v>0.159</v>
      </c>
      <c r="AI462" s="76">
        <f t="shared" si="250"/>
        <v>1.5600000000000002E-3</v>
      </c>
      <c r="AJ462" s="181">
        <f t="shared" si="251"/>
        <v>5.5650000000000005E-2</v>
      </c>
      <c r="AK462" s="182">
        <f t="shared" si="252"/>
        <v>2.3077257367928001</v>
      </c>
      <c r="AM462" s="201">
        <f t="shared" si="237"/>
        <v>2.3649357367928001</v>
      </c>
      <c r="AN462" s="202">
        <f t="shared" si="243"/>
        <v>2.2960541133910679</v>
      </c>
      <c r="AO462" s="202">
        <f t="shared" si="243"/>
        <v>2.2291787508651146</v>
      </c>
      <c r="AP462" s="202">
        <f t="shared" si="253"/>
        <v>2.16425121443215</v>
      </c>
      <c r="AQ462" s="202">
        <f t="shared" si="253"/>
        <v>2.1012147712933498</v>
      </c>
      <c r="AR462" s="202">
        <f t="shared" si="253"/>
        <v>2.0400143410615046</v>
      </c>
      <c r="AS462" s="202">
        <f t="shared" si="253"/>
        <v>1.9805964476325288</v>
      </c>
      <c r="AT462" s="202">
        <f t="shared" si="253"/>
        <v>1.9229091724587657</v>
      </c>
      <c r="AU462" s="202">
        <f t="shared" si="253"/>
        <v>1.8669021091832678</v>
      </c>
      <c r="AV462" s="202">
        <f t="shared" si="253"/>
        <v>1.8125263195954056</v>
      </c>
      <c r="AW462" s="202">
        <f t="shared" si="253"/>
        <v>1.7597342908693259</v>
      </c>
      <c r="AX462" s="202">
        <f t="shared" si="253"/>
        <v>1.7084798940478891</v>
      </c>
      <c r="AY462" s="202">
        <f t="shared" si="253"/>
        <v>1.6587183437358151</v>
      </c>
      <c r="AZ462" s="202">
        <f t="shared" si="254"/>
        <v>1.6104061589668108</v>
      </c>
      <c r="BA462" s="202">
        <f t="shared" si="254"/>
        <v>1.5635011252104958</v>
      </c>
      <c r="BB462" s="202">
        <f t="shared" si="254"/>
        <v>1.517962257485918</v>
      </c>
      <c r="BC462" s="202">
        <f t="shared" si="254"/>
        <v>1.4737497645494353</v>
      </c>
      <c r="BD462" s="202">
        <f t="shared" si="254"/>
        <v>1.4308250141256653</v>
      </c>
      <c r="BE462" s="202">
        <f t="shared" si="254"/>
        <v>1.3891504991511314</v>
      </c>
      <c r="BF462" s="202">
        <f t="shared" si="254"/>
        <v>1.3486898050010985</v>
      </c>
      <c r="BG462" s="203">
        <f t="shared" si="238"/>
        <v>36.239800129849542</v>
      </c>
    </row>
    <row r="463" spans="27:59">
      <c r="AA463" s="180">
        <f t="shared" si="239"/>
        <v>2016000000</v>
      </c>
      <c r="AB463" s="41">
        <f t="shared" si="240"/>
        <v>2400</v>
      </c>
      <c r="AC463" s="21">
        <v>96</v>
      </c>
      <c r="AD463" s="21" t="s">
        <v>283</v>
      </c>
      <c r="AE463" s="175">
        <f t="shared" si="246"/>
        <v>30</v>
      </c>
      <c r="AF463" s="183">
        <f t="shared" si="247"/>
        <v>27</v>
      </c>
      <c r="AG463" s="84">
        <f t="shared" si="248"/>
        <v>0.39750000000000002</v>
      </c>
      <c r="AH463" s="242">
        <f t="shared" si="249"/>
        <v>0.159</v>
      </c>
      <c r="AI463" s="76">
        <f t="shared" si="250"/>
        <v>1.5600000000000002E-3</v>
      </c>
      <c r="AJ463" s="181">
        <f t="shared" si="251"/>
        <v>5.5650000000000005E-2</v>
      </c>
      <c r="AK463" s="182">
        <f t="shared" si="252"/>
        <v>2.3077257367928001</v>
      </c>
      <c r="AM463" s="201">
        <f t="shared" si="237"/>
        <v>2.3649357367928001</v>
      </c>
      <c r="AN463" s="202">
        <f t="shared" si="243"/>
        <v>2.2960541133910679</v>
      </c>
      <c r="AO463" s="202">
        <f t="shared" si="243"/>
        <v>2.2291787508651146</v>
      </c>
      <c r="AP463" s="202">
        <f t="shared" si="253"/>
        <v>2.16425121443215</v>
      </c>
      <c r="AQ463" s="202">
        <f t="shared" si="253"/>
        <v>2.1012147712933498</v>
      </c>
      <c r="AR463" s="202">
        <f t="shared" si="253"/>
        <v>2.0400143410615046</v>
      </c>
      <c r="AS463" s="202">
        <f t="shared" si="253"/>
        <v>1.9805964476325288</v>
      </c>
      <c r="AT463" s="202">
        <f t="shared" si="253"/>
        <v>1.9229091724587657</v>
      </c>
      <c r="AU463" s="202">
        <f t="shared" si="253"/>
        <v>1.8669021091832678</v>
      </c>
      <c r="AV463" s="202">
        <f t="shared" si="253"/>
        <v>1.8125263195954056</v>
      </c>
      <c r="AW463" s="202">
        <f t="shared" si="253"/>
        <v>1.7597342908693259</v>
      </c>
      <c r="AX463" s="202">
        <f t="shared" si="253"/>
        <v>1.7084798940478891</v>
      </c>
      <c r="AY463" s="202">
        <f t="shared" si="253"/>
        <v>1.6587183437358151</v>
      </c>
      <c r="AZ463" s="202">
        <f t="shared" si="254"/>
        <v>1.6104061589668108</v>
      </c>
      <c r="BA463" s="202">
        <f t="shared" si="254"/>
        <v>1.5635011252104958</v>
      </c>
      <c r="BB463" s="202">
        <f t="shared" si="254"/>
        <v>1.517962257485918</v>
      </c>
      <c r="BC463" s="202">
        <f t="shared" si="254"/>
        <v>1.4737497645494353</v>
      </c>
      <c r="BD463" s="202">
        <f t="shared" si="254"/>
        <v>1.4308250141256653</v>
      </c>
      <c r="BE463" s="202">
        <f t="shared" si="254"/>
        <v>1.3891504991511314</v>
      </c>
      <c r="BF463" s="202">
        <f t="shared" si="254"/>
        <v>1.3486898050010985</v>
      </c>
      <c r="BG463" s="203">
        <f t="shared" si="238"/>
        <v>36.239800129849542</v>
      </c>
    </row>
    <row r="464" spans="27:59">
      <c r="AA464" s="180">
        <f t="shared" si="239"/>
        <v>2037000000</v>
      </c>
      <c r="AB464" s="41">
        <f t="shared" si="240"/>
        <v>2425</v>
      </c>
      <c r="AC464" s="21">
        <v>97</v>
      </c>
      <c r="AD464" s="21" t="s">
        <v>283</v>
      </c>
      <c r="AE464" s="175">
        <f t="shared" si="246"/>
        <v>30</v>
      </c>
      <c r="AF464" s="183">
        <f t="shared" si="247"/>
        <v>27</v>
      </c>
      <c r="AG464" s="84">
        <f t="shared" si="248"/>
        <v>0.39750000000000002</v>
      </c>
      <c r="AH464" s="242">
        <f t="shared" si="249"/>
        <v>0.159</v>
      </c>
      <c r="AI464" s="76">
        <f t="shared" si="250"/>
        <v>1.5600000000000002E-3</v>
      </c>
      <c r="AJ464" s="181">
        <f t="shared" si="251"/>
        <v>5.5650000000000005E-2</v>
      </c>
      <c r="AK464" s="182">
        <f t="shared" si="252"/>
        <v>2.3077257367928001</v>
      </c>
      <c r="AM464" s="201">
        <f t="shared" si="237"/>
        <v>2.3649357367928001</v>
      </c>
      <c r="AN464" s="202">
        <f t="shared" si="243"/>
        <v>2.2960541133910679</v>
      </c>
      <c r="AO464" s="202">
        <f t="shared" si="243"/>
        <v>2.2291787508651146</v>
      </c>
      <c r="AP464" s="202">
        <f t="shared" si="253"/>
        <v>2.16425121443215</v>
      </c>
      <c r="AQ464" s="202">
        <f t="shared" si="253"/>
        <v>2.1012147712933498</v>
      </c>
      <c r="AR464" s="202">
        <f t="shared" si="253"/>
        <v>2.0400143410615046</v>
      </c>
      <c r="AS464" s="202">
        <f t="shared" si="253"/>
        <v>1.9805964476325288</v>
      </c>
      <c r="AT464" s="202">
        <f t="shared" si="253"/>
        <v>1.9229091724587657</v>
      </c>
      <c r="AU464" s="202">
        <f t="shared" si="253"/>
        <v>1.8669021091832678</v>
      </c>
      <c r="AV464" s="202">
        <f t="shared" si="253"/>
        <v>1.8125263195954056</v>
      </c>
      <c r="AW464" s="202">
        <f t="shared" si="253"/>
        <v>1.7597342908693259</v>
      </c>
      <c r="AX464" s="202">
        <f t="shared" si="253"/>
        <v>1.7084798940478891</v>
      </c>
      <c r="AY464" s="202">
        <f t="shared" si="253"/>
        <v>1.6587183437358151</v>
      </c>
      <c r="AZ464" s="202">
        <f t="shared" si="254"/>
        <v>1.6104061589668108</v>
      </c>
      <c r="BA464" s="202">
        <f t="shared" si="254"/>
        <v>1.5635011252104958</v>
      </c>
      <c r="BB464" s="202">
        <f t="shared" si="254"/>
        <v>1.517962257485918</v>
      </c>
      <c r="BC464" s="202">
        <f t="shared" si="254"/>
        <v>1.4737497645494353</v>
      </c>
      <c r="BD464" s="202">
        <f t="shared" si="254"/>
        <v>1.4308250141256653</v>
      </c>
      <c r="BE464" s="202">
        <f t="shared" si="254"/>
        <v>1.3891504991511314</v>
      </c>
      <c r="BF464" s="202">
        <f t="shared" si="254"/>
        <v>1.3486898050010985</v>
      </c>
      <c r="BG464" s="203">
        <f t="shared" si="238"/>
        <v>36.239800129849542</v>
      </c>
    </row>
    <row r="465" spans="27:59">
      <c r="AA465" s="180">
        <f t="shared" si="239"/>
        <v>2058000000</v>
      </c>
      <c r="AB465" s="41">
        <f t="shared" si="240"/>
        <v>2450</v>
      </c>
      <c r="AC465" s="21">
        <v>98</v>
      </c>
      <c r="AD465" s="21" t="s">
        <v>283</v>
      </c>
      <c r="AE465" s="175">
        <f t="shared" si="246"/>
        <v>30</v>
      </c>
      <c r="AF465" s="183">
        <f t="shared" si="247"/>
        <v>27</v>
      </c>
      <c r="AG465" s="84">
        <f t="shared" si="248"/>
        <v>0.39750000000000002</v>
      </c>
      <c r="AH465" s="242">
        <f t="shared" si="249"/>
        <v>0.159</v>
      </c>
      <c r="AI465" s="76">
        <f t="shared" si="250"/>
        <v>1.5600000000000002E-3</v>
      </c>
      <c r="AJ465" s="181">
        <f t="shared" si="251"/>
        <v>5.5650000000000005E-2</v>
      </c>
      <c r="AK465" s="182">
        <f t="shared" si="252"/>
        <v>2.3077257367928001</v>
      </c>
      <c r="AM465" s="201">
        <f t="shared" si="237"/>
        <v>2.3649357367928001</v>
      </c>
      <c r="AN465" s="202">
        <f t="shared" si="243"/>
        <v>2.2960541133910679</v>
      </c>
      <c r="AO465" s="202">
        <f t="shared" si="243"/>
        <v>2.2291787508651146</v>
      </c>
      <c r="AP465" s="202">
        <f t="shared" si="253"/>
        <v>2.16425121443215</v>
      </c>
      <c r="AQ465" s="202">
        <f t="shared" si="253"/>
        <v>2.1012147712933498</v>
      </c>
      <c r="AR465" s="202">
        <f t="shared" si="253"/>
        <v>2.0400143410615046</v>
      </c>
      <c r="AS465" s="202">
        <f t="shared" si="253"/>
        <v>1.9805964476325288</v>
      </c>
      <c r="AT465" s="202">
        <f t="shared" si="253"/>
        <v>1.9229091724587657</v>
      </c>
      <c r="AU465" s="202">
        <f t="shared" si="253"/>
        <v>1.8669021091832678</v>
      </c>
      <c r="AV465" s="202">
        <f t="shared" si="253"/>
        <v>1.8125263195954056</v>
      </c>
      <c r="AW465" s="202">
        <f t="shared" si="253"/>
        <v>1.7597342908693259</v>
      </c>
      <c r="AX465" s="202">
        <f t="shared" si="253"/>
        <v>1.7084798940478891</v>
      </c>
      <c r="AY465" s="202">
        <f t="shared" si="253"/>
        <v>1.6587183437358151</v>
      </c>
      <c r="AZ465" s="202">
        <f t="shared" si="254"/>
        <v>1.6104061589668108</v>
      </c>
      <c r="BA465" s="202">
        <f t="shared" si="254"/>
        <v>1.5635011252104958</v>
      </c>
      <c r="BB465" s="202">
        <f t="shared" si="254"/>
        <v>1.517962257485918</v>
      </c>
      <c r="BC465" s="202">
        <f t="shared" si="254"/>
        <v>1.4737497645494353</v>
      </c>
      <c r="BD465" s="202">
        <f t="shared" si="254"/>
        <v>1.4308250141256653</v>
      </c>
      <c r="BE465" s="202">
        <f t="shared" si="254"/>
        <v>1.3891504991511314</v>
      </c>
      <c r="BF465" s="202">
        <f t="shared" si="254"/>
        <v>1.3486898050010985</v>
      </c>
      <c r="BG465" s="203">
        <f t="shared" si="238"/>
        <v>36.239800129849542</v>
      </c>
    </row>
    <row r="466" spans="27:59">
      <c r="AA466" s="180">
        <f t="shared" si="239"/>
        <v>2079000000</v>
      </c>
      <c r="AB466" s="41">
        <f t="shared" si="240"/>
        <v>2475</v>
      </c>
      <c r="AC466" s="21">
        <v>99</v>
      </c>
      <c r="AD466" s="21" t="s">
        <v>283</v>
      </c>
      <c r="AE466" s="175">
        <f t="shared" si="246"/>
        <v>30</v>
      </c>
      <c r="AF466" s="183">
        <f t="shared" si="247"/>
        <v>27</v>
      </c>
      <c r="AG466" s="84">
        <f t="shared" si="248"/>
        <v>0.39750000000000002</v>
      </c>
      <c r="AH466" s="242">
        <f t="shared" si="249"/>
        <v>0.159</v>
      </c>
      <c r="AI466" s="76">
        <f t="shared" si="250"/>
        <v>1.5600000000000002E-3</v>
      </c>
      <c r="AJ466" s="181">
        <f t="shared" si="251"/>
        <v>5.5650000000000005E-2</v>
      </c>
      <c r="AK466" s="182">
        <f t="shared" si="252"/>
        <v>2.3077257367928001</v>
      </c>
      <c r="AM466" s="201">
        <f t="shared" si="237"/>
        <v>2.3649357367928001</v>
      </c>
      <c r="AN466" s="202">
        <f t="shared" si="243"/>
        <v>2.2960541133910679</v>
      </c>
      <c r="AO466" s="202">
        <f t="shared" si="243"/>
        <v>2.2291787508651146</v>
      </c>
      <c r="AP466" s="202">
        <f t="shared" si="253"/>
        <v>2.16425121443215</v>
      </c>
      <c r="AQ466" s="202">
        <f t="shared" si="253"/>
        <v>2.1012147712933498</v>
      </c>
      <c r="AR466" s="202">
        <f t="shared" si="253"/>
        <v>2.0400143410615046</v>
      </c>
      <c r="AS466" s="202">
        <f t="shared" si="253"/>
        <v>1.9805964476325288</v>
      </c>
      <c r="AT466" s="202">
        <f t="shared" si="253"/>
        <v>1.9229091724587657</v>
      </c>
      <c r="AU466" s="202">
        <f t="shared" si="253"/>
        <v>1.8669021091832678</v>
      </c>
      <c r="AV466" s="202">
        <f t="shared" si="253"/>
        <v>1.8125263195954056</v>
      </c>
      <c r="AW466" s="202">
        <f t="shared" si="253"/>
        <v>1.7597342908693259</v>
      </c>
      <c r="AX466" s="202">
        <f t="shared" si="253"/>
        <v>1.7084798940478891</v>
      </c>
      <c r="AY466" s="202">
        <f t="shared" si="253"/>
        <v>1.6587183437358151</v>
      </c>
      <c r="AZ466" s="202">
        <f t="shared" si="254"/>
        <v>1.6104061589668108</v>
      </c>
      <c r="BA466" s="202">
        <f t="shared" si="254"/>
        <v>1.5635011252104958</v>
      </c>
      <c r="BB466" s="202">
        <f t="shared" si="254"/>
        <v>1.517962257485918</v>
      </c>
      <c r="BC466" s="202">
        <f t="shared" si="254"/>
        <v>1.4737497645494353</v>
      </c>
      <c r="BD466" s="202">
        <f t="shared" si="254"/>
        <v>1.4308250141256653</v>
      </c>
      <c r="BE466" s="202">
        <f t="shared" si="254"/>
        <v>1.3891504991511314</v>
      </c>
      <c r="BF466" s="202">
        <f t="shared" si="254"/>
        <v>1.3486898050010985</v>
      </c>
      <c r="BG466" s="203">
        <f t="shared" si="238"/>
        <v>36.239800129849542</v>
      </c>
    </row>
    <row r="467" spans="27:59">
      <c r="AA467" s="180">
        <f t="shared" si="239"/>
        <v>2100000000</v>
      </c>
      <c r="AB467" s="41">
        <f t="shared" si="240"/>
        <v>2500</v>
      </c>
      <c r="AC467" s="21">
        <v>100</v>
      </c>
      <c r="AD467" s="21" t="s">
        <v>283</v>
      </c>
      <c r="AE467" s="175">
        <f t="shared" si="246"/>
        <v>30</v>
      </c>
      <c r="AF467" s="183">
        <f t="shared" si="247"/>
        <v>27</v>
      </c>
      <c r="AG467" s="84">
        <f t="shared" si="248"/>
        <v>0.39750000000000002</v>
      </c>
      <c r="AH467" s="242">
        <f t="shared" si="249"/>
        <v>0.159</v>
      </c>
      <c r="AI467" s="76">
        <f t="shared" si="250"/>
        <v>1.5600000000000002E-3</v>
      </c>
      <c r="AJ467" s="181">
        <f t="shared" si="251"/>
        <v>5.5650000000000005E-2</v>
      </c>
      <c r="AK467" s="182">
        <f t="shared" si="252"/>
        <v>2.3077257367928001</v>
      </c>
      <c r="AM467" s="201">
        <f t="shared" si="237"/>
        <v>2.3649357367928001</v>
      </c>
      <c r="AN467" s="202">
        <f t="shared" ref="AN467:AO486" si="255">$AM467/POWER(1+($B$10/100),AN$366-2024)</f>
        <v>2.2960541133910679</v>
      </c>
      <c r="AO467" s="202">
        <f t="shared" si="255"/>
        <v>2.2291787508651146</v>
      </c>
      <c r="AP467" s="202">
        <f t="shared" si="253"/>
        <v>2.16425121443215</v>
      </c>
      <c r="AQ467" s="202">
        <f t="shared" si="253"/>
        <v>2.1012147712933498</v>
      </c>
      <c r="AR467" s="202">
        <f t="shared" si="253"/>
        <v>2.0400143410615046</v>
      </c>
      <c r="AS467" s="202">
        <f t="shared" si="253"/>
        <v>1.9805964476325288</v>
      </c>
      <c r="AT467" s="202">
        <f t="shared" si="253"/>
        <v>1.9229091724587657</v>
      </c>
      <c r="AU467" s="202">
        <f t="shared" si="253"/>
        <v>1.8669021091832678</v>
      </c>
      <c r="AV467" s="202">
        <f t="shared" si="253"/>
        <v>1.8125263195954056</v>
      </c>
      <c r="AW467" s="202">
        <f t="shared" si="253"/>
        <v>1.7597342908693259</v>
      </c>
      <c r="AX467" s="202">
        <f t="shared" si="253"/>
        <v>1.7084798940478891</v>
      </c>
      <c r="AY467" s="202">
        <f t="shared" si="253"/>
        <v>1.6587183437358151</v>
      </c>
      <c r="AZ467" s="202">
        <f t="shared" si="254"/>
        <v>1.6104061589668108</v>
      </c>
      <c r="BA467" s="202">
        <f t="shared" si="254"/>
        <v>1.5635011252104958</v>
      </c>
      <c r="BB467" s="202">
        <f t="shared" si="254"/>
        <v>1.517962257485918</v>
      </c>
      <c r="BC467" s="202">
        <f t="shared" si="254"/>
        <v>1.4737497645494353</v>
      </c>
      <c r="BD467" s="202">
        <f t="shared" si="254"/>
        <v>1.4308250141256653</v>
      </c>
      <c r="BE467" s="202">
        <f t="shared" si="254"/>
        <v>1.3891504991511314</v>
      </c>
      <c r="BF467" s="202">
        <f t="shared" si="254"/>
        <v>1.3486898050010985</v>
      </c>
      <c r="BG467" s="203">
        <f t="shared" si="238"/>
        <v>36.239800129849542</v>
      </c>
    </row>
    <row r="468" spans="27:59">
      <c r="AA468" s="180">
        <f t="shared" si="239"/>
        <v>2121000000</v>
      </c>
      <c r="AB468" s="41">
        <f t="shared" si="240"/>
        <v>2525</v>
      </c>
      <c r="AC468" s="21">
        <v>101</v>
      </c>
      <c r="AD468" s="21" t="s">
        <v>283</v>
      </c>
      <c r="AE468" s="175">
        <f t="shared" si="246"/>
        <v>30</v>
      </c>
      <c r="AF468" s="183">
        <f t="shared" si="247"/>
        <v>27</v>
      </c>
      <c r="AG468" s="84">
        <f t="shared" si="248"/>
        <v>0.39750000000000002</v>
      </c>
      <c r="AH468" s="242">
        <f t="shared" si="249"/>
        <v>0.159</v>
      </c>
      <c r="AI468" s="76">
        <f t="shared" si="250"/>
        <v>1.5600000000000002E-3</v>
      </c>
      <c r="AJ468" s="181">
        <f t="shared" si="251"/>
        <v>5.5650000000000005E-2</v>
      </c>
      <c r="AK468" s="182">
        <f t="shared" si="252"/>
        <v>2.3077257367928001</v>
      </c>
      <c r="AM468" s="201">
        <f t="shared" si="237"/>
        <v>2.3649357367928001</v>
      </c>
      <c r="AN468" s="202">
        <f t="shared" si="255"/>
        <v>2.2960541133910679</v>
      </c>
      <c r="AO468" s="202">
        <f t="shared" si="255"/>
        <v>2.2291787508651146</v>
      </c>
      <c r="AP468" s="202">
        <f t="shared" ref="AP468:AY477" si="256">$AM468/POWER(1+($B$10/100),AP$366-2024)</f>
        <v>2.16425121443215</v>
      </c>
      <c r="AQ468" s="202">
        <f t="shared" si="256"/>
        <v>2.1012147712933498</v>
      </c>
      <c r="AR468" s="202">
        <f t="shared" si="256"/>
        <v>2.0400143410615046</v>
      </c>
      <c r="AS468" s="202">
        <f t="shared" si="256"/>
        <v>1.9805964476325288</v>
      </c>
      <c r="AT468" s="202">
        <f t="shared" si="256"/>
        <v>1.9229091724587657</v>
      </c>
      <c r="AU468" s="202">
        <f t="shared" si="256"/>
        <v>1.8669021091832678</v>
      </c>
      <c r="AV468" s="202">
        <f t="shared" si="256"/>
        <v>1.8125263195954056</v>
      </c>
      <c r="AW468" s="202">
        <f t="shared" si="256"/>
        <v>1.7597342908693259</v>
      </c>
      <c r="AX468" s="202">
        <f t="shared" si="256"/>
        <v>1.7084798940478891</v>
      </c>
      <c r="AY468" s="202">
        <f t="shared" si="256"/>
        <v>1.6587183437358151</v>
      </c>
      <c r="AZ468" s="202">
        <f t="shared" ref="AZ468:BF477" si="257">$AM468/POWER(1+($B$10/100),AZ$366-2024)</f>
        <v>1.6104061589668108</v>
      </c>
      <c r="BA468" s="202">
        <f t="shared" si="257"/>
        <v>1.5635011252104958</v>
      </c>
      <c r="BB468" s="202">
        <f t="shared" si="257"/>
        <v>1.517962257485918</v>
      </c>
      <c r="BC468" s="202">
        <f t="shared" si="257"/>
        <v>1.4737497645494353</v>
      </c>
      <c r="BD468" s="202">
        <f t="shared" si="257"/>
        <v>1.4308250141256653</v>
      </c>
      <c r="BE468" s="202">
        <f t="shared" si="257"/>
        <v>1.3891504991511314</v>
      </c>
      <c r="BF468" s="202">
        <f t="shared" si="257"/>
        <v>1.3486898050010985</v>
      </c>
      <c r="BG468" s="203">
        <f t="shared" si="238"/>
        <v>36.239800129849542</v>
      </c>
    </row>
    <row r="469" spans="27:59">
      <c r="AA469" s="180">
        <f t="shared" si="239"/>
        <v>2142000000</v>
      </c>
      <c r="AB469" s="41">
        <f t="shared" si="240"/>
        <v>2550</v>
      </c>
      <c r="AC469" s="21">
        <v>102</v>
      </c>
      <c r="AD469" s="21" t="s">
        <v>283</v>
      </c>
      <c r="AE469" s="175">
        <f t="shared" si="246"/>
        <v>30</v>
      </c>
      <c r="AF469" s="183">
        <f t="shared" si="247"/>
        <v>27</v>
      </c>
      <c r="AG469" s="84">
        <f t="shared" si="248"/>
        <v>0.39750000000000002</v>
      </c>
      <c r="AH469" s="242">
        <f t="shared" si="249"/>
        <v>0.159</v>
      </c>
      <c r="AI469" s="76">
        <f t="shared" si="250"/>
        <v>1.5600000000000002E-3</v>
      </c>
      <c r="AJ469" s="181">
        <f t="shared" si="251"/>
        <v>5.5650000000000005E-2</v>
      </c>
      <c r="AK469" s="182">
        <f t="shared" si="252"/>
        <v>2.3077257367928001</v>
      </c>
      <c r="AM469" s="201">
        <f t="shared" si="237"/>
        <v>2.3649357367928001</v>
      </c>
      <c r="AN469" s="202">
        <f t="shared" si="255"/>
        <v>2.2960541133910679</v>
      </c>
      <c r="AO469" s="202">
        <f t="shared" si="255"/>
        <v>2.2291787508651146</v>
      </c>
      <c r="AP469" s="202">
        <f t="shared" si="256"/>
        <v>2.16425121443215</v>
      </c>
      <c r="AQ469" s="202">
        <f t="shared" si="256"/>
        <v>2.1012147712933498</v>
      </c>
      <c r="AR469" s="202">
        <f t="shared" si="256"/>
        <v>2.0400143410615046</v>
      </c>
      <c r="AS469" s="202">
        <f t="shared" si="256"/>
        <v>1.9805964476325288</v>
      </c>
      <c r="AT469" s="202">
        <f t="shared" si="256"/>
        <v>1.9229091724587657</v>
      </c>
      <c r="AU469" s="202">
        <f t="shared" si="256"/>
        <v>1.8669021091832678</v>
      </c>
      <c r="AV469" s="202">
        <f t="shared" si="256"/>
        <v>1.8125263195954056</v>
      </c>
      <c r="AW469" s="202">
        <f t="shared" si="256"/>
        <v>1.7597342908693259</v>
      </c>
      <c r="AX469" s="202">
        <f t="shared" si="256"/>
        <v>1.7084798940478891</v>
      </c>
      <c r="AY469" s="202">
        <f t="shared" si="256"/>
        <v>1.6587183437358151</v>
      </c>
      <c r="AZ469" s="202">
        <f t="shared" si="257"/>
        <v>1.6104061589668108</v>
      </c>
      <c r="BA469" s="202">
        <f t="shared" si="257"/>
        <v>1.5635011252104958</v>
      </c>
      <c r="BB469" s="202">
        <f t="shared" si="257"/>
        <v>1.517962257485918</v>
      </c>
      <c r="BC469" s="202">
        <f t="shared" si="257"/>
        <v>1.4737497645494353</v>
      </c>
      <c r="BD469" s="202">
        <f t="shared" si="257"/>
        <v>1.4308250141256653</v>
      </c>
      <c r="BE469" s="202">
        <f t="shared" si="257"/>
        <v>1.3891504991511314</v>
      </c>
      <c r="BF469" s="202">
        <f t="shared" si="257"/>
        <v>1.3486898050010985</v>
      </c>
      <c r="BG469" s="203">
        <f t="shared" si="238"/>
        <v>36.239800129849542</v>
      </c>
    </row>
    <row r="470" spans="27:59">
      <c r="AA470" s="180">
        <f t="shared" si="239"/>
        <v>2163000000</v>
      </c>
      <c r="AB470" s="41">
        <f t="shared" si="240"/>
        <v>2575</v>
      </c>
      <c r="AC470" s="21">
        <v>103</v>
      </c>
      <c r="AD470" s="21" t="s">
        <v>283</v>
      </c>
      <c r="AE470" s="175">
        <f t="shared" si="246"/>
        <v>30</v>
      </c>
      <c r="AF470" s="183">
        <f t="shared" si="247"/>
        <v>27</v>
      </c>
      <c r="AG470" s="84">
        <f t="shared" si="248"/>
        <v>0.39750000000000002</v>
      </c>
      <c r="AH470" s="242">
        <f t="shared" si="249"/>
        <v>0.159</v>
      </c>
      <c r="AI470" s="76">
        <f t="shared" si="250"/>
        <v>1.5600000000000002E-3</v>
      </c>
      <c r="AJ470" s="181">
        <f t="shared" si="251"/>
        <v>5.5650000000000005E-2</v>
      </c>
      <c r="AK470" s="182">
        <f t="shared" si="252"/>
        <v>2.3077257367928001</v>
      </c>
      <c r="AM470" s="201">
        <f t="shared" si="237"/>
        <v>2.3649357367928001</v>
      </c>
      <c r="AN470" s="202">
        <f t="shared" si="255"/>
        <v>2.2960541133910679</v>
      </c>
      <c r="AO470" s="202">
        <f t="shared" si="255"/>
        <v>2.2291787508651146</v>
      </c>
      <c r="AP470" s="202">
        <f t="shared" si="256"/>
        <v>2.16425121443215</v>
      </c>
      <c r="AQ470" s="202">
        <f t="shared" si="256"/>
        <v>2.1012147712933498</v>
      </c>
      <c r="AR470" s="202">
        <f t="shared" si="256"/>
        <v>2.0400143410615046</v>
      </c>
      <c r="AS470" s="202">
        <f t="shared" si="256"/>
        <v>1.9805964476325288</v>
      </c>
      <c r="AT470" s="202">
        <f t="shared" si="256"/>
        <v>1.9229091724587657</v>
      </c>
      <c r="AU470" s="202">
        <f t="shared" si="256"/>
        <v>1.8669021091832678</v>
      </c>
      <c r="AV470" s="202">
        <f t="shared" si="256"/>
        <v>1.8125263195954056</v>
      </c>
      <c r="AW470" s="202">
        <f t="shared" si="256"/>
        <v>1.7597342908693259</v>
      </c>
      <c r="AX470" s="202">
        <f t="shared" si="256"/>
        <v>1.7084798940478891</v>
      </c>
      <c r="AY470" s="202">
        <f t="shared" si="256"/>
        <v>1.6587183437358151</v>
      </c>
      <c r="AZ470" s="202">
        <f t="shared" si="257"/>
        <v>1.6104061589668108</v>
      </c>
      <c r="BA470" s="202">
        <f t="shared" si="257"/>
        <v>1.5635011252104958</v>
      </c>
      <c r="BB470" s="202">
        <f t="shared" si="257"/>
        <v>1.517962257485918</v>
      </c>
      <c r="BC470" s="202">
        <f t="shared" si="257"/>
        <v>1.4737497645494353</v>
      </c>
      <c r="BD470" s="202">
        <f t="shared" si="257"/>
        <v>1.4308250141256653</v>
      </c>
      <c r="BE470" s="202">
        <f t="shared" si="257"/>
        <v>1.3891504991511314</v>
      </c>
      <c r="BF470" s="202">
        <f t="shared" si="257"/>
        <v>1.3486898050010985</v>
      </c>
      <c r="BG470" s="203">
        <f t="shared" si="238"/>
        <v>36.239800129849542</v>
      </c>
    </row>
    <row r="471" spans="27:59">
      <c r="AA471" s="180">
        <f t="shared" si="239"/>
        <v>2184000000</v>
      </c>
      <c r="AB471" s="41">
        <f t="shared" si="240"/>
        <v>2600</v>
      </c>
      <c r="AC471" s="21">
        <v>104</v>
      </c>
      <c r="AD471" s="21" t="s">
        <v>283</v>
      </c>
      <c r="AE471" s="175">
        <f t="shared" si="246"/>
        <v>30</v>
      </c>
      <c r="AF471" s="183">
        <f t="shared" si="247"/>
        <v>27</v>
      </c>
      <c r="AG471" s="84">
        <f t="shared" si="248"/>
        <v>0.39750000000000002</v>
      </c>
      <c r="AH471" s="242">
        <f t="shared" si="249"/>
        <v>0.159</v>
      </c>
      <c r="AI471" s="76">
        <f t="shared" si="250"/>
        <v>1.5600000000000002E-3</v>
      </c>
      <c r="AJ471" s="181">
        <f t="shared" si="251"/>
        <v>5.5650000000000005E-2</v>
      </c>
      <c r="AK471" s="182">
        <f t="shared" si="252"/>
        <v>2.3077257367928001</v>
      </c>
      <c r="AM471" s="201">
        <f t="shared" si="237"/>
        <v>2.3649357367928001</v>
      </c>
      <c r="AN471" s="202">
        <f t="shared" si="255"/>
        <v>2.2960541133910679</v>
      </c>
      <c r="AO471" s="202">
        <f t="shared" si="255"/>
        <v>2.2291787508651146</v>
      </c>
      <c r="AP471" s="202">
        <f t="shared" si="256"/>
        <v>2.16425121443215</v>
      </c>
      <c r="AQ471" s="202">
        <f t="shared" si="256"/>
        <v>2.1012147712933498</v>
      </c>
      <c r="AR471" s="202">
        <f t="shared" si="256"/>
        <v>2.0400143410615046</v>
      </c>
      <c r="AS471" s="202">
        <f t="shared" si="256"/>
        <v>1.9805964476325288</v>
      </c>
      <c r="AT471" s="202">
        <f t="shared" si="256"/>
        <v>1.9229091724587657</v>
      </c>
      <c r="AU471" s="202">
        <f t="shared" si="256"/>
        <v>1.8669021091832678</v>
      </c>
      <c r="AV471" s="202">
        <f t="shared" si="256"/>
        <v>1.8125263195954056</v>
      </c>
      <c r="AW471" s="202">
        <f t="shared" si="256"/>
        <v>1.7597342908693259</v>
      </c>
      <c r="AX471" s="202">
        <f t="shared" si="256"/>
        <v>1.7084798940478891</v>
      </c>
      <c r="AY471" s="202">
        <f t="shared" si="256"/>
        <v>1.6587183437358151</v>
      </c>
      <c r="AZ471" s="202">
        <f t="shared" si="257"/>
        <v>1.6104061589668108</v>
      </c>
      <c r="BA471" s="202">
        <f t="shared" si="257"/>
        <v>1.5635011252104958</v>
      </c>
      <c r="BB471" s="202">
        <f t="shared" si="257"/>
        <v>1.517962257485918</v>
      </c>
      <c r="BC471" s="202">
        <f t="shared" si="257"/>
        <v>1.4737497645494353</v>
      </c>
      <c r="BD471" s="202">
        <f t="shared" si="257"/>
        <v>1.4308250141256653</v>
      </c>
      <c r="BE471" s="202">
        <f t="shared" si="257"/>
        <v>1.3891504991511314</v>
      </c>
      <c r="BF471" s="202">
        <f t="shared" si="257"/>
        <v>1.3486898050010985</v>
      </c>
      <c r="BG471" s="203">
        <f t="shared" si="238"/>
        <v>36.239800129849542</v>
      </c>
    </row>
    <row r="472" spans="27:59">
      <c r="AA472" s="180">
        <f t="shared" si="239"/>
        <v>2205000000</v>
      </c>
      <c r="AB472" s="41">
        <f t="shared" si="240"/>
        <v>2625</v>
      </c>
      <c r="AC472" s="21">
        <v>105</v>
      </c>
      <c r="AD472" s="21" t="s">
        <v>283</v>
      </c>
      <c r="AE472" s="175">
        <f t="shared" si="246"/>
        <v>30</v>
      </c>
      <c r="AF472" s="183">
        <f t="shared" si="247"/>
        <v>27</v>
      </c>
      <c r="AG472" s="84">
        <f t="shared" si="248"/>
        <v>0.39750000000000002</v>
      </c>
      <c r="AH472" s="242">
        <f t="shared" si="249"/>
        <v>0.159</v>
      </c>
      <c r="AI472" s="76">
        <f t="shared" si="250"/>
        <v>1.5600000000000002E-3</v>
      </c>
      <c r="AJ472" s="181">
        <f t="shared" si="251"/>
        <v>5.5650000000000005E-2</v>
      </c>
      <c r="AK472" s="182">
        <f t="shared" si="252"/>
        <v>2.3077257367928001</v>
      </c>
      <c r="AM472" s="201">
        <f t="shared" si="237"/>
        <v>2.3649357367928001</v>
      </c>
      <c r="AN472" s="202">
        <f t="shared" si="255"/>
        <v>2.2960541133910679</v>
      </c>
      <c r="AO472" s="202">
        <f t="shared" si="255"/>
        <v>2.2291787508651146</v>
      </c>
      <c r="AP472" s="202">
        <f t="shared" si="256"/>
        <v>2.16425121443215</v>
      </c>
      <c r="AQ472" s="202">
        <f t="shared" si="256"/>
        <v>2.1012147712933498</v>
      </c>
      <c r="AR472" s="202">
        <f t="shared" si="256"/>
        <v>2.0400143410615046</v>
      </c>
      <c r="AS472" s="202">
        <f t="shared" si="256"/>
        <v>1.9805964476325288</v>
      </c>
      <c r="AT472" s="202">
        <f t="shared" si="256"/>
        <v>1.9229091724587657</v>
      </c>
      <c r="AU472" s="202">
        <f t="shared" si="256"/>
        <v>1.8669021091832678</v>
      </c>
      <c r="AV472" s="202">
        <f t="shared" si="256"/>
        <v>1.8125263195954056</v>
      </c>
      <c r="AW472" s="202">
        <f t="shared" si="256"/>
        <v>1.7597342908693259</v>
      </c>
      <c r="AX472" s="202">
        <f t="shared" si="256"/>
        <v>1.7084798940478891</v>
      </c>
      <c r="AY472" s="202">
        <f t="shared" si="256"/>
        <v>1.6587183437358151</v>
      </c>
      <c r="AZ472" s="202">
        <f t="shared" si="257"/>
        <v>1.6104061589668108</v>
      </c>
      <c r="BA472" s="202">
        <f t="shared" si="257"/>
        <v>1.5635011252104958</v>
      </c>
      <c r="BB472" s="202">
        <f t="shared" si="257"/>
        <v>1.517962257485918</v>
      </c>
      <c r="BC472" s="202">
        <f t="shared" si="257"/>
        <v>1.4737497645494353</v>
      </c>
      <c r="BD472" s="202">
        <f t="shared" si="257"/>
        <v>1.4308250141256653</v>
      </c>
      <c r="BE472" s="202">
        <f t="shared" si="257"/>
        <v>1.3891504991511314</v>
      </c>
      <c r="BF472" s="202">
        <f t="shared" si="257"/>
        <v>1.3486898050010985</v>
      </c>
      <c r="BG472" s="203">
        <f t="shared" si="238"/>
        <v>36.239800129849542</v>
      </c>
    </row>
    <row r="473" spans="27:59">
      <c r="AA473" s="180">
        <f t="shared" si="239"/>
        <v>2226000000</v>
      </c>
      <c r="AB473" s="41">
        <f t="shared" si="240"/>
        <v>2650</v>
      </c>
      <c r="AC473" s="21">
        <v>106</v>
      </c>
      <c r="AD473" s="21" t="s">
        <v>283</v>
      </c>
      <c r="AE473" s="175">
        <f t="shared" si="246"/>
        <v>30</v>
      </c>
      <c r="AF473" s="183">
        <f t="shared" si="247"/>
        <v>27</v>
      </c>
      <c r="AG473" s="84">
        <f t="shared" si="248"/>
        <v>0.39750000000000002</v>
      </c>
      <c r="AH473" s="242">
        <f t="shared" si="249"/>
        <v>0.159</v>
      </c>
      <c r="AI473" s="76">
        <f t="shared" si="250"/>
        <v>1.5600000000000002E-3</v>
      </c>
      <c r="AJ473" s="181">
        <f t="shared" si="251"/>
        <v>5.5650000000000005E-2</v>
      </c>
      <c r="AK473" s="182">
        <f t="shared" si="252"/>
        <v>2.3077257367928001</v>
      </c>
      <c r="AM473" s="201">
        <f t="shared" si="237"/>
        <v>2.3649357367928001</v>
      </c>
      <c r="AN473" s="202">
        <f t="shared" si="255"/>
        <v>2.2960541133910679</v>
      </c>
      <c r="AO473" s="202">
        <f t="shared" si="255"/>
        <v>2.2291787508651146</v>
      </c>
      <c r="AP473" s="202">
        <f t="shared" si="256"/>
        <v>2.16425121443215</v>
      </c>
      <c r="AQ473" s="202">
        <f t="shared" si="256"/>
        <v>2.1012147712933498</v>
      </c>
      <c r="AR473" s="202">
        <f t="shared" si="256"/>
        <v>2.0400143410615046</v>
      </c>
      <c r="AS473" s="202">
        <f t="shared" si="256"/>
        <v>1.9805964476325288</v>
      </c>
      <c r="AT473" s="202">
        <f t="shared" si="256"/>
        <v>1.9229091724587657</v>
      </c>
      <c r="AU473" s="202">
        <f t="shared" si="256"/>
        <v>1.8669021091832678</v>
      </c>
      <c r="AV473" s="202">
        <f t="shared" si="256"/>
        <v>1.8125263195954056</v>
      </c>
      <c r="AW473" s="202">
        <f t="shared" si="256"/>
        <v>1.7597342908693259</v>
      </c>
      <c r="AX473" s="202">
        <f t="shared" si="256"/>
        <v>1.7084798940478891</v>
      </c>
      <c r="AY473" s="202">
        <f t="shared" si="256"/>
        <v>1.6587183437358151</v>
      </c>
      <c r="AZ473" s="202">
        <f t="shared" si="257"/>
        <v>1.6104061589668108</v>
      </c>
      <c r="BA473" s="202">
        <f t="shared" si="257"/>
        <v>1.5635011252104958</v>
      </c>
      <c r="BB473" s="202">
        <f t="shared" si="257"/>
        <v>1.517962257485918</v>
      </c>
      <c r="BC473" s="202">
        <f t="shared" si="257"/>
        <v>1.4737497645494353</v>
      </c>
      <c r="BD473" s="202">
        <f t="shared" si="257"/>
        <v>1.4308250141256653</v>
      </c>
      <c r="BE473" s="202">
        <f t="shared" si="257"/>
        <v>1.3891504991511314</v>
      </c>
      <c r="BF473" s="202">
        <f t="shared" si="257"/>
        <v>1.3486898050010985</v>
      </c>
      <c r="BG473" s="203">
        <f t="shared" si="238"/>
        <v>36.239800129849542</v>
      </c>
    </row>
    <row r="474" spans="27:59">
      <c r="AA474" s="180">
        <f t="shared" si="239"/>
        <v>2247000000</v>
      </c>
      <c r="AB474" s="41">
        <f t="shared" si="240"/>
        <v>2675</v>
      </c>
      <c r="AC474" s="21">
        <v>107</v>
      </c>
      <c r="AD474" s="21" t="s">
        <v>283</v>
      </c>
      <c r="AE474" s="175">
        <f t="shared" si="246"/>
        <v>30</v>
      </c>
      <c r="AF474" s="183">
        <f t="shared" si="247"/>
        <v>27</v>
      </c>
      <c r="AG474" s="84">
        <f t="shared" si="248"/>
        <v>0.39750000000000002</v>
      </c>
      <c r="AH474" s="242">
        <f t="shared" si="249"/>
        <v>0.159</v>
      </c>
      <c r="AI474" s="76">
        <f t="shared" si="250"/>
        <v>1.5600000000000002E-3</v>
      </c>
      <c r="AJ474" s="181">
        <f t="shared" si="251"/>
        <v>5.5650000000000005E-2</v>
      </c>
      <c r="AK474" s="182">
        <f t="shared" si="252"/>
        <v>2.3077257367928001</v>
      </c>
      <c r="AM474" s="201">
        <f t="shared" si="237"/>
        <v>2.3649357367928001</v>
      </c>
      <c r="AN474" s="202">
        <f t="shared" si="255"/>
        <v>2.2960541133910679</v>
      </c>
      <c r="AO474" s="202">
        <f t="shared" si="255"/>
        <v>2.2291787508651146</v>
      </c>
      <c r="AP474" s="202">
        <f t="shared" si="256"/>
        <v>2.16425121443215</v>
      </c>
      <c r="AQ474" s="202">
        <f t="shared" si="256"/>
        <v>2.1012147712933498</v>
      </c>
      <c r="AR474" s="202">
        <f t="shared" si="256"/>
        <v>2.0400143410615046</v>
      </c>
      <c r="AS474" s="202">
        <f t="shared" si="256"/>
        <v>1.9805964476325288</v>
      </c>
      <c r="AT474" s="202">
        <f t="shared" si="256"/>
        <v>1.9229091724587657</v>
      </c>
      <c r="AU474" s="202">
        <f t="shared" si="256"/>
        <v>1.8669021091832678</v>
      </c>
      <c r="AV474" s="202">
        <f t="shared" si="256"/>
        <v>1.8125263195954056</v>
      </c>
      <c r="AW474" s="202">
        <f t="shared" si="256"/>
        <v>1.7597342908693259</v>
      </c>
      <c r="AX474" s="202">
        <f t="shared" si="256"/>
        <v>1.7084798940478891</v>
      </c>
      <c r="AY474" s="202">
        <f t="shared" si="256"/>
        <v>1.6587183437358151</v>
      </c>
      <c r="AZ474" s="202">
        <f t="shared" si="257"/>
        <v>1.6104061589668108</v>
      </c>
      <c r="BA474" s="202">
        <f t="shared" si="257"/>
        <v>1.5635011252104958</v>
      </c>
      <c r="BB474" s="202">
        <f t="shared" si="257"/>
        <v>1.517962257485918</v>
      </c>
      <c r="BC474" s="202">
        <f t="shared" si="257"/>
        <v>1.4737497645494353</v>
      </c>
      <c r="BD474" s="202">
        <f t="shared" si="257"/>
        <v>1.4308250141256653</v>
      </c>
      <c r="BE474" s="202">
        <f t="shared" si="257"/>
        <v>1.3891504991511314</v>
      </c>
      <c r="BF474" s="202">
        <f t="shared" si="257"/>
        <v>1.3486898050010985</v>
      </c>
      <c r="BG474" s="203">
        <f t="shared" si="238"/>
        <v>36.239800129849542</v>
      </c>
    </row>
    <row r="475" spans="27:59">
      <c r="AA475" s="180">
        <f t="shared" si="239"/>
        <v>2268000000</v>
      </c>
      <c r="AB475" s="41">
        <f t="shared" si="240"/>
        <v>2700</v>
      </c>
      <c r="AC475" s="21">
        <v>108</v>
      </c>
      <c r="AD475" s="21" t="s">
        <v>283</v>
      </c>
      <c r="AE475" s="175">
        <f t="shared" si="246"/>
        <v>30</v>
      </c>
      <c r="AF475" s="183">
        <f t="shared" si="247"/>
        <v>27</v>
      </c>
      <c r="AG475" s="84">
        <f t="shared" si="248"/>
        <v>0.39750000000000002</v>
      </c>
      <c r="AH475" s="242">
        <f t="shared" si="249"/>
        <v>0.159</v>
      </c>
      <c r="AI475" s="76">
        <f t="shared" si="250"/>
        <v>1.5600000000000002E-3</v>
      </c>
      <c r="AJ475" s="181">
        <f t="shared" si="251"/>
        <v>5.5650000000000005E-2</v>
      </c>
      <c r="AK475" s="182">
        <f t="shared" si="252"/>
        <v>2.3077257367928001</v>
      </c>
      <c r="AM475" s="201">
        <f t="shared" si="237"/>
        <v>2.3649357367928001</v>
      </c>
      <c r="AN475" s="202">
        <f t="shared" si="255"/>
        <v>2.2960541133910679</v>
      </c>
      <c r="AO475" s="202">
        <f t="shared" si="255"/>
        <v>2.2291787508651146</v>
      </c>
      <c r="AP475" s="202">
        <f t="shared" si="256"/>
        <v>2.16425121443215</v>
      </c>
      <c r="AQ475" s="202">
        <f t="shared" si="256"/>
        <v>2.1012147712933498</v>
      </c>
      <c r="AR475" s="202">
        <f t="shared" si="256"/>
        <v>2.0400143410615046</v>
      </c>
      <c r="AS475" s="202">
        <f t="shared" si="256"/>
        <v>1.9805964476325288</v>
      </c>
      <c r="AT475" s="202">
        <f t="shared" si="256"/>
        <v>1.9229091724587657</v>
      </c>
      <c r="AU475" s="202">
        <f t="shared" si="256"/>
        <v>1.8669021091832678</v>
      </c>
      <c r="AV475" s="202">
        <f t="shared" si="256"/>
        <v>1.8125263195954056</v>
      </c>
      <c r="AW475" s="202">
        <f t="shared" si="256"/>
        <v>1.7597342908693259</v>
      </c>
      <c r="AX475" s="202">
        <f t="shared" si="256"/>
        <v>1.7084798940478891</v>
      </c>
      <c r="AY475" s="202">
        <f t="shared" si="256"/>
        <v>1.6587183437358151</v>
      </c>
      <c r="AZ475" s="202">
        <f t="shared" si="257"/>
        <v>1.6104061589668108</v>
      </c>
      <c r="BA475" s="202">
        <f t="shared" si="257"/>
        <v>1.5635011252104958</v>
      </c>
      <c r="BB475" s="202">
        <f t="shared" si="257"/>
        <v>1.517962257485918</v>
      </c>
      <c r="BC475" s="202">
        <f t="shared" si="257"/>
        <v>1.4737497645494353</v>
      </c>
      <c r="BD475" s="202">
        <f t="shared" si="257"/>
        <v>1.4308250141256653</v>
      </c>
      <c r="BE475" s="202">
        <f t="shared" si="257"/>
        <v>1.3891504991511314</v>
      </c>
      <c r="BF475" s="202">
        <f t="shared" si="257"/>
        <v>1.3486898050010985</v>
      </c>
      <c r="BG475" s="203">
        <f t="shared" si="238"/>
        <v>36.239800129849542</v>
      </c>
    </row>
    <row r="476" spans="27:59">
      <c r="AA476" s="180">
        <f t="shared" si="239"/>
        <v>2289000000</v>
      </c>
      <c r="AB476" s="41">
        <f t="shared" si="240"/>
        <v>2725</v>
      </c>
      <c r="AC476" s="21">
        <v>109</v>
      </c>
      <c r="AD476" s="21" t="s">
        <v>283</v>
      </c>
      <c r="AE476" s="175">
        <f t="shared" si="246"/>
        <v>30</v>
      </c>
      <c r="AF476" s="183">
        <f t="shared" si="247"/>
        <v>27</v>
      </c>
      <c r="AG476" s="84">
        <f t="shared" si="248"/>
        <v>0.39750000000000002</v>
      </c>
      <c r="AH476" s="242">
        <f t="shared" si="249"/>
        <v>0.159</v>
      </c>
      <c r="AI476" s="76">
        <f t="shared" si="250"/>
        <v>1.5600000000000002E-3</v>
      </c>
      <c r="AJ476" s="181">
        <f t="shared" si="251"/>
        <v>5.5650000000000005E-2</v>
      </c>
      <c r="AK476" s="182">
        <f t="shared" si="252"/>
        <v>2.3077257367928001</v>
      </c>
      <c r="AM476" s="201">
        <f t="shared" si="237"/>
        <v>2.3649357367928001</v>
      </c>
      <c r="AN476" s="202">
        <f t="shared" si="255"/>
        <v>2.2960541133910679</v>
      </c>
      <c r="AO476" s="202">
        <f t="shared" si="255"/>
        <v>2.2291787508651146</v>
      </c>
      <c r="AP476" s="202">
        <f t="shared" si="256"/>
        <v>2.16425121443215</v>
      </c>
      <c r="AQ476" s="202">
        <f t="shared" si="256"/>
        <v>2.1012147712933498</v>
      </c>
      <c r="AR476" s="202">
        <f t="shared" si="256"/>
        <v>2.0400143410615046</v>
      </c>
      <c r="AS476" s="202">
        <f t="shared" si="256"/>
        <v>1.9805964476325288</v>
      </c>
      <c r="AT476" s="202">
        <f t="shared" si="256"/>
        <v>1.9229091724587657</v>
      </c>
      <c r="AU476" s="202">
        <f t="shared" si="256"/>
        <v>1.8669021091832678</v>
      </c>
      <c r="AV476" s="202">
        <f t="shared" si="256"/>
        <v>1.8125263195954056</v>
      </c>
      <c r="AW476" s="202">
        <f t="shared" si="256"/>
        <v>1.7597342908693259</v>
      </c>
      <c r="AX476" s="202">
        <f t="shared" si="256"/>
        <v>1.7084798940478891</v>
      </c>
      <c r="AY476" s="202">
        <f t="shared" si="256"/>
        <v>1.6587183437358151</v>
      </c>
      <c r="AZ476" s="202">
        <f t="shared" si="257"/>
        <v>1.6104061589668108</v>
      </c>
      <c r="BA476" s="202">
        <f t="shared" si="257"/>
        <v>1.5635011252104958</v>
      </c>
      <c r="BB476" s="202">
        <f t="shared" si="257"/>
        <v>1.517962257485918</v>
      </c>
      <c r="BC476" s="202">
        <f t="shared" si="257"/>
        <v>1.4737497645494353</v>
      </c>
      <c r="BD476" s="202">
        <f t="shared" si="257"/>
        <v>1.4308250141256653</v>
      </c>
      <c r="BE476" s="202">
        <f t="shared" si="257"/>
        <v>1.3891504991511314</v>
      </c>
      <c r="BF476" s="202">
        <f t="shared" si="257"/>
        <v>1.3486898050010985</v>
      </c>
      <c r="BG476" s="203">
        <f t="shared" si="238"/>
        <v>36.239800129849542</v>
      </c>
    </row>
    <row r="477" spans="27:59">
      <c r="AA477" s="180">
        <f t="shared" si="239"/>
        <v>2310000000</v>
      </c>
      <c r="AB477" s="41">
        <f t="shared" si="240"/>
        <v>2750</v>
      </c>
      <c r="AC477" s="21">
        <v>110</v>
      </c>
      <c r="AD477" s="21" t="s">
        <v>283</v>
      </c>
      <c r="AE477" s="175">
        <f t="shared" si="246"/>
        <v>30</v>
      </c>
      <c r="AF477" s="183">
        <f t="shared" si="247"/>
        <v>27</v>
      </c>
      <c r="AG477" s="84">
        <f t="shared" si="248"/>
        <v>0.39750000000000002</v>
      </c>
      <c r="AH477" s="242">
        <f t="shared" si="249"/>
        <v>0.159</v>
      </c>
      <c r="AI477" s="76">
        <f t="shared" si="250"/>
        <v>1.5600000000000002E-3</v>
      </c>
      <c r="AJ477" s="181">
        <f t="shared" si="251"/>
        <v>5.5650000000000005E-2</v>
      </c>
      <c r="AK477" s="182">
        <f t="shared" si="252"/>
        <v>2.3077257367928001</v>
      </c>
      <c r="AM477" s="201">
        <f t="shared" si="237"/>
        <v>2.3649357367928001</v>
      </c>
      <c r="AN477" s="202">
        <f t="shared" si="255"/>
        <v>2.2960541133910679</v>
      </c>
      <c r="AO477" s="202">
        <f t="shared" si="255"/>
        <v>2.2291787508651146</v>
      </c>
      <c r="AP477" s="202">
        <f t="shared" si="256"/>
        <v>2.16425121443215</v>
      </c>
      <c r="AQ477" s="202">
        <f t="shared" si="256"/>
        <v>2.1012147712933498</v>
      </c>
      <c r="AR477" s="202">
        <f t="shared" si="256"/>
        <v>2.0400143410615046</v>
      </c>
      <c r="AS477" s="202">
        <f t="shared" si="256"/>
        <v>1.9805964476325288</v>
      </c>
      <c r="AT477" s="202">
        <f t="shared" si="256"/>
        <v>1.9229091724587657</v>
      </c>
      <c r="AU477" s="202">
        <f t="shared" si="256"/>
        <v>1.8669021091832678</v>
      </c>
      <c r="AV477" s="202">
        <f t="shared" si="256"/>
        <v>1.8125263195954056</v>
      </c>
      <c r="AW477" s="202">
        <f t="shared" si="256"/>
        <v>1.7597342908693259</v>
      </c>
      <c r="AX477" s="202">
        <f t="shared" si="256"/>
        <v>1.7084798940478891</v>
      </c>
      <c r="AY477" s="202">
        <f t="shared" si="256"/>
        <v>1.6587183437358151</v>
      </c>
      <c r="AZ477" s="202">
        <f t="shared" si="257"/>
        <v>1.6104061589668108</v>
      </c>
      <c r="BA477" s="202">
        <f t="shared" si="257"/>
        <v>1.5635011252104958</v>
      </c>
      <c r="BB477" s="202">
        <f t="shared" si="257"/>
        <v>1.517962257485918</v>
      </c>
      <c r="BC477" s="202">
        <f t="shared" si="257"/>
        <v>1.4737497645494353</v>
      </c>
      <c r="BD477" s="202">
        <f t="shared" si="257"/>
        <v>1.4308250141256653</v>
      </c>
      <c r="BE477" s="202">
        <f t="shared" si="257"/>
        <v>1.3891504991511314</v>
      </c>
      <c r="BF477" s="202">
        <f t="shared" si="257"/>
        <v>1.3486898050010985</v>
      </c>
      <c r="BG477" s="203">
        <f t="shared" si="238"/>
        <v>36.239800129849542</v>
      </c>
    </row>
    <row r="478" spans="27:59">
      <c r="AA478" s="180">
        <f t="shared" si="239"/>
        <v>2331000000</v>
      </c>
      <c r="AB478" s="41">
        <f t="shared" si="240"/>
        <v>2775</v>
      </c>
      <c r="AC478" s="21">
        <v>111</v>
      </c>
      <c r="AD478" s="21" t="s">
        <v>283</v>
      </c>
      <c r="AE478" s="175">
        <f t="shared" si="246"/>
        <v>30</v>
      </c>
      <c r="AF478" s="183">
        <f t="shared" si="247"/>
        <v>27</v>
      </c>
      <c r="AG478" s="84">
        <f t="shared" si="248"/>
        <v>0.39750000000000002</v>
      </c>
      <c r="AH478" s="242">
        <f t="shared" si="249"/>
        <v>0.159</v>
      </c>
      <c r="AI478" s="76">
        <f t="shared" si="250"/>
        <v>1.5600000000000002E-3</v>
      </c>
      <c r="AJ478" s="181">
        <f t="shared" si="251"/>
        <v>5.5650000000000005E-2</v>
      </c>
      <c r="AK478" s="182">
        <f t="shared" si="252"/>
        <v>2.3077257367928001</v>
      </c>
      <c r="AM478" s="201">
        <f t="shared" si="237"/>
        <v>2.3649357367928001</v>
      </c>
      <c r="AN478" s="202">
        <f t="shared" si="255"/>
        <v>2.2960541133910679</v>
      </c>
      <c r="AO478" s="202">
        <f t="shared" si="255"/>
        <v>2.2291787508651146</v>
      </c>
      <c r="AP478" s="202">
        <f t="shared" ref="AP478:AY487" si="258">$AM478/POWER(1+($B$10/100),AP$366-2024)</f>
        <v>2.16425121443215</v>
      </c>
      <c r="AQ478" s="202">
        <f t="shared" si="258"/>
        <v>2.1012147712933498</v>
      </c>
      <c r="AR478" s="202">
        <f t="shared" si="258"/>
        <v>2.0400143410615046</v>
      </c>
      <c r="AS478" s="202">
        <f t="shared" si="258"/>
        <v>1.9805964476325288</v>
      </c>
      <c r="AT478" s="202">
        <f t="shared" si="258"/>
        <v>1.9229091724587657</v>
      </c>
      <c r="AU478" s="202">
        <f t="shared" si="258"/>
        <v>1.8669021091832678</v>
      </c>
      <c r="AV478" s="202">
        <f t="shared" si="258"/>
        <v>1.8125263195954056</v>
      </c>
      <c r="AW478" s="202">
        <f t="shared" si="258"/>
        <v>1.7597342908693259</v>
      </c>
      <c r="AX478" s="202">
        <f t="shared" si="258"/>
        <v>1.7084798940478891</v>
      </c>
      <c r="AY478" s="202">
        <f t="shared" si="258"/>
        <v>1.6587183437358151</v>
      </c>
      <c r="AZ478" s="202">
        <f t="shared" ref="AZ478:BF487" si="259">$AM478/POWER(1+($B$10/100),AZ$366-2024)</f>
        <v>1.6104061589668108</v>
      </c>
      <c r="BA478" s="202">
        <f t="shared" si="259"/>
        <v>1.5635011252104958</v>
      </c>
      <c r="BB478" s="202">
        <f t="shared" si="259"/>
        <v>1.517962257485918</v>
      </c>
      <c r="BC478" s="202">
        <f t="shared" si="259"/>
        <v>1.4737497645494353</v>
      </c>
      <c r="BD478" s="202">
        <f t="shared" si="259"/>
        <v>1.4308250141256653</v>
      </c>
      <c r="BE478" s="202">
        <f t="shared" si="259"/>
        <v>1.3891504991511314</v>
      </c>
      <c r="BF478" s="202">
        <f t="shared" si="259"/>
        <v>1.3486898050010985</v>
      </c>
      <c r="BG478" s="203">
        <f t="shared" si="238"/>
        <v>36.239800129849542</v>
      </c>
    </row>
    <row r="479" spans="27:59">
      <c r="AA479" s="180">
        <f t="shared" si="239"/>
        <v>2352000000</v>
      </c>
      <c r="AB479" s="41">
        <f t="shared" si="240"/>
        <v>2800</v>
      </c>
      <c r="AC479" s="21">
        <v>112</v>
      </c>
      <c r="AD479" s="21" t="s">
        <v>283</v>
      </c>
      <c r="AE479" s="175">
        <f t="shared" si="246"/>
        <v>30</v>
      </c>
      <c r="AF479" s="183">
        <f t="shared" si="247"/>
        <v>27</v>
      </c>
      <c r="AG479" s="84">
        <f t="shared" si="248"/>
        <v>0.39750000000000002</v>
      </c>
      <c r="AH479" s="242">
        <f t="shared" si="249"/>
        <v>0.159</v>
      </c>
      <c r="AI479" s="76">
        <f t="shared" si="250"/>
        <v>1.5600000000000002E-3</v>
      </c>
      <c r="AJ479" s="181">
        <f t="shared" si="251"/>
        <v>5.5650000000000005E-2</v>
      </c>
      <c r="AK479" s="182">
        <f t="shared" si="252"/>
        <v>2.3077257367928001</v>
      </c>
      <c r="AM479" s="201">
        <f t="shared" si="237"/>
        <v>2.3649357367928001</v>
      </c>
      <c r="AN479" s="202">
        <f t="shared" si="255"/>
        <v>2.2960541133910679</v>
      </c>
      <c r="AO479" s="202">
        <f t="shared" si="255"/>
        <v>2.2291787508651146</v>
      </c>
      <c r="AP479" s="202">
        <f t="shared" si="258"/>
        <v>2.16425121443215</v>
      </c>
      <c r="AQ479" s="202">
        <f t="shared" si="258"/>
        <v>2.1012147712933498</v>
      </c>
      <c r="AR479" s="202">
        <f t="shared" si="258"/>
        <v>2.0400143410615046</v>
      </c>
      <c r="AS479" s="202">
        <f t="shared" si="258"/>
        <v>1.9805964476325288</v>
      </c>
      <c r="AT479" s="202">
        <f t="shared" si="258"/>
        <v>1.9229091724587657</v>
      </c>
      <c r="AU479" s="202">
        <f t="shared" si="258"/>
        <v>1.8669021091832678</v>
      </c>
      <c r="AV479" s="202">
        <f t="shared" si="258"/>
        <v>1.8125263195954056</v>
      </c>
      <c r="AW479" s="202">
        <f t="shared" si="258"/>
        <v>1.7597342908693259</v>
      </c>
      <c r="AX479" s="202">
        <f t="shared" si="258"/>
        <v>1.7084798940478891</v>
      </c>
      <c r="AY479" s="202">
        <f t="shared" si="258"/>
        <v>1.6587183437358151</v>
      </c>
      <c r="AZ479" s="202">
        <f t="shared" si="259"/>
        <v>1.6104061589668108</v>
      </c>
      <c r="BA479" s="202">
        <f t="shared" si="259"/>
        <v>1.5635011252104958</v>
      </c>
      <c r="BB479" s="202">
        <f t="shared" si="259"/>
        <v>1.517962257485918</v>
      </c>
      <c r="BC479" s="202">
        <f t="shared" si="259"/>
        <v>1.4737497645494353</v>
      </c>
      <c r="BD479" s="202">
        <f t="shared" si="259"/>
        <v>1.4308250141256653</v>
      </c>
      <c r="BE479" s="202">
        <f t="shared" si="259"/>
        <v>1.3891504991511314</v>
      </c>
      <c r="BF479" s="202">
        <f t="shared" si="259"/>
        <v>1.3486898050010985</v>
      </c>
      <c r="BG479" s="203">
        <f t="shared" si="238"/>
        <v>36.239800129849542</v>
      </c>
    </row>
    <row r="480" spans="27:59">
      <c r="AA480" s="180">
        <f t="shared" si="239"/>
        <v>2373000000</v>
      </c>
      <c r="AB480" s="41">
        <f t="shared" si="240"/>
        <v>2825</v>
      </c>
      <c r="AC480" s="21">
        <v>113</v>
      </c>
      <c r="AD480" s="21" t="s">
        <v>283</v>
      </c>
      <c r="AE480" s="175">
        <f t="shared" si="246"/>
        <v>30</v>
      </c>
      <c r="AF480" s="183">
        <f t="shared" si="247"/>
        <v>27</v>
      </c>
      <c r="AG480" s="84">
        <f t="shared" si="248"/>
        <v>0.39750000000000002</v>
      </c>
      <c r="AH480" s="242">
        <f t="shared" si="249"/>
        <v>0.159</v>
      </c>
      <c r="AI480" s="76">
        <f t="shared" si="250"/>
        <v>1.5600000000000002E-3</v>
      </c>
      <c r="AJ480" s="181">
        <f t="shared" si="251"/>
        <v>5.5650000000000005E-2</v>
      </c>
      <c r="AK480" s="182">
        <f t="shared" si="252"/>
        <v>2.3077257367928001</v>
      </c>
      <c r="AM480" s="201">
        <f t="shared" si="237"/>
        <v>2.3649357367928001</v>
      </c>
      <c r="AN480" s="202">
        <f t="shared" si="255"/>
        <v>2.2960541133910679</v>
      </c>
      <c r="AO480" s="202">
        <f t="shared" si="255"/>
        <v>2.2291787508651146</v>
      </c>
      <c r="AP480" s="202">
        <f t="shared" si="258"/>
        <v>2.16425121443215</v>
      </c>
      <c r="AQ480" s="202">
        <f t="shared" si="258"/>
        <v>2.1012147712933498</v>
      </c>
      <c r="AR480" s="202">
        <f t="shared" si="258"/>
        <v>2.0400143410615046</v>
      </c>
      <c r="AS480" s="202">
        <f t="shared" si="258"/>
        <v>1.9805964476325288</v>
      </c>
      <c r="AT480" s="202">
        <f t="shared" si="258"/>
        <v>1.9229091724587657</v>
      </c>
      <c r="AU480" s="202">
        <f t="shared" si="258"/>
        <v>1.8669021091832678</v>
      </c>
      <c r="AV480" s="202">
        <f t="shared" si="258"/>
        <v>1.8125263195954056</v>
      </c>
      <c r="AW480" s="202">
        <f t="shared" si="258"/>
        <v>1.7597342908693259</v>
      </c>
      <c r="AX480" s="202">
        <f t="shared" si="258"/>
        <v>1.7084798940478891</v>
      </c>
      <c r="AY480" s="202">
        <f t="shared" si="258"/>
        <v>1.6587183437358151</v>
      </c>
      <c r="AZ480" s="202">
        <f t="shared" si="259"/>
        <v>1.6104061589668108</v>
      </c>
      <c r="BA480" s="202">
        <f t="shared" si="259"/>
        <v>1.5635011252104958</v>
      </c>
      <c r="BB480" s="202">
        <f t="shared" si="259"/>
        <v>1.517962257485918</v>
      </c>
      <c r="BC480" s="202">
        <f t="shared" si="259"/>
        <v>1.4737497645494353</v>
      </c>
      <c r="BD480" s="202">
        <f t="shared" si="259"/>
        <v>1.4308250141256653</v>
      </c>
      <c r="BE480" s="202">
        <f t="shared" si="259"/>
        <v>1.3891504991511314</v>
      </c>
      <c r="BF480" s="202">
        <f t="shared" si="259"/>
        <v>1.3486898050010985</v>
      </c>
      <c r="BG480" s="203">
        <f t="shared" si="238"/>
        <v>36.239800129849542</v>
      </c>
    </row>
    <row r="481" spans="27:59">
      <c r="AA481" s="180">
        <f t="shared" si="239"/>
        <v>2394000000</v>
      </c>
      <c r="AB481" s="41">
        <f t="shared" si="240"/>
        <v>2850</v>
      </c>
      <c r="AC481" s="21">
        <v>114</v>
      </c>
      <c r="AD481" s="21" t="s">
        <v>283</v>
      </c>
      <c r="AE481" s="175">
        <f t="shared" si="246"/>
        <v>30</v>
      </c>
      <c r="AF481" s="183">
        <f t="shared" si="247"/>
        <v>27</v>
      </c>
      <c r="AG481" s="84">
        <f t="shared" si="248"/>
        <v>0.39750000000000002</v>
      </c>
      <c r="AH481" s="242">
        <f t="shared" si="249"/>
        <v>0.159</v>
      </c>
      <c r="AI481" s="76">
        <f t="shared" si="250"/>
        <v>1.5600000000000002E-3</v>
      </c>
      <c r="AJ481" s="181">
        <f t="shared" si="251"/>
        <v>5.5650000000000005E-2</v>
      </c>
      <c r="AK481" s="182">
        <f t="shared" si="252"/>
        <v>2.3077257367928001</v>
      </c>
      <c r="AM481" s="201">
        <f t="shared" si="237"/>
        <v>2.3649357367928001</v>
      </c>
      <c r="AN481" s="202">
        <f t="shared" si="255"/>
        <v>2.2960541133910679</v>
      </c>
      <c r="AO481" s="202">
        <f t="shared" si="255"/>
        <v>2.2291787508651146</v>
      </c>
      <c r="AP481" s="202">
        <f t="shared" si="258"/>
        <v>2.16425121443215</v>
      </c>
      <c r="AQ481" s="202">
        <f t="shared" si="258"/>
        <v>2.1012147712933498</v>
      </c>
      <c r="AR481" s="202">
        <f t="shared" si="258"/>
        <v>2.0400143410615046</v>
      </c>
      <c r="AS481" s="202">
        <f t="shared" si="258"/>
        <v>1.9805964476325288</v>
      </c>
      <c r="AT481" s="202">
        <f t="shared" si="258"/>
        <v>1.9229091724587657</v>
      </c>
      <c r="AU481" s="202">
        <f t="shared" si="258"/>
        <v>1.8669021091832678</v>
      </c>
      <c r="AV481" s="202">
        <f t="shared" si="258"/>
        <v>1.8125263195954056</v>
      </c>
      <c r="AW481" s="202">
        <f t="shared" si="258"/>
        <v>1.7597342908693259</v>
      </c>
      <c r="AX481" s="202">
        <f t="shared" si="258"/>
        <v>1.7084798940478891</v>
      </c>
      <c r="AY481" s="202">
        <f t="shared" si="258"/>
        <v>1.6587183437358151</v>
      </c>
      <c r="AZ481" s="202">
        <f t="shared" si="259"/>
        <v>1.6104061589668108</v>
      </c>
      <c r="BA481" s="202">
        <f t="shared" si="259"/>
        <v>1.5635011252104958</v>
      </c>
      <c r="BB481" s="202">
        <f t="shared" si="259"/>
        <v>1.517962257485918</v>
      </c>
      <c r="BC481" s="202">
        <f t="shared" si="259"/>
        <v>1.4737497645494353</v>
      </c>
      <c r="BD481" s="202">
        <f t="shared" si="259"/>
        <v>1.4308250141256653</v>
      </c>
      <c r="BE481" s="202">
        <f t="shared" si="259"/>
        <v>1.3891504991511314</v>
      </c>
      <c r="BF481" s="202">
        <f t="shared" si="259"/>
        <v>1.3486898050010985</v>
      </c>
      <c r="BG481" s="203">
        <f t="shared" si="238"/>
        <v>36.239800129849542</v>
      </c>
    </row>
    <row r="482" spans="27:59">
      <c r="AA482" s="180">
        <f t="shared" si="239"/>
        <v>2415000000</v>
      </c>
      <c r="AB482" s="41">
        <f t="shared" si="240"/>
        <v>2875</v>
      </c>
      <c r="AC482" s="21">
        <v>115</v>
      </c>
      <c r="AD482" s="21" t="s">
        <v>283</v>
      </c>
      <c r="AE482" s="175">
        <f t="shared" si="246"/>
        <v>30</v>
      </c>
      <c r="AF482" s="183">
        <f t="shared" si="247"/>
        <v>27</v>
      </c>
      <c r="AG482" s="84">
        <f t="shared" si="248"/>
        <v>0.39750000000000002</v>
      </c>
      <c r="AH482" s="242">
        <f t="shared" si="249"/>
        <v>0.159</v>
      </c>
      <c r="AI482" s="76">
        <f t="shared" si="250"/>
        <v>1.5600000000000002E-3</v>
      </c>
      <c r="AJ482" s="181">
        <f t="shared" si="251"/>
        <v>5.5650000000000005E-2</v>
      </c>
      <c r="AK482" s="182">
        <f t="shared" si="252"/>
        <v>2.3077257367928001</v>
      </c>
      <c r="AM482" s="201">
        <f t="shared" si="237"/>
        <v>2.3649357367928001</v>
      </c>
      <c r="AN482" s="202">
        <f t="shared" si="255"/>
        <v>2.2960541133910679</v>
      </c>
      <c r="AO482" s="202">
        <f t="shared" si="255"/>
        <v>2.2291787508651146</v>
      </c>
      <c r="AP482" s="202">
        <f t="shared" si="258"/>
        <v>2.16425121443215</v>
      </c>
      <c r="AQ482" s="202">
        <f t="shared" si="258"/>
        <v>2.1012147712933498</v>
      </c>
      <c r="AR482" s="202">
        <f t="shared" si="258"/>
        <v>2.0400143410615046</v>
      </c>
      <c r="AS482" s="202">
        <f t="shared" si="258"/>
        <v>1.9805964476325288</v>
      </c>
      <c r="AT482" s="202">
        <f t="shared" si="258"/>
        <v>1.9229091724587657</v>
      </c>
      <c r="AU482" s="202">
        <f t="shared" si="258"/>
        <v>1.8669021091832678</v>
      </c>
      <c r="AV482" s="202">
        <f t="shared" si="258"/>
        <v>1.8125263195954056</v>
      </c>
      <c r="AW482" s="202">
        <f t="shared" si="258"/>
        <v>1.7597342908693259</v>
      </c>
      <c r="AX482" s="202">
        <f t="shared" si="258"/>
        <v>1.7084798940478891</v>
      </c>
      <c r="AY482" s="202">
        <f t="shared" si="258"/>
        <v>1.6587183437358151</v>
      </c>
      <c r="AZ482" s="202">
        <f t="shared" si="259"/>
        <v>1.6104061589668108</v>
      </c>
      <c r="BA482" s="202">
        <f t="shared" si="259"/>
        <v>1.5635011252104958</v>
      </c>
      <c r="BB482" s="202">
        <f t="shared" si="259"/>
        <v>1.517962257485918</v>
      </c>
      <c r="BC482" s="202">
        <f t="shared" si="259"/>
        <v>1.4737497645494353</v>
      </c>
      <c r="BD482" s="202">
        <f t="shared" si="259"/>
        <v>1.4308250141256653</v>
      </c>
      <c r="BE482" s="202">
        <f t="shared" si="259"/>
        <v>1.3891504991511314</v>
      </c>
      <c r="BF482" s="202">
        <f t="shared" si="259"/>
        <v>1.3486898050010985</v>
      </c>
      <c r="BG482" s="203">
        <f t="shared" si="238"/>
        <v>36.239800129849542</v>
      </c>
    </row>
    <row r="483" spans="27:59">
      <c r="AA483" s="180">
        <f t="shared" si="239"/>
        <v>2436000000</v>
      </c>
      <c r="AB483" s="41">
        <f t="shared" si="240"/>
        <v>2900</v>
      </c>
      <c r="AC483" s="21">
        <v>116</v>
      </c>
      <c r="AD483" s="21" t="s">
        <v>283</v>
      </c>
      <c r="AE483" s="175">
        <f t="shared" si="246"/>
        <v>30</v>
      </c>
      <c r="AF483" s="183">
        <f t="shared" si="247"/>
        <v>27</v>
      </c>
      <c r="AG483" s="84">
        <f t="shared" si="248"/>
        <v>0.39750000000000002</v>
      </c>
      <c r="AH483" s="242">
        <f t="shared" si="249"/>
        <v>0.159</v>
      </c>
      <c r="AI483" s="76">
        <f t="shared" si="250"/>
        <v>1.5600000000000002E-3</v>
      </c>
      <c r="AJ483" s="181">
        <f t="shared" si="251"/>
        <v>5.5650000000000005E-2</v>
      </c>
      <c r="AK483" s="182">
        <f t="shared" si="252"/>
        <v>2.3077257367928001</v>
      </c>
      <c r="AM483" s="201">
        <f t="shared" si="237"/>
        <v>2.3649357367928001</v>
      </c>
      <c r="AN483" s="202">
        <f t="shared" si="255"/>
        <v>2.2960541133910679</v>
      </c>
      <c r="AO483" s="202">
        <f t="shared" si="255"/>
        <v>2.2291787508651146</v>
      </c>
      <c r="AP483" s="202">
        <f t="shared" si="258"/>
        <v>2.16425121443215</v>
      </c>
      <c r="AQ483" s="202">
        <f t="shared" si="258"/>
        <v>2.1012147712933498</v>
      </c>
      <c r="AR483" s="202">
        <f t="shared" si="258"/>
        <v>2.0400143410615046</v>
      </c>
      <c r="AS483" s="202">
        <f t="shared" si="258"/>
        <v>1.9805964476325288</v>
      </c>
      <c r="AT483" s="202">
        <f t="shared" si="258"/>
        <v>1.9229091724587657</v>
      </c>
      <c r="AU483" s="202">
        <f t="shared" si="258"/>
        <v>1.8669021091832678</v>
      </c>
      <c r="AV483" s="202">
        <f t="shared" si="258"/>
        <v>1.8125263195954056</v>
      </c>
      <c r="AW483" s="202">
        <f t="shared" si="258"/>
        <v>1.7597342908693259</v>
      </c>
      <c r="AX483" s="202">
        <f t="shared" si="258"/>
        <v>1.7084798940478891</v>
      </c>
      <c r="AY483" s="202">
        <f t="shared" si="258"/>
        <v>1.6587183437358151</v>
      </c>
      <c r="AZ483" s="202">
        <f t="shared" si="259"/>
        <v>1.6104061589668108</v>
      </c>
      <c r="BA483" s="202">
        <f t="shared" si="259"/>
        <v>1.5635011252104958</v>
      </c>
      <c r="BB483" s="202">
        <f t="shared" si="259"/>
        <v>1.517962257485918</v>
      </c>
      <c r="BC483" s="202">
        <f t="shared" si="259"/>
        <v>1.4737497645494353</v>
      </c>
      <c r="BD483" s="202">
        <f t="shared" si="259"/>
        <v>1.4308250141256653</v>
      </c>
      <c r="BE483" s="202">
        <f t="shared" si="259"/>
        <v>1.3891504991511314</v>
      </c>
      <c r="BF483" s="202">
        <f t="shared" si="259"/>
        <v>1.3486898050010985</v>
      </c>
      <c r="BG483" s="203">
        <f t="shared" si="238"/>
        <v>36.239800129849542</v>
      </c>
    </row>
    <row r="484" spans="27:59">
      <c r="AA484" s="180">
        <f t="shared" si="239"/>
        <v>2457000000</v>
      </c>
      <c r="AB484" s="41">
        <f t="shared" si="240"/>
        <v>2925</v>
      </c>
      <c r="AC484" s="21">
        <v>117</v>
      </c>
      <c r="AD484" s="21" t="s">
        <v>283</v>
      </c>
      <c r="AE484" s="175">
        <f t="shared" si="246"/>
        <v>30</v>
      </c>
      <c r="AF484" s="183">
        <f t="shared" si="247"/>
        <v>27</v>
      </c>
      <c r="AG484" s="84">
        <f t="shared" si="248"/>
        <v>0.39750000000000002</v>
      </c>
      <c r="AH484" s="242">
        <f t="shared" si="249"/>
        <v>0.159</v>
      </c>
      <c r="AI484" s="76">
        <f t="shared" si="250"/>
        <v>1.5600000000000002E-3</v>
      </c>
      <c r="AJ484" s="181">
        <f t="shared" si="251"/>
        <v>5.5650000000000005E-2</v>
      </c>
      <c r="AK484" s="182">
        <f t="shared" si="252"/>
        <v>2.3077257367928001</v>
      </c>
      <c r="AM484" s="201">
        <f t="shared" si="237"/>
        <v>2.3649357367928001</v>
      </c>
      <c r="AN484" s="202">
        <f t="shared" si="255"/>
        <v>2.2960541133910679</v>
      </c>
      <c r="AO484" s="202">
        <f t="shared" si="255"/>
        <v>2.2291787508651146</v>
      </c>
      <c r="AP484" s="202">
        <f t="shared" si="258"/>
        <v>2.16425121443215</v>
      </c>
      <c r="AQ484" s="202">
        <f t="shared" si="258"/>
        <v>2.1012147712933498</v>
      </c>
      <c r="AR484" s="202">
        <f t="shared" si="258"/>
        <v>2.0400143410615046</v>
      </c>
      <c r="AS484" s="202">
        <f t="shared" si="258"/>
        <v>1.9805964476325288</v>
      </c>
      <c r="AT484" s="202">
        <f t="shared" si="258"/>
        <v>1.9229091724587657</v>
      </c>
      <c r="AU484" s="202">
        <f t="shared" si="258"/>
        <v>1.8669021091832678</v>
      </c>
      <c r="AV484" s="202">
        <f t="shared" si="258"/>
        <v>1.8125263195954056</v>
      </c>
      <c r="AW484" s="202">
        <f t="shared" si="258"/>
        <v>1.7597342908693259</v>
      </c>
      <c r="AX484" s="202">
        <f t="shared" si="258"/>
        <v>1.7084798940478891</v>
      </c>
      <c r="AY484" s="202">
        <f t="shared" si="258"/>
        <v>1.6587183437358151</v>
      </c>
      <c r="AZ484" s="202">
        <f t="shared" si="259"/>
        <v>1.6104061589668108</v>
      </c>
      <c r="BA484" s="202">
        <f t="shared" si="259"/>
        <v>1.5635011252104958</v>
      </c>
      <c r="BB484" s="202">
        <f t="shared" si="259"/>
        <v>1.517962257485918</v>
      </c>
      <c r="BC484" s="202">
        <f t="shared" si="259"/>
        <v>1.4737497645494353</v>
      </c>
      <c r="BD484" s="202">
        <f t="shared" si="259"/>
        <v>1.4308250141256653</v>
      </c>
      <c r="BE484" s="202">
        <f t="shared" si="259"/>
        <v>1.3891504991511314</v>
      </c>
      <c r="BF484" s="202">
        <f t="shared" si="259"/>
        <v>1.3486898050010985</v>
      </c>
      <c r="BG484" s="203">
        <f t="shared" si="238"/>
        <v>36.239800129849542</v>
      </c>
    </row>
    <row r="485" spans="27:59">
      <c r="AA485" s="180">
        <f t="shared" si="239"/>
        <v>2478000000</v>
      </c>
      <c r="AB485" s="41">
        <f t="shared" si="240"/>
        <v>2950</v>
      </c>
      <c r="AC485" s="21">
        <v>118</v>
      </c>
      <c r="AD485" s="21" t="s">
        <v>283</v>
      </c>
      <c r="AE485" s="175">
        <f t="shared" si="246"/>
        <v>30</v>
      </c>
      <c r="AF485" s="183">
        <f t="shared" si="247"/>
        <v>27</v>
      </c>
      <c r="AG485" s="84">
        <f t="shared" si="248"/>
        <v>0.39750000000000002</v>
      </c>
      <c r="AH485" s="242">
        <f t="shared" si="249"/>
        <v>0.159</v>
      </c>
      <c r="AI485" s="76">
        <f t="shared" si="250"/>
        <v>1.5600000000000002E-3</v>
      </c>
      <c r="AJ485" s="181">
        <f t="shared" si="251"/>
        <v>5.5650000000000005E-2</v>
      </c>
      <c r="AK485" s="182">
        <f t="shared" si="252"/>
        <v>2.3077257367928001</v>
      </c>
      <c r="AM485" s="201">
        <f t="shared" si="237"/>
        <v>2.3649357367928001</v>
      </c>
      <c r="AN485" s="202">
        <f t="shared" si="255"/>
        <v>2.2960541133910679</v>
      </c>
      <c r="AO485" s="202">
        <f t="shared" si="255"/>
        <v>2.2291787508651146</v>
      </c>
      <c r="AP485" s="202">
        <f t="shared" si="258"/>
        <v>2.16425121443215</v>
      </c>
      <c r="AQ485" s="202">
        <f t="shared" si="258"/>
        <v>2.1012147712933498</v>
      </c>
      <c r="AR485" s="202">
        <f t="shared" si="258"/>
        <v>2.0400143410615046</v>
      </c>
      <c r="AS485" s="202">
        <f t="shared" si="258"/>
        <v>1.9805964476325288</v>
      </c>
      <c r="AT485" s="202">
        <f t="shared" si="258"/>
        <v>1.9229091724587657</v>
      </c>
      <c r="AU485" s="202">
        <f t="shared" si="258"/>
        <v>1.8669021091832678</v>
      </c>
      <c r="AV485" s="202">
        <f t="shared" si="258"/>
        <v>1.8125263195954056</v>
      </c>
      <c r="AW485" s="202">
        <f t="shared" si="258"/>
        <v>1.7597342908693259</v>
      </c>
      <c r="AX485" s="202">
        <f t="shared" si="258"/>
        <v>1.7084798940478891</v>
      </c>
      <c r="AY485" s="202">
        <f t="shared" si="258"/>
        <v>1.6587183437358151</v>
      </c>
      <c r="AZ485" s="202">
        <f t="shared" si="259"/>
        <v>1.6104061589668108</v>
      </c>
      <c r="BA485" s="202">
        <f t="shared" si="259"/>
        <v>1.5635011252104958</v>
      </c>
      <c r="BB485" s="202">
        <f t="shared" si="259"/>
        <v>1.517962257485918</v>
      </c>
      <c r="BC485" s="202">
        <f t="shared" si="259"/>
        <v>1.4737497645494353</v>
      </c>
      <c r="BD485" s="202">
        <f t="shared" si="259"/>
        <v>1.4308250141256653</v>
      </c>
      <c r="BE485" s="202">
        <f t="shared" si="259"/>
        <v>1.3891504991511314</v>
      </c>
      <c r="BF485" s="202">
        <f t="shared" si="259"/>
        <v>1.3486898050010985</v>
      </c>
      <c r="BG485" s="203">
        <f t="shared" si="238"/>
        <v>36.239800129849542</v>
      </c>
    </row>
    <row r="486" spans="27:59">
      <c r="AA486" s="180">
        <f t="shared" si="239"/>
        <v>2499000000</v>
      </c>
      <c r="AB486" s="41">
        <f t="shared" si="240"/>
        <v>2975</v>
      </c>
      <c r="AC486" s="21">
        <v>119</v>
      </c>
      <c r="AD486" s="21" t="s">
        <v>283</v>
      </c>
      <c r="AE486" s="175">
        <f t="shared" si="246"/>
        <v>30</v>
      </c>
      <c r="AF486" s="183">
        <f t="shared" si="247"/>
        <v>27</v>
      </c>
      <c r="AG486" s="84">
        <f t="shared" si="248"/>
        <v>0.39750000000000002</v>
      </c>
      <c r="AH486" s="242">
        <f t="shared" si="249"/>
        <v>0.159</v>
      </c>
      <c r="AI486" s="76">
        <f t="shared" si="250"/>
        <v>1.5600000000000002E-3</v>
      </c>
      <c r="AJ486" s="181">
        <f t="shared" si="251"/>
        <v>5.5650000000000005E-2</v>
      </c>
      <c r="AK486" s="182">
        <f t="shared" si="252"/>
        <v>2.3077257367928001</v>
      </c>
      <c r="AM486" s="201">
        <f t="shared" si="237"/>
        <v>2.3649357367928001</v>
      </c>
      <c r="AN486" s="202">
        <f t="shared" si="255"/>
        <v>2.2960541133910679</v>
      </c>
      <c r="AO486" s="202">
        <f t="shared" si="255"/>
        <v>2.2291787508651146</v>
      </c>
      <c r="AP486" s="202">
        <f t="shared" si="258"/>
        <v>2.16425121443215</v>
      </c>
      <c r="AQ486" s="202">
        <f t="shared" si="258"/>
        <v>2.1012147712933498</v>
      </c>
      <c r="AR486" s="202">
        <f t="shared" si="258"/>
        <v>2.0400143410615046</v>
      </c>
      <c r="AS486" s="202">
        <f t="shared" si="258"/>
        <v>1.9805964476325288</v>
      </c>
      <c r="AT486" s="202">
        <f t="shared" si="258"/>
        <v>1.9229091724587657</v>
      </c>
      <c r="AU486" s="202">
        <f t="shared" si="258"/>
        <v>1.8669021091832678</v>
      </c>
      <c r="AV486" s="202">
        <f t="shared" si="258"/>
        <v>1.8125263195954056</v>
      </c>
      <c r="AW486" s="202">
        <f t="shared" si="258"/>
        <v>1.7597342908693259</v>
      </c>
      <c r="AX486" s="202">
        <f t="shared" si="258"/>
        <v>1.7084798940478891</v>
      </c>
      <c r="AY486" s="202">
        <f t="shared" si="258"/>
        <v>1.6587183437358151</v>
      </c>
      <c r="AZ486" s="202">
        <f t="shared" si="259"/>
        <v>1.6104061589668108</v>
      </c>
      <c r="BA486" s="202">
        <f t="shared" si="259"/>
        <v>1.5635011252104958</v>
      </c>
      <c r="BB486" s="202">
        <f t="shared" si="259"/>
        <v>1.517962257485918</v>
      </c>
      <c r="BC486" s="202">
        <f t="shared" si="259"/>
        <v>1.4737497645494353</v>
      </c>
      <c r="BD486" s="202">
        <f t="shared" si="259"/>
        <v>1.4308250141256653</v>
      </c>
      <c r="BE486" s="202">
        <f t="shared" si="259"/>
        <v>1.3891504991511314</v>
      </c>
      <c r="BF486" s="202">
        <f t="shared" si="259"/>
        <v>1.3486898050010985</v>
      </c>
      <c r="BG486" s="203">
        <f t="shared" si="238"/>
        <v>36.239800129849542</v>
      </c>
    </row>
    <row r="487" spans="27:59">
      <c r="AA487" s="180">
        <f t="shared" si="239"/>
        <v>2520000000</v>
      </c>
      <c r="AB487" s="41">
        <f t="shared" si="240"/>
        <v>3000</v>
      </c>
      <c r="AC487" s="21">
        <v>120</v>
      </c>
      <c r="AD487" s="21" t="s">
        <v>283</v>
      </c>
      <c r="AE487" s="175">
        <f t="shared" si="246"/>
        <v>30</v>
      </c>
      <c r="AF487" s="183">
        <f t="shared" si="247"/>
        <v>27</v>
      </c>
      <c r="AG487" s="84">
        <f t="shared" si="248"/>
        <v>0.39750000000000002</v>
      </c>
      <c r="AH487" s="242">
        <f t="shared" si="249"/>
        <v>0.159</v>
      </c>
      <c r="AI487" s="76">
        <f t="shared" si="250"/>
        <v>1.5600000000000002E-3</v>
      </c>
      <c r="AJ487" s="181">
        <f t="shared" si="251"/>
        <v>5.5650000000000005E-2</v>
      </c>
      <c r="AK487" s="182">
        <f t="shared" si="252"/>
        <v>2.3077257367928001</v>
      </c>
      <c r="AM487" s="201">
        <f t="shared" si="237"/>
        <v>2.3649357367928001</v>
      </c>
      <c r="AN487" s="202">
        <f t="shared" ref="AN487:AO506" si="260">$AM487/POWER(1+($B$10/100),AN$366-2024)</f>
        <v>2.2960541133910679</v>
      </c>
      <c r="AO487" s="202">
        <f t="shared" si="260"/>
        <v>2.2291787508651146</v>
      </c>
      <c r="AP487" s="202">
        <f t="shared" si="258"/>
        <v>2.16425121443215</v>
      </c>
      <c r="AQ487" s="202">
        <f t="shared" si="258"/>
        <v>2.1012147712933498</v>
      </c>
      <c r="AR487" s="202">
        <f t="shared" si="258"/>
        <v>2.0400143410615046</v>
      </c>
      <c r="AS487" s="202">
        <f t="shared" si="258"/>
        <v>1.9805964476325288</v>
      </c>
      <c r="AT487" s="202">
        <f t="shared" si="258"/>
        <v>1.9229091724587657</v>
      </c>
      <c r="AU487" s="202">
        <f t="shared" si="258"/>
        <v>1.8669021091832678</v>
      </c>
      <c r="AV487" s="202">
        <f t="shared" si="258"/>
        <v>1.8125263195954056</v>
      </c>
      <c r="AW487" s="202">
        <f t="shared" si="258"/>
        <v>1.7597342908693259</v>
      </c>
      <c r="AX487" s="202">
        <f t="shared" si="258"/>
        <v>1.7084798940478891</v>
      </c>
      <c r="AY487" s="202">
        <f t="shared" si="258"/>
        <v>1.6587183437358151</v>
      </c>
      <c r="AZ487" s="202">
        <f t="shared" si="259"/>
        <v>1.6104061589668108</v>
      </c>
      <c r="BA487" s="202">
        <f t="shared" si="259"/>
        <v>1.5635011252104958</v>
      </c>
      <c r="BB487" s="202">
        <f t="shared" si="259"/>
        <v>1.517962257485918</v>
      </c>
      <c r="BC487" s="202">
        <f t="shared" si="259"/>
        <v>1.4737497645494353</v>
      </c>
      <c r="BD487" s="202">
        <f t="shared" si="259"/>
        <v>1.4308250141256653</v>
      </c>
      <c r="BE487" s="202">
        <f t="shared" si="259"/>
        <v>1.3891504991511314</v>
      </c>
      <c r="BF487" s="202">
        <f t="shared" si="259"/>
        <v>1.3486898050010985</v>
      </c>
      <c r="BG487" s="203">
        <f t="shared" si="238"/>
        <v>36.239800129849542</v>
      </c>
    </row>
    <row r="488" spans="27:59">
      <c r="AA488" s="180">
        <f t="shared" si="239"/>
        <v>2541000000</v>
      </c>
      <c r="AB488" s="41">
        <f t="shared" si="240"/>
        <v>3025</v>
      </c>
      <c r="AC488" s="21">
        <v>121</v>
      </c>
      <c r="AD488" s="21" t="s">
        <v>283</v>
      </c>
      <c r="AE488" s="175">
        <f t="shared" si="246"/>
        <v>30</v>
      </c>
      <c r="AF488" s="183">
        <f t="shared" si="247"/>
        <v>27</v>
      </c>
      <c r="AG488" s="84">
        <f t="shared" si="248"/>
        <v>0.39750000000000002</v>
      </c>
      <c r="AH488" s="242">
        <f t="shared" si="249"/>
        <v>0.159</v>
      </c>
      <c r="AI488" s="76">
        <f t="shared" si="250"/>
        <v>1.5600000000000002E-3</v>
      </c>
      <c r="AJ488" s="181">
        <f t="shared" si="251"/>
        <v>5.5650000000000005E-2</v>
      </c>
      <c r="AK488" s="182">
        <f t="shared" si="252"/>
        <v>2.3077257367928001</v>
      </c>
      <c r="AM488" s="201">
        <f t="shared" si="237"/>
        <v>2.3649357367928001</v>
      </c>
      <c r="AN488" s="202">
        <f t="shared" si="260"/>
        <v>2.2960541133910679</v>
      </c>
      <c r="AO488" s="202">
        <f t="shared" si="260"/>
        <v>2.2291787508651146</v>
      </c>
      <c r="AP488" s="202">
        <f t="shared" ref="AP488:AY497" si="261">$AM488/POWER(1+($B$10/100),AP$366-2024)</f>
        <v>2.16425121443215</v>
      </c>
      <c r="AQ488" s="202">
        <f t="shared" si="261"/>
        <v>2.1012147712933498</v>
      </c>
      <c r="AR488" s="202">
        <f t="shared" si="261"/>
        <v>2.0400143410615046</v>
      </c>
      <c r="AS488" s="202">
        <f t="shared" si="261"/>
        <v>1.9805964476325288</v>
      </c>
      <c r="AT488" s="202">
        <f t="shared" si="261"/>
        <v>1.9229091724587657</v>
      </c>
      <c r="AU488" s="202">
        <f t="shared" si="261"/>
        <v>1.8669021091832678</v>
      </c>
      <c r="AV488" s="202">
        <f t="shared" si="261"/>
        <v>1.8125263195954056</v>
      </c>
      <c r="AW488" s="202">
        <f t="shared" si="261"/>
        <v>1.7597342908693259</v>
      </c>
      <c r="AX488" s="202">
        <f t="shared" si="261"/>
        <v>1.7084798940478891</v>
      </c>
      <c r="AY488" s="202">
        <f t="shared" si="261"/>
        <v>1.6587183437358151</v>
      </c>
      <c r="AZ488" s="202">
        <f t="shared" ref="AZ488:BF497" si="262">$AM488/POWER(1+($B$10/100),AZ$366-2024)</f>
        <v>1.6104061589668108</v>
      </c>
      <c r="BA488" s="202">
        <f t="shared" si="262"/>
        <v>1.5635011252104958</v>
      </c>
      <c r="BB488" s="202">
        <f t="shared" si="262"/>
        <v>1.517962257485918</v>
      </c>
      <c r="BC488" s="202">
        <f t="shared" si="262"/>
        <v>1.4737497645494353</v>
      </c>
      <c r="BD488" s="202">
        <f t="shared" si="262"/>
        <v>1.4308250141256653</v>
      </c>
      <c r="BE488" s="202">
        <f t="shared" si="262"/>
        <v>1.3891504991511314</v>
      </c>
      <c r="BF488" s="202">
        <f t="shared" si="262"/>
        <v>1.3486898050010985</v>
      </c>
      <c r="BG488" s="203">
        <f t="shared" si="238"/>
        <v>36.239800129849542</v>
      </c>
    </row>
    <row r="489" spans="27:59">
      <c r="AA489" s="180">
        <f t="shared" si="239"/>
        <v>2562000000</v>
      </c>
      <c r="AB489" s="41">
        <f t="shared" si="240"/>
        <v>3050</v>
      </c>
      <c r="AC489" s="21">
        <v>122</v>
      </c>
      <c r="AD489" s="21" t="s">
        <v>283</v>
      </c>
      <c r="AE489" s="175">
        <f t="shared" si="246"/>
        <v>30</v>
      </c>
      <c r="AF489" s="183">
        <f t="shared" si="247"/>
        <v>27</v>
      </c>
      <c r="AG489" s="84">
        <f t="shared" si="248"/>
        <v>0.39750000000000002</v>
      </c>
      <c r="AH489" s="242">
        <f t="shared" si="249"/>
        <v>0.159</v>
      </c>
      <c r="AI489" s="76">
        <f t="shared" si="250"/>
        <v>1.5600000000000002E-3</v>
      </c>
      <c r="AJ489" s="181">
        <f t="shared" si="251"/>
        <v>5.5650000000000005E-2</v>
      </c>
      <c r="AK489" s="182">
        <f t="shared" si="252"/>
        <v>2.3077257367928001</v>
      </c>
      <c r="AM489" s="201">
        <f t="shared" si="237"/>
        <v>2.3649357367928001</v>
      </c>
      <c r="AN489" s="202">
        <f t="shared" si="260"/>
        <v>2.2960541133910679</v>
      </c>
      <c r="AO489" s="202">
        <f t="shared" si="260"/>
        <v>2.2291787508651146</v>
      </c>
      <c r="AP489" s="202">
        <f t="shared" si="261"/>
        <v>2.16425121443215</v>
      </c>
      <c r="AQ489" s="202">
        <f t="shared" si="261"/>
        <v>2.1012147712933498</v>
      </c>
      <c r="AR489" s="202">
        <f t="shared" si="261"/>
        <v>2.0400143410615046</v>
      </c>
      <c r="AS489" s="202">
        <f t="shared" si="261"/>
        <v>1.9805964476325288</v>
      </c>
      <c r="AT489" s="202">
        <f t="shared" si="261"/>
        <v>1.9229091724587657</v>
      </c>
      <c r="AU489" s="202">
        <f t="shared" si="261"/>
        <v>1.8669021091832678</v>
      </c>
      <c r="AV489" s="202">
        <f t="shared" si="261"/>
        <v>1.8125263195954056</v>
      </c>
      <c r="AW489" s="202">
        <f t="shared" si="261"/>
        <v>1.7597342908693259</v>
      </c>
      <c r="AX489" s="202">
        <f t="shared" si="261"/>
        <v>1.7084798940478891</v>
      </c>
      <c r="AY489" s="202">
        <f t="shared" si="261"/>
        <v>1.6587183437358151</v>
      </c>
      <c r="AZ489" s="202">
        <f t="shared" si="262"/>
        <v>1.6104061589668108</v>
      </c>
      <c r="BA489" s="202">
        <f t="shared" si="262"/>
        <v>1.5635011252104958</v>
      </c>
      <c r="BB489" s="202">
        <f t="shared" si="262"/>
        <v>1.517962257485918</v>
      </c>
      <c r="BC489" s="202">
        <f t="shared" si="262"/>
        <v>1.4737497645494353</v>
      </c>
      <c r="BD489" s="202">
        <f t="shared" si="262"/>
        <v>1.4308250141256653</v>
      </c>
      <c r="BE489" s="202">
        <f t="shared" si="262"/>
        <v>1.3891504991511314</v>
      </c>
      <c r="BF489" s="202">
        <f t="shared" si="262"/>
        <v>1.3486898050010985</v>
      </c>
      <c r="BG489" s="203">
        <f t="shared" si="238"/>
        <v>36.239800129849542</v>
      </c>
    </row>
    <row r="490" spans="27:59">
      <c r="AA490" s="180">
        <f t="shared" si="239"/>
        <v>2583000000</v>
      </c>
      <c r="AB490" s="41">
        <f t="shared" si="240"/>
        <v>3075</v>
      </c>
      <c r="AC490" s="21">
        <v>123</v>
      </c>
      <c r="AD490" s="21" t="s">
        <v>283</v>
      </c>
      <c r="AE490" s="175">
        <f t="shared" si="246"/>
        <v>30</v>
      </c>
      <c r="AF490" s="183">
        <f t="shared" si="247"/>
        <v>27</v>
      </c>
      <c r="AG490" s="84">
        <f t="shared" si="248"/>
        <v>0.39750000000000002</v>
      </c>
      <c r="AH490" s="242">
        <f t="shared" si="249"/>
        <v>0.159</v>
      </c>
      <c r="AI490" s="76">
        <f t="shared" si="250"/>
        <v>1.5600000000000002E-3</v>
      </c>
      <c r="AJ490" s="181">
        <f t="shared" si="251"/>
        <v>5.5650000000000005E-2</v>
      </c>
      <c r="AK490" s="182">
        <f t="shared" si="252"/>
        <v>2.3077257367928001</v>
      </c>
      <c r="AM490" s="201">
        <f t="shared" si="237"/>
        <v>2.3649357367928001</v>
      </c>
      <c r="AN490" s="202">
        <f t="shared" si="260"/>
        <v>2.2960541133910679</v>
      </c>
      <c r="AO490" s="202">
        <f t="shared" si="260"/>
        <v>2.2291787508651146</v>
      </c>
      <c r="AP490" s="202">
        <f t="shared" si="261"/>
        <v>2.16425121443215</v>
      </c>
      <c r="AQ490" s="202">
        <f t="shared" si="261"/>
        <v>2.1012147712933498</v>
      </c>
      <c r="AR490" s="202">
        <f t="shared" si="261"/>
        <v>2.0400143410615046</v>
      </c>
      <c r="AS490" s="202">
        <f t="shared" si="261"/>
        <v>1.9805964476325288</v>
      </c>
      <c r="AT490" s="202">
        <f t="shared" si="261"/>
        <v>1.9229091724587657</v>
      </c>
      <c r="AU490" s="202">
        <f t="shared" si="261"/>
        <v>1.8669021091832678</v>
      </c>
      <c r="AV490" s="202">
        <f t="shared" si="261"/>
        <v>1.8125263195954056</v>
      </c>
      <c r="AW490" s="202">
        <f t="shared" si="261"/>
        <v>1.7597342908693259</v>
      </c>
      <c r="AX490" s="202">
        <f t="shared" si="261"/>
        <v>1.7084798940478891</v>
      </c>
      <c r="AY490" s="202">
        <f t="shared" si="261"/>
        <v>1.6587183437358151</v>
      </c>
      <c r="AZ490" s="202">
        <f t="shared" si="262"/>
        <v>1.6104061589668108</v>
      </c>
      <c r="BA490" s="202">
        <f t="shared" si="262"/>
        <v>1.5635011252104958</v>
      </c>
      <c r="BB490" s="202">
        <f t="shared" si="262"/>
        <v>1.517962257485918</v>
      </c>
      <c r="BC490" s="202">
        <f t="shared" si="262"/>
        <v>1.4737497645494353</v>
      </c>
      <c r="BD490" s="202">
        <f t="shared" si="262"/>
        <v>1.4308250141256653</v>
      </c>
      <c r="BE490" s="202">
        <f t="shared" si="262"/>
        <v>1.3891504991511314</v>
      </c>
      <c r="BF490" s="202">
        <f t="shared" si="262"/>
        <v>1.3486898050010985</v>
      </c>
      <c r="BG490" s="203">
        <f t="shared" si="238"/>
        <v>36.239800129849542</v>
      </c>
    </row>
    <row r="491" spans="27:59">
      <c r="AA491" s="180">
        <f t="shared" si="239"/>
        <v>2604000000</v>
      </c>
      <c r="AB491" s="41">
        <f t="shared" si="240"/>
        <v>3100</v>
      </c>
      <c r="AC491" s="21">
        <v>124</v>
      </c>
      <c r="AD491" s="21" t="s">
        <v>283</v>
      </c>
      <c r="AE491" s="175">
        <f t="shared" si="246"/>
        <v>30</v>
      </c>
      <c r="AF491" s="183">
        <f t="shared" si="247"/>
        <v>27</v>
      </c>
      <c r="AG491" s="84">
        <f t="shared" si="248"/>
        <v>0.39750000000000002</v>
      </c>
      <c r="AH491" s="242">
        <f t="shared" si="249"/>
        <v>0.159</v>
      </c>
      <c r="AI491" s="76">
        <f t="shared" si="250"/>
        <v>1.5600000000000002E-3</v>
      </c>
      <c r="AJ491" s="181">
        <f t="shared" si="251"/>
        <v>5.5650000000000005E-2</v>
      </c>
      <c r="AK491" s="182">
        <f t="shared" si="252"/>
        <v>2.3077257367928001</v>
      </c>
      <c r="AM491" s="201">
        <f t="shared" si="237"/>
        <v>2.3649357367928001</v>
      </c>
      <c r="AN491" s="202">
        <f t="shared" si="260"/>
        <v>2.2960541133910679</v>
      </c>
      <c r="AO491" s="202">
        <f t="shared" si="260"/>
        <v>2.2291787508651146</v>
      </c>
      <c r="AP491" s="202">
        <f t="shared" si="261"/>
        <v>2.16425121443215</v>
      </c>
      <c r="AQ491" s="202">
        <f t="shared" si="261"/>
        <v>2.1012147712933498</v>
      </c>
      <c r="AR491" s="202">
        <f t="shared" si="261"/>
        <v>2.0400143410615046</v>
      </c>
      <c r="AS491" s="202">
        <f t="shared" si="261"/>
        <v>1.9805964476325288</v>
      </c>
      <c r="AT491" s="202">
        <f t="shared" si="261"/>
        <v>1.9229091724587657</v>
      </c>
      <c r="AU491" s="202">
        <f t="shared" si="261"/>
        <v>1.8669021091832678</v>
      </c>
      <c r="AV491" s="202">
        <f t="shared" si="261"/>
        <v>1.8125263195954056</v>
      </c>
      <c r="AW491" s="202">
        <f t="shared" si="261"/>
        <v>1.7597342908693259</v>
      </c>
      <c r="AX491" s="202">
        <f t="shared" si="261"/>
        <v>1.7084798940478891</v>
      </c>
      <c r="AY491" s="202">
        <f t="shared" si="261"/>
        <v>1.6587183437358151</v>
      </c>
      <c r="AZ491" s="202">
        <f t="shared" si="262"/>
        <v>1.6104061589668108</v>
      </c>
      <c r="BA491" s="202">
        <f t="shared" si="262"/>
        <v>1.5635011252104958</v>
      </c>
      <c r="BB491" s="202">
        <f t="shared" si="262"/>
        <v>1.517962257485918</v>
      </c>
      <c r="BC491" s="202">
        <f t="shared" si="262"/>
        <v>1.4737497645494353</v>
      </c>
      <c r="BD491" s="202">
        <f t="shared" si="262"/>
        <v>1.4308250141256653</v>
      </c>
      <c r="BE491" s="202">
        <f t="shared" si="262"/>
        <v>1.3891504991511314</v>
      </c>
      <c r="BF491" s="202">
        <f t="shared" si="262"/>
        <v>1.3486898050010985</v>
      </c>
      <c r="BG491" s="203">
        <f t="shared" si="238"/>
        <v>36.239800129849542</v>
      </c>
    </row>
    <row r="492" spans="27:59">
      <c r="AA492" s="180">
        <f t="shared" si="239"/>
        <v>2625000000</v>
      </c>
      <c r="AB492" s="41">
        <f t="shared" si="240"/>
        <v>3125</v>
      </c>
      <c r="AC492" s="21">
        <v>125</v>
      </c>
      <c r="AD492" s="21" t="s">
        <v>283</v>
      </c>
      <c r="AE492" s="175">
        <f t="shared" si="246"/>
        <v>30</v>
      </c>
      <c r="AF492" s="183">
        <f t="shared" si="247"/>
        <v>27</v>
      </c>
      <c r="AG492" s="84">
        <f t="shared" si="248"/>
        <v>0.39750000000000002</v>
      </c>
      <c r="AH492" s="242">
        <f t="shared" si="249"/>
        <v>0.159</v>
      </c>
      <c r="AI492" s="76">
        <f t="shared" si="250"/>
        <v>1.5600000000000002E-3</v>
      </c>
      <c r="AJ492" s="181">
        <f t="shared" si="251"/>
        <v>5.5650000000000005E-2</v>
      </c>
      <c r="AK492" s="182">
        <f t="shared" si="252"/>
        <v>2.3077257367928001</v>
      </c>
      <c r="AM492" s="201">
        <f t="shared" si="237"/>
        <v>2.3649357367928001</v>
      </c>
      <c r="AN492" s="202">
        <f t="shared" si="260"/>
        <v>2.2960541133910679</v>
      </c>
      <c r="AO492" s="202">
        <f t="shared" si="260"/>
        <v>2.2291787508651146</v>
      </c>
      <c r="AP492" s="202">
        <f t="shared" si="261"/>
        <v>2.16425121443215</v>
      </c>
      <c r="AQ492" s="202">
        <f t="shared" si="261"/>
        <v>2.1012147712933498</v>
      </c>
      <c r="AR492" s="202">
        <f t="shared" si="261"/>
        <v>2.0400143410615046</v>
      </c>
      <c r="AS492" s="202">
        <f t="shared" si="261"/>
        <v>1.9805964476325288</v>
      </c>
      <c r="AT492" s="202">
        <f t="shared" si="261"/>
        <v>1.9229091724587657</v>
      </c>
      <c r="AU492" s="202">
        <f t="shared" si="261"/>
        <v>1.8669021091832678</v>
      </c>
      <c r="AV492" s="202">
        <f t="shared" si="261"/>
        <v>1.8125263195954056</v>
      </c>
      <c r="AW492" s="202">
        <f t="shared" si="261"/>
        <v>1.7597342908693259</v>
      </c>
      <c r="AX492" s="202">
        <f t="shared" si="261"/>
        <v>1.7084798940478891</v>
      </c>
      <c r="AY492" s="202">
        <f t="shared" si="261"/>
        <v>1.6587183437358151</v>
      </c>
      <c r="AZ492" s="202">
        <f t="shared" si="262"/>
        <v>1.6104061589668108</v>
      </c>
      <c r="BA492" s="202">
        <f t="shared" si="262"/>
        <v>1.5635011252104958</v>
      </c>
      <c r="BB492" s="202">
        <f t="shared" si="262"/>
        <v>1.517962257485918</v>
      </c>
      <c r="BC492" s="202">
        <f t="shared" si="262"/>
        <v>1.4737497645494353</v>
      </c>
      <c r="BD492" s="202">
        <f t="shared" si="262"/>
        <v>1.4308250141256653</v>
      </c>
      <c r="BE492" s="202">
        <f t="shared" si="262"/>
        <v>1.3891504991511314</v>
      </c>
      <c r="BF492" s="202">
        <f t="shared" si="262"/>
        <v>1.3486898050010985</v>
      </c>
      <c r="BG492" s="203">
        <f t="shared" si="238"/>
        <v>36.239800129849542</v>
      </c>
    </row>
    <row r="493" spans="27:59">
      <c r="AA493" s="180">
        <f t="shared" si="239"/>
        <v>2646000000</v>
      </c>
      <c r="AB493" s="41">
        <f t="shared" si="240"/>
        <v>3150</v>
      </c>
      <c r="AC493" s="21">
        <v>126</v>
      </c>
      <c r="AD493" s="21" t="s">
        <v>283</v>
      </c>
      <c r="AE493" s="175">
        <f t="shared" si="246"/>
        <v>30</v>
      </c>
      <c r="AF493" s="183">
        <f t="shared" si="247"/>
        <v>27</v>
      </c>
      <c r="AG493" s="84">
        <f t="shared" si="248"/>
        <v>0.39750000000000002</v>
      </c>
      <c r="AH493" s="242">
        <f t="shared" si="249"/>
        <v>0.159</v>
      </c>
      <c r="AI493" s="76">
        <f t="shared" si="250"/>
        <v>1.5600000000000002E-3</v>
      </c>
      <c r="AJ493" s="181">
        <f t="shared" si="251"/>
        <v>5.5650000000000005E-2</v>
      </c>
      <c r="AK493" s="182">
        <f t="shared" si="252"/>
        <v>2.3077257367928001</v>
      </c>
      <c r="AM493" s="201">
        <f t="shared" si="237"/>
        <v>2.3649357367928001</v>
      </c>
      <c r="AN493" s="202">
        <f t="shared" si="260"/>
        <v>2.2960541133910679</v>
      </c>
      <c r="AO493" s="202">
        <f t="shared" si="260"/>
        <v>2.2291787508651146</v>
      </c>
      <c r="AP493" s="202">
        <f t="shared" si="261"/>
        <v>2.16425121443215</v>
      </c>
      <c r="AQ493" s="202">
        <f t="shared" si="261"/>
        <v>2.1012147712933498</v>
      </c>
      <c r="AR493" s="202">
        <f t="shared" si="261"/>
        <v>2.0400143410615046</v>
      </c>
      <c r="AS493" s="202">
        <f t="shared" si="261"/>
        <v>1.9805964476325288</v>
      </c>
      <c r="AT493" s="202">
        <f t="shared" si="261"/>
        <v>1.9229091724587657</v>
      </c>
      <c r="AU493" s="202">
        <f t="shared" si="261"/>
        <v>1.8669021091832678</v>
      </c>
      <c r="AV493" s="202">
        <f t="shared" si="261"/>
        <v>1.8125263195954056</v>
      </c>
      <c r="AW493" s="202">
        <f t="shared" si="261"/>
        <v>1.7597342908693259</v>
      </c>
      <c r="AX493" s="202">
        <f t="shared" si="261"/>
        <v>1.7084798940478891</v>
      </c>
      <c r="AY493" s="202">
        <f t="shared" si="261"/>
        <v>1.6587183437358151</v>
      </c>
      <c r="AZ493" s="202">
        <f t="shared" si="262"/>
        <v>1.6104061589668108</v>
      </c>
      <c r="BA493" s="202">
        <f t="shared" si="262"/>
        <v>1.5635011252104958</v>
      </c>
      <c r="BB493" s="202">
        <f t="shared" si="262"/>
        <v>1.517962257485918</v>
      </c>
      <c r="BC493" s="202">
        <f t="shared" si="262"/>
        <v>1.4737497645494353</v>
      </c>
      <c r="BD493" s="202">
        <f t="shared" si="262"/>
        <v>1.4308250141256653</v>
      </c>
      <c r="BE493" s="202">
        <f t="shared" si="262"/>
        <v>1.3891504991511314</v>
      </c>
      <c r="BF493" s="202">
        <f t="shared" si="262"/>
        <v>1.3486898050010985</v>
      </c>
      <c r="BG493" s="203">
        <f t="shared" si="238"/>
        <v>36.239800129849542</v>
      </c>
    </row>
    <row r="494" spans="27:59">
      <c r="AA494" s="180">
        <f t="shared" si="239"/>
        <v>2667000000</v>
      </c>
      <c r="AB494" s="41">
        <f t="shared" si="240"/>
        <v>3175</v>
      </c>
      <c r="AC494" s="21">
        <v>127</v>
      </c>
      <c r="AD494" s="21" t="s">
        <v>283</v>
      </c>
      <c r="AE494" s="175">
        <f t="shared" si="246"/>
        <v>30</v>
      </c>
      <c r="AF494" s="183">
        <f t="shared" si="247"/>
        <v>27</v>
      </c>
      <c r="AG494" s="84">
        <f t="shared" si="248"/>
        <v>0.39750000000000002</v>
      </c>
      <c r="AH494" s="242">
        <f t="shared" si="249"/>
        <v>0.159</v>
      </c>
      <c r="AI494" s="76">
        <f t="shared" si="250"/>
        <v>1.5600000000000002E-3</v>
      </c>
      <c r="AJ494" s="181">
        <f t="shared" si="251"/>
        <v>5.5650000000000005E-2</v>
      </c>
      <c r="AK494" s="182">
        <f t="shared" si="252"/>
        <v>2.3077257367928001</v>
      </c>
      <c r="AM494" s="201">
        <f t="shared" si="237"/>
        <v>2.3649357367928001</v>
      </c>
      <c r="AN494" s="202">
        <f t="shared" si="260"/>
        <v>2.2960541133910679</v>
      </c>
      <c r="AO494" s="202">
        <f t="shared" si="260"/>
        <v>2.2291787508651146</v>
      </c>
      <c r="AP494" s="202">
        <f t="shared" si="261"/>
        <v>2.16425121443215</v>
      </c>
      <c r="AQ494" s="202">
        <f t="shared" si="261"/>
        <v>2.1012147712933498</v>
      </c>
      <c r="AR494" s="202">
        <f t="shared" si="261"/>
        <v>2.0400143410615046</v>
      </c>
      <c r="AS494" s="202">
        <f t="shared" si="261"/>
        <v>1.9805964476325288</v>
      </c>
      <c r="AT494" s="202">
        <f t="shared" si="261"/>
        <v>1.9229091724587657</v>
      </c>
      <c r="AU494" s="202">
        <f t="shared" si="261"/>
        <v>1.8669021091832678</v>
      </c>
      <c r="AV494" s="202">
        <f t="shared" si="261"/>
        <v>1.8125263195954056</v>
      </c>
      <c r="AW494" s="202">
        <f t="shared" si="261"/>
        <v>1.7597342908693259</v>
      </c>
      <c r="AX494" s="202">
        <f t="shared" si="261"/>
        <v>1.7084798940478891</v>
      </c>
      <c r="AY494" s="202">
        <f t="shared" si="261"/>
        <v>1.6587183437358151</v>
      </c>
      <c r="AZ494" s="202">
        <f t="shared" si="262"/>
        <v>1.6104061589668108</v>
      </c>
      <c r="BA494" s="202">
        <f t="shared" si="262"/>
        <v>1.5635011252104958</v>
      </c>
      <c r="BB494" s="202">
        <f t="shared" si="262"/>
        <v>1.517962257485918</v>
      </c>
      <c r="BC494" s="202">
        <f t="shared" si="262"/>
        <v>1.4737497645494353</v>
      </c>
      <c r="BD494" s="202">
        <f t="shared" si="262"/>
        <v>1.4308250141256653</v>
      </c>
      <c r="BE494" s="202">
        <f t="shared" si="262"/>
        <v>1.3891504991511314</v>
      </c>
      <c r="BF494" s="202">
        <f t="shared" si="262"/>
        <v>1.3486898050010985</v>
      </c>
      <c r="BG494" s="203">
        <f t="shared" si="238"/>
        <v>36.239800129849542</v>
      </c>
    </row>
    <row r="495" spans="27:59">
      <c r="AA495" s="180">
        <f t="shared" si="239"/>
        <v>2688000000</v>
      </c>
      <c r="AB495" s="41">
        <f t="shared" si="240"/>
        <v>3200</v>
      </c>
      <c r="AC495" s="21">
        <v>128</v>
      </c>
      <c r="AD495" s="21" t="s">
        <v>283</v>
      </c>
      <c r="AE495" s="175">
        <f t="shared" si="246"/>
        <v>30</v>
      </c>
      <c r="AF495" s="183">
        <f t="shared" si="247"/>
        <v>27</v>
      </c>
      <c r="AG495" s="84">
        <f t="shared" si="248"/>
        <v>0.39750000000000002</v>
      </c>
      <c r="AH495" s="242">
        <f t="shared" si="249"/>
        <v>0.159</v>
      </c>
      <c r="AI495" s="76">
        <f t="shared" si="250"/>
        <v>1.5600000000000002E-3</v>
      </c>
      <c r="AJ495" s="181">
        <f t="shared" si="251"/>
        <v>5.5650000000000005E-2</v>
      </c>
      <c r="AK495" s="182">
        <f t="shared" si="252"/>
        <v>2.3077257367928001</v>
      </c>
      <c r="AM495" s="201">
        <f t="shared" ref="AM495:AM544" si="263">(AI495+AJ495+AK495)</f>
        <v>2.3649357367928001</v>
      </c>
      <c r="AN495" s="202">
        <f t="shared" si="260"/>
        <v>2.2960541133910679</v>
      </c>
      <c r="AO495" s="202">
        <f t="shared" si="260"/>
        <v>2.2291787508651146</v>
      </c>
      <c r="AP495" s="202">
        <f t="shared" si="261"/>
        <v>2.16425121443215</v>
      </c>
      <c r="AQ495" s="202">
        <f t="shared" si="261"/>
        <v>2.1012147712933498</v>
      </c>
      <c r="AR495" s="202">
        <f t="shared" si="261"/>
        <v>2.0400143410615046</v>
      </c>
      <c r="AS495" s="202">
        <f t="shared" si="261"/>
        <v>1.9805964476325288</v>
      </c>
      <c r="AT495" s="202">
        <f t="shared" si="261"/>
        <v>1.9229091724587657</v>
      </c>
      <c r="AU495" s="202">
        <f t="shared" si="261"/>
        <v>1.8669021091832678</v>
      </c>
      <c r="AV495" s="202">
        <f t="shared" si="261"/>
        <v>1.8125263195954056</v>
      </c>
      <c r="AW495" s="202">
        <f t="shared" si="261"/>
        <v>1.7597342908693259</v>
      </c>
      <c r="AX495" s="202">
        <f t="shared" si="261"/>
        <v>1.7084798940478891</v>
      </c>
      <c r="AY495" s="202">
        <f t="shared" si="261"/>
        <v>1.6587183437358151</v>
      </c>
      <c r="AZ495" s="202">
        <f t="shared" si="262"/>
        <v>1.6104061589668108</v>
      </c>
      <c r="BA495" s="202">
        <f t="shared" si="262"/>
        <v>1.5635011252104958</v>
      </c>
      <c r="BB495" s="202">
        <f t="shared" si="262"/>
        <v>1.517962257485918</v>
      </c>
      <c r="BC495" s="202">
        <f t="shared" si="262"/>
        <v>1.4737497645494353</v>
      </c>
      <c r="BD495" s="202">
        <f t="shared" si="262"/>
        <v>1.4308250141256653</v>
      </c>
      <c r="BE495" s="202">
        <f t="shared" si="262"/>
        <v>1.3891504991511314</v>
      </c>
      <c r="BF495" s="202">
        <f t="shared" si="262"/>
        <v>1.3486898050010985</v>
      </c>
      <c r="BG495" s="203">
        <f t="shared" ref="BG495:BG544" si="264">SUM(AM495:BF495)</f>
        <v>36.239800129849542</v>
      </c>
    </row>
    <row r="496" spans="27:59">
      <c r="AA496" s="180">
        <f t="shared" si="239"/>
        <v>2709000000</v>
      </c>
      <c r="AB496" s="41">
        <f t="shared" si="240"/>
        <v>3225</v>
      </c>
      <c r="AC496" s="21">
        <v>129</v>
      </c>
      <c r="AD496" s="21" t="s">
        <v>283</v>
      </c>
      <c r="AE496" s="175">
        <f t="shared" si="246"/>
        <v>30</v>
      </c>
      <c r="AF496" s="183">
        <f t="shared" si="247"/>
        <v>27</v>
      </c>
      <c r="AG496" s="84">
        <f t="shared" si="248"/>
        <v>0.39750000000000002</v>
      </c>
      <c r="AH496" s="242">
        <f t="shared" si="249"/>
        <v>0.159</v>
      </c>
      <c r="AI496" s="76">
        <f t="shared" si="250"/>
        <v>1.5600000000000002E-3</v>
      </c>
      <c r="AJ496" s="181">
        <f t="shared" si="251"/>
        <v>5.5650000000000005E-2</v>
      </c>
      <c r="AK496" s="182">
        <f t="shared" si="252"/>
        <v>2.3077257367928001</v>
      </c>
      <c r="AM496" s="201">
        <f t="shared" si="263"/>
        <v>2.3649357367928001</v>
      </c>
      <c r="AN496" s="202">
        <f t="shared" si="260"/>
        <v>2.2960541133910679</v>
      </c>
      <c r="AO496" s="202">
        <f t="shared" si="260"/>
        <v>2.2291787508651146</v>
      </c>
      <c r="AP496" s="202">
        <f t="shared" si="261"/>
        <v>2.16425121443215</v>
      </c>
      <c r="AQ496" s="202">
        <f t="shared" si="261"/>
        <v>2.1012147712933498</v>
      </c>
      <c r="AR496" s="202">
        <f t="shared" si="261"/>
        <v>2.0400143410615046</v>
      </c>
      <c r="AS496" s="202">
        <f t="shared" si="261"/>
        <v>1.9805964476325288</v>
      </c>
      <c r="AT496" s="202">
        <f t="shared" si="261"/>
        <v>1.9229091724587657</v>
      </c>
      <c r="AU496" s="202">
        <f t="shared" si="261"/>
        <v>1.8669021091832678</v>
      </c>
      <c r="AV496" s="202">
        <f t="shared" si="261"/>
        <v>1.8125263195954056</v>
      </c>
      <c r="AW496" s="202">
        <f t="shared" si="261"/>
        <v>1.7597342908693259</v>
      </c>
      <c r="AX496" s="202">
        <f t="shared" si="261"/>
        <v>1.7084798940478891</v>
      </c>
      <c r="AY496" s="202">
        <f t="shared" si="261"/>
        <v>1.6587183437358151</v>
      </c>
      <c r="AZ496" s="202">
        <f t="shared" si="262"/>
        <v>1.6104061589668108</v>
      </c>
      <c r="BA496" s="202">
        <f t="shared" si="262"/>
        <v>1.5635011252104958</v>
      </c>
      <c r="BB496" s="202">
        <f t="shared" si="262"/>
        <v>1.517962257485918</v>
      </c>
      <c r="BC496" s="202">
        <f t="shared" si="262"/>
        <v>1.4737497645494353</v>
      </c>
      <c r="BD496" s="202">
        <f t="shared" si="262"/>
        <v>1.4308250141256653</v>
      </c>
      <c r="BE496" s="202">
        <f t="shared" si="262"/>
        <v>1.3891504991511314</v>
      </c>
      <c r="BF496" s="202">
        <f t="shared" si="262"/>
        <v>1.3486898050010985</v>
      </c>
      <c r="BG496" s="203">
        <f t="shared" si="264"/>
        <v>36.239800129849542</v>
      </c>
    </row>
    <row r="497" spans="27:59">
      <c r="AA497" s="180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283</v>
      </c>
      <c r="AE497" s="175">
        <f t="shared" si="246"/>
        <v>30</v>
      </c>
      <c r="AF497" s="183">
        <f t="shared" si="247"/>
        <v>27</v>
      </c>
      <c r="AG497" s="84">
        <f t="shared" si="248"/>
        <v>0.39750000000000002</v>
      </c>
      <c r="AH497" s="242">
        <f t="shared" si="249"/>
        <v>0.159</v>
      </c>
      <c r="AI497" s="76">
        <f t="shared" si="250"/>
        <v>1.5600000000000002E-3</v>
      </c>
      <c r="AJ497" s="181">
        <f t="shared" si="251"/>
        <v>5.5650000000000005E-2</v>
      </c>
      <c r="AK497" s="182">
        <f t="shared" si="252"/>
        <v>2.3077257367928001</v>
      </c>
      <c r="AM497" s="201">
        <f t="shared" si="263"/>
        <v>2.3649357367928001</v>
      </c>
      <c r="AN497" s="202">
        <f t="shared" si="260"/>
        <v>2.2960541133910679</v>
      </c>
      <c r="AO497" s="202">
        <f t="shared" si="260"/>
        <v>2.2291787508651146</v>
      </c>
      <c r="AP497" s="202">
        <f t="shared" si="261"/>
        <v>2.16425121443215</v>
      </c>
      <c r="AQ497" s="202">
        <f t="shared" si="261"/>
        <v>2.1012147712933498</v>
      </c>
      <c r="AR497" s="202">
        <f t="shared" si="261"/>
        <v>2.0400143410615046</v>
      </c>
      <c r="AS497" s="202">
        <f t="shared" si="261"/>
        <v>1.9805964476325288</v>
      </c>
      <c r="AT497" s="202">
        <f t="shared" si="261"/>
        <v>1.9229091724587657</v>
      </c>
      <c r="AU497" s="202">
        <f t="shared" si="261"/>
        <v>1.8669021091832678</v>
      </c>
      <c r="AV497" s="202">
        <f t="shared" si="261"/>
        <v>1.8125263195954056</v>
      </c>
      <c r="AW497" s="202">
        <f t="shared" si="261"/>
        <v>1.7597342908693259</v>
      </c>
      <c r="AX497" s="202">
        <f t="shared" si="261"/>
        <v>1.7084798940478891</v>
      </c>
      <c r="AY497" s="202">
        <f t="shared" si="261"/>
        <v>1.6587183437358151</v>
      </c>
      <c r="AZ497" s="202">
        <f t="shared" si="262"/>
        <v>1.6104061589668108</v>
      </c>
      <c r="BA497" s="202">
        <f t="shared" si="262"/>
        <v>1.5635011252104958</v>
      </c>
      <c r="BB497" s="202">
        <f t="shared" si="262"/>
        <v>1.517962257485918</v>
      </c>
      <c r="BC497" s="202">
        <f t="shared" si="262"/>
        <v>1.4737497645494353</v>
      </c>
      <c r="BD497" s="202">
        <f t="shared" si="262"/>
        <v>1.4308250141256653</v>
      </c>
      <c r="BE497" s="202">
        <f t="shared" si="262"/>
        <v>1.3891504991511314</v>
      </c>
      <c r="BF497" s="202">
        <f t="shared" si="262"/>
        <v>1.3486898050010985</v>
      </c>
      <c r="BG497" s="203">
        <f t="shared" si="264"/>
        <v>36.239800129849542</v>
      </c>
    </row>
    <row r="498" spans="27:59">
      <c r="AA498" s="180">
        <f t="shared" si="265"/>
        <v>2751000000</v>
      </c>
      <c r="AB498" s="41">
        <f t="shared" si="266"/>
        <v>3275</v>
      </c>
      <c r="AC498" s="21">
        <v>131</v>
      </c>
      <c r="AD498" s="21" t="s">
        <v>283</v>
      </c>
      <c r="AE498" s="175">
        <f t="shared" si="246"/>
        <v>30</v>
      </c>
      <c r="AF498" s="183">
        <f t="shared" si="247"/>
        <v>27</v>
      </c>
      <c r="AG498" s="84">
        <f t="shared" si="248"/>
        <v>0.39750000000000002</v>
      </c>
      <c r="AH498" s="242">
        <f t="shared" si="249"/>
        <v>0.159</v>
      </c>
      <c r="AI498" s="76">
        <f t="shared" si="250"/>
        <v>1.5600000000000002E-3</v>
      </c>
      <c r="AJ498" s="181">
        <f t="shared" si="251"/>
        <v>5.5650000000000005E-2</v>
      </c>
      <c r="AK498" s="182">
        <f t="shared" si="252"/>
        <v>2.3077257367928001</v>
      </c>
      <c r="AM498" s="201">
        <f t="shared" si="263"/>
        <v>2.3649357367928001</v>
      </c>
      <c r="AN498" s="202">
        <f t="shared" si="260"/>
        <v>2.2960541133910679</v>
      </c>
      <c r="AO498" s="202">
        <f t="shared" si="260"/>
        <v>2.2291787508651146</v>
      </c>
      <c r="AP498" s="202">
        <f t="shared" ref="AP498:AY507" si="267">$AM498/POWER(1+($B$10/100),AP$366-2024)</f>
        <v>2.16425121443215</v>
      </c>
      <c r="AQ498" s="202">
        <f t="shared" si="267"/>
        <v>2.1012147712933498</v>
      </c>
      <c r="AR498" s="202">
        <f t="shared" si="267"/>
        <v>2.0400143410615046</v>
      </c>
      <c r="AS498" s="202">
        <f t="shared" si="267"/>
        <v>1.9805964476325288</v>
      </c>
      <c r="AT498" s="202">
        <f t="shared" si="267"/>
        <v>1.9229091724587657</v>
      </c>
      <c r="AU498" s="202">
        <f t="shared" si="267"/>
        <v>1.8669021091832678</v>
      </c>
      <c r="AV498" s="202">
        <f t="shared" si="267"/>
        <v>1.8125263195954056</v>
      </c>
      <c r="AW498" s="202">
        <f t="shared" si="267"/>
        <v>1.7597342908693259</v>
      </c>
      <c r="AX498" s="202">
        <f t="shared" si="267"/>
        <v>1.7084798940478891</v>
      </c>
      <c r="AY498" s="202">
        <f t="shared" si="267"/>
        <v>1.6587183437358151</v>
      </c>
      <c r="AZ498" s="202">
        <f t="shared" ref="AZ498:BF507" si="268">$AM498/POWER(1+($B$10/100),AZ$366-2024)</f>
        <v>1.6104061589668108</v>
      </c>
      <c r="BA498" s="202">
        <f t="shared" si="268"/>
        <v>1.5635011252104958</v>
      </c>
      <c r="BB498" s="202">
        <f t="shared" si="268"/>
        <v>1.517962257485918</v>
      </c>
      <c r="BC498" s="202">
        <f t="shared" si="268"/>
        <v>1.4737497645494353</v>
      </c>
      <c r="BD498" s="202">
        <f t="shared" si="268"/>
        <v>1.4308250141256653</v>
      </c>
      <c r="BE498" s="202">
        <f t="shared" si="268"/>
        <v>1.3891504991511314</v>
      </c>
      <c r="BF498" s="202">
        <f t="shared" si="268"/>
        <v>1.3486898050010985</v>
      </c>
      <c r="BG498" s="203">
        <f t="shared" si="264"/>
        <v>36.239800129849542</v>
      </c>
    </row>
    <row r="499" spans="27:59">
      <c r="AA499" s="180">
        <f t="shared" si="265"/>
        <v>2772000000</v>
      </c>
      <c r="AB499" s="41">
        <f t="shared" si="266"/>
        <v>3300</v>
      </c>
      <c r="AC499" s="21">
        <v>132</v>
      </c>
      <c r="AD499" s="21" t="s">
        <v>283</v>
      </c>
      <c r="AE499" s="175">
        <f t="shared" si="246"/>
        <v>30</v>
      </c>
      <c r="AF499" s="183">
        <f t="shared" si="247"/>
        <v>27</v>
      </c>
      <c r="AG499" s="84">
        <f t="shared" si="248"/>
        <v>0.39750000000000002</v>
      </c>
      <c r="AH499" s="242">
        <f t="shared" si="249"/>
        <v>0.159</v>
      </c>
      <c r="AI499" s="76">
        <f t="shared" si="250"/>
        <v>1.5600000000000002E-3</v>
      </c>
      <c r="AJ499" s="181">
        <f t="shared" si="251"/>
        <v>5.5650000000000005E-2</v>
      </c>
      <c r="AK499" s="182">
        <f t="shared" si="252"/>
        <v>2.3077257367928001</v>
      </c>
      <c r="AM499" s="201">
        <f t="shared" si="263"/>
        <v>2.3649357367928001</v>
      </c>
      <c r="AN499" s="202">
        <f t="shared" si="260"/>
        <v>2.2960541133910679</v>
      </c>
      <c r="AO499" s="202">
        <f t="shared" si="260"/>
        <v>2.2291787508651146</v>
      </c>
      <c r="AP499" s="202">
        <f t="shared" si="267"/>
        <v>2.16425121443215</v>
      </c>
      <c r="AQ499" s="202">
        <f t="shared" si="267"/>
        <v>2.1012147712933498</v>
      </c>
      <c r="AR499" s="202">
        <f t="shared" si="267"/>
        <v>2.0400143410615046</v>
      </c>
      <c r="AS499" s="202">
        <f t="shared" si="267"/>
        <v>1.9805964476325288</v>
      </c>
      <c r="AT499" s="202">
        <f t="shared" si="267"/>
        <v>1.9229091724587657</v>
      </c>
      <c r="AU499" s="202">
        <f t="shared" si="267"/>
        <v>1.8669021091832678</v>
      </c>
      <c r="AV499" s="202">
        <f t="shared" si="267"/>
        <v>1.8125263195954056</v>
      </c>
      <c r="AW499" s="202">
        <f t="shared" si="267"/>
        <v>1.7597342908693259</v>
      </c>
      <c r="AX499" s="202">
        <f t="shared" si="267"/>
        <v>1.7084798940478891</v>
      </c>
      <c r="AY499" s="202">
        <f t="shared" si="267"/>
        <v>1.6587183437358151</v>
      </c>
      <c r="AZ499" s="202">
        <f t="shared" si="268"/>
        <v>1.6104061589668108</v>
      </c>
      <c r="BA499" s="202">
        <f t="shared" si="268"/>
        <v>1.5635011252104958</v>
      </c>
      <c r="BB499" s="202">
        <f t="shared" si="268"/>
        <v>1.517962257485918</v>
      </c>
      <c r="BC499" s="202">
        <f t="shared" si="268"/>
        <v>1.4737497645494353</v>
      </c>
      <c r="BD499" s="202">
        <f t="shared" si="268"/>
        <v>1.4308250141256653</v>
      </c>
      <c r="BE499" s="202">
        <f t="shared" si="268"/>
        <v>1.3891504991511314</v>
      </c>
      <c r="BF499" s="202">
        <f t="shared" si="268"/>
        <v>1.3486898050010985</v>
      </c>
      <c r="BG499" s="203">
        <f t="shared" si="264"/>
        <v>36.239800129849542</v>
      </c>
    </row>
    <row r="500" spans="27:59">
      <c r="AA500" s="180">
        <f t="shared" si="265"/>
        <v>2793000000</v>
      </c>
      <c r="AB500" s="41">
        <f t="shared" si="266"/>
        <v>3325</v>
      </c>
      <c r="AC500" s="21">
        <v>133</v>
      </c>
      <c r="AD500" s="21" t="s">
        <v>283</v>
      </c>
      <c r="AE500" s="175">
        <f t="shared" si="246"/>
        <v>30</v>
      </c>
      <c r="AF500" s="183">
        <f t="shared" si="247"/>
        <v>27</v>
      </c>
      <c r="AG500" s="84">
        <f t="shared" si="248"/>
        <v>0.39750000000000002</v>
      </c>
      <c r="AH500" s="242">
        <f t="shared" si="249"/>
        <v>0.159</v>
      </c>
      <c r="AI500" s="76">
        <f t="shared" si="250"/>
        <v>1.5600000000000002E-3</v>
      </c>
      <c r="AJ500" s="181">
        <f t="shared" si="251"/>
        <v>5.5650000000000005E-2</v>
      </c>
      <c r="AK500" s="182">
        <f t="shared" si="252"/>
        <v>2.3077257367928001</v>
      </c>
      <c r="AM500" s="201">
        <f t="shared" si="263"/>
        <v>2.3649357367928001</v>
      </c>
      <c r="AN500" s="202">
        <f t="shared" si="260"/>
        <v>2.2960541133910679</v>
      </c>
      <c r="AO500" s="202">
        <f t="shared" si="260"/>
        <v>2.2291787508651146</v>
      </c>
      <c r="AP500" s="202">
        <f t="shared" si="267"/>
        <v>2.16425121443215</v>
      </c>
      <c r="AQ500" s="202">
        <f t="shared" si="267"/>
        <v>2.1012147712933498</v>
      </c>
      <c r="AR500" s="202">
        <f t="shared" si="267"/>
        <v>2.0400143410615046</v>
      </c>
      <c r="AS500" s="202">
        <f t="shared" si="267"/>
        <v>1.9805964476325288</v>
      </c>
      <c r="AT500" s="202">
        <f t="shared" si="267"/>
        <v>1.9229091724587657</v>
      </c>
      <c r="AU500" s="202">
        <f t="shared" si="267"/>
        <v>1.8669021091832678</v>
      </c>
      <c r="AV500" s="202">
        <f t="shared" si="267"/>
        <v>1.8125263195954056</v>
      </c>
      <c r="AW500" s="202">
        <f t="shared" si="267"/>
        <v>1.7597342908693259</v>
      </c>
      <c r="AX500" s="202">
        <f t="shared" si="267"/>
        <v>1.7084798940478891</v>
      </c>
      <c r="AY500" s="202">
        <f t="shared" si="267"/>
        <v>1.6587183437358151</v>
      </c>
      <c r="AZ500" s="202">
        <f t="shared" si="268"/>
        <v>1.6104061589668108</v>
      </c>
      <c r="BA500" s="202">
        <f t="shared" si="268"/>
        <v>1.5635011252104958</v>
      </c>
      <c r="BB500" s="202">
        <f t="shared" si="268"/>
        <v>1.517962257485918</v>
      </c>
      <c r="BC500" s="202">
        <f t="shared" si="268"/>
        <v>1.4737497645494353</v>
      </c>
      <c r="BD500" s="202">
        <f t="shared" si="268"/>
        <v>1.4308250141256653</v>
      </c>
      <c r="BE500" s="202">
        <f t="shared" si="268"/>
        <v>1.3891504991511314</v>
      </c>
      <c r="BF500" s="202">
        <f t="shared" si="268"/>
        <v>1.3486898050010985</v>
      </c>
      <c r="BG500" s="203">
        <f t="shared" si="264"/>
        <v>36.239800129849542</v>
      </c>
    </row>
    <row r="501" spans="27:59">
      <c r="AA501" s="180">
        <f t="shared" si="265"/>
        <v>2814000000</v>
      </c>
      <c r="AB501" s="41">
        <f t="shared" si="266"/>
        <v>3350</v>
      </c>
      <c r="AC501" s="21">
        <v>134</v>
      </c>
      <c r="AD501" s="21" t="s">
        <v>283</v>
      </c>
      <c r="AE501" s="175">
        <f t="shared" si="246"/>
        <v>30</v>
      </c>
      <c r="AF501" s="183">
        <f t="shared" si="247"/>
        <v>27</v>
      </c>
      <c r="AG501" s="84">
        <f t="shared" si="248"/>
        <v>0.39750000000000002</v>
      </c>
      <c r="AH501" s="242">
        <f t="shared" si="249"/>
        <v>0.159</v>
      </c>
      <c r="AI501" s="76">
        <f t="shared" si="250"/>
        <v>1.5600000000000002E-3</v>
      </c>
      <c r="AJ501" s="181">
        <f t="shared" si="251"/>
        <v>5.5650000000000005E-2</v>
      </c>
      <c r="AK501" s="182">
        <f t="shared" si="252"/>
        <v>2.3077257367928001</v>
      </c>
      <c r="AM501" s="201">
        <f t="shared" si="263"/>
        <v>2.3649357367928001</v>
      </c>
      <c r="AN501" s="202">
        <f t="shared" si="260"/>
        <v>2.2960541133910679</v>
      </c>
      <c r="AO501" s="202">
        <f t="shared" si="260"/>
        <v>2.2291787508651146</v>
      </c>
      <c r="AP501" s="202">
        <f t="shared" si="267"/>
        <v>2.16425121443215</v>
      </c>
      <c r="AQ501" s="202">
        <f t="shared" si="267"/>
        <v>2.1012147712933498</v>
      </c>
      <c r="AR501" s="202">
        <f t="shared" si="267"/>
        <v>2.0400143410615046</v>
      </c>
      <c r="AS501" s="202">
        <f t="shared" si="267"/>
        <v>1.9805964476325288</v>
      </c>
      <c r="AT501" s="202">
        <f t="shared" si="267"/>
        <v>1.9229091724587657</v>
      </c>
      <c r="AU501" s="202">
        <f t="shared" si="267"/>
        <v>1.8669021091832678</v>
      </c>
      <c r="AV501" s="202">
        <f t="shared" si="267"/>
        <v>1.8125263195954056</v>
      </c>
      <c r="AW501" s="202">
        <f t="shared" si="267"/>
        <v>1.7597342908693259</v>
      </c>
      <c r="AX501" s="202">
        <f t="shared" si="267"/>
        <v>1.7084798940478891</v>
      </c>
      <c r="AY501" s="202">
        <f t="shared" si="267"/>
        <v>1.6587183437358151</v>
      </c>
      <c r="AZ501" s="202">
        <f t="shared" si="268"/>
        <v>1.6104061589668108</v>
      </c>
      <c r="BA501" s="202">
        <f t="shared" si="268"/>
        <v>1.5635011252104958</v>
      </c>
      <c r="BB501" s="202">
        <f t="shared" si="268"/>
        <v>1.517962257485918</v>
      </c>
      <c r="BC501" s="202">
        <f t="shared" si="268"/>
        <v>1.4737497645494353</v>
      </c>
      <c r="BD501" s="202">
        <f t="shared" si="268"/>
        <v>1.4308250141256653</v>
      </c>
      <c r="BE501" s="202">
        <f t="shared" si="268"/>
        <v>1.3891504991511314</v>
      </c>
      <c r="BF501" s="202">
        <f t="shared" si="268"/>
        <v>1.3486898050010985</v>
      </c>
      <c r="BG501" s="203">
        <f t="shared" si="264"/>
        <v>36.239800129849542</v>
      </c>
    </row>
    <row r="502" spans="27:59">
      <c r="AA502" s="180">
        <f t="shared" si="265"/>
        <v>2835000000</v>
      </c>
      <c r="AB502" s="41">
        <f t="shared" si="266"/>
        <v>3375</v>
      </c>
      <c r="AC502" s="21">
        <v>135</v>
      </c>
      <c r="AD502" s="21" t="s">
        <v>283</v>
      </c>
      <c r="AE502" s="175">
        <f t="shared" si="246"/>
        <v>30</v>
      </c>
      <c r="AF502" s="183">
        <f t="shared" si="247"/>
        <v>27</v>
      </c>
      <c r="AG502" s="84">
        <f t="shared" si="248"/>
        <v>0.39750000000000002</v>
      </c>
      <c r="AH502" s="242">
        <f t="shared" si="249"/>
        <v>0.159</v>
      </c>
      <c r="AI502" s="76">
        <f t="shared" si="250"/>
        <v>1.5600000000000002E-3</v>
      </c>
      <c r="AJ502" s="181">
        <f t="shared" si="251"/>
        <v>5.5650000000000005E-2</v>
      </c>
      <c r="AK502" s="182">
        <f t="shared" si="252"/>
        <v>2.3077257367928001</v>
      </c>
      <c r="AM502" s="201">
        <f t="shared" si="263"/>
        <v>2.3649357367928001</v>
      </c>
      <c r="AN502" s="202">
        <f t="shared" si="260"/>
        <v>2.2960541133910679</v>
      </c>
      <c r="AO502" s="202">
        <f t="shared" si="260"/>
        <v>2.2291787508651146</v>
      </c>
      <c r="AP502" s="202">
        <f t="shared" si="267"/>
        <v>2.16425121443215</v>
      </c>
      <c r="AQ502" s="202">
        <f t="shared" si="267"/>
        <v>2.1012147712933498</v>
      </c>
      <c r="AR502" s="202">
        <f t="shared" si="267"/>
        <v>2.0400143410615046</v>
      </c>
      <c r="AS502" s="202">
        <f t="shared" si="267"/>
        <v>1.9805964476325288</v>
      </c>
      <c r="AT502" s="202">
        <f t="shared" si="267"/>
        <v>1.9229091724587657</v>
      </c>
      <c r="AU502" s="202">
        <f t="shared" si="267"/>
        <v>1.8669021091832678</v>
      </c>
      <c r="AV502" s="202">
        <f t="shared" si="267"/>
        <v>1.8125263195954056</v>
      </c>
      <c r="AW502" s="202">
        <f t="shared" si="267"/>
        <v>1.7597342908693259</v>
      </c>
      <c r="AX502" s="202">
        <f t="shared" si="267"/>
        <v>1.7084798940478891</v>
      </c>
      <c r="AY502" s="202">
        <f t="shared" si="267"/>
        <v>1.6587183437358151</v>
      </c>
      <c r="AZ502" s="202">
        <f t="shared" si="268"/>
        <v>1.6104061589668108</v>
      </c>
      <c r="BA502" s="202">
        <f t="shared" si="268"/>
        <v>1.5635011252104958</v>
      </c>
      <c r="BB502" s="202">
        <f t="shared" si="268"/>
        <v>1.517962257485918</v>
      </c>
      <c r="BC502" s="202">
        <f t="shared" si="268"/>
        <v>1.4737497645494353</v>
      </c>
      <c r="BD502" s="202">
        <f t="shared" si="268"/>
        <v>1.4308250141256653</v>
      </c>
      <c r="BE502" s="202">
        <f t="shared" si="268"/>
        <v>1.3891504991511314</v>
      </c>
      <c r="BF502" s="202">
        <f t="shared" si="268"/>
        <v>1.3486898050010985</v>
      </c>
      <c r="BG502" s="203">
        <f t="shared" si="264"/>
        <v>36.239800129849542</v>
      </c>
    </row>
    <row r="503" spans="27:59">
      <c r="AA503" s="180">
        <f t="shared" si="265"/>
        <v>2856000000</v>
      </c>
      <c r="AB503" s="41">
        <f t="shared" si="266"/>
        <v>3400</v>
      </c>
      <c r="AC503" s="21">
        <v>136</v>
      </c>
      <c r="AD503" s="21" t="s">
        <v>283</v>
      </c>
      <c r="AE503" s="175">
        <f t="shared" si="246"/>
        <v>30</v>
      </c>
      <c r="AF503" s="183">
        <f t="shared" si="247"/>
        <v>27</v>
      </c>
      <c r="AG503" s="84">
        <f t="shared" si="248"/>
        <v>0.39750000000000002</v>
      </c>
      <c r="AH503" s="242">
        <f t="shared" si="249"/>
        <v>0.159</v>
      </c>
      <c r="AI503" s="76">
        <f t="shared" si="250"/>
        <v>1.5600000000000002E-3</v>
      </c>
      <c r="AJ503" s="181">
        <f t="shared" si="251"/>
        <v>5.5650000000000005E-2</v>
      </c>
      <c r="AK503" s="182">
        <f t="shared" si="252"/>
        <v>2.3077257367928001</v>
      </c>
      <c r="AM503" s="201">
        <f t="shared" si="263"/>
        <v>2.3649357367928001</v>
      </c>
      <c r="AN503" s="202">
        <f t="shared" si="260"/>
        <v>2.2960541133910679</v>
      </c>
      <c r="AO503" s="202">
        <f t="shared" si="260"/>
        <v>2.2291787508651146</v>
      </c>
      <c r="AP503" s="202">
        <f t="shared" si="267"/>
        <v>2.16425121443215</v>
      </c>
      <c r="AQ503" s="202">
        <f t="shared" si="267"/>
        <v>2.1012147712933498</v>
      </c>
      <c r="AR503" s="202">
        <f t="shared" si="267"/>
        <v>2.0400143410615046</v>
      </c>
      <c r="AS503" s="202">
        <f t="shared" si="267"/>
        <v>1.9805964476325288</v>
      </c>
      <c r="AT503" s="202">
        <f t="shared" si="267"/>
        <v>1.9229091724587657</v>
      </c>
      <c r="AU503" s="202">
        <f t="shared" si="267"/>
        <v>1.8669021091832678</v>
      </c>
      <c r="AV503" s="202">
        <f t="shared" si="267"/>
        <v>1.8125263195954056</v>
      </c>
      <c r="AW503" s="202">
        <f t="shared" si="267"/>
        <v>1.7597342908693259</v>
      </c>
      <c r="AX503" s="202">
        <f t="shared" si="267"/>
        <v>1.7084798940478891</v>
      </c>
      <c r="AY503" s="202">
        <f t="shared" si="267"/>
        <v>1.6587183437358151</v>
      </c>
      <c r="AZ503" s="202">
        <f t="shared" si="268"/>
        <v>1.6104061589668108</v>
      </c>
      <c r="BA503" s="202">
        <f t="shared" si="268"/>
        <v>1.5635011252104958</v>
      </c>
      <c r="BB503" s="202">
        <f t="shared" si="268"/>
        <v>1.517962257485918</v>
      </c>
      <c r="BC503" s="202">
        <f t="shared" si="268"/>
        <v>1.4737497645494353</v>
      </c>
      <c r="BD503" s="202">
        <f t="shared" si="268"/>
        <v>1.4308250141256653</v>
      </c>
      <c r="BE503" s="202">
        <f t="shared" si="268"/>
        <v>1.3891504991511314</v>
      </c>
      <c r="BF503" s="202">
        <f t="shared" si="268"/>
        <v>1.3486898050010985</v>
      </c>
      <c r="BG503" s="203">
        <f t="shared" si="264"/>
        <v>36.239800129849542</v>
      </c>
    </row>
    <row r="504" spans="27:59">
      <c r="AA504" s="180">
        <f t="shared" si="265"/>
        <v>2877000000</v>
      </c>
      <c r="AB504" s="41">
        <f t="shared" si="266"/>
        <v>3425</v>
      </c>
      <c r="AC504" s="21">
        <v>137</v>
      </c>
      <c r="AD504" s="21" t="s">
        <v>283</v>
      </c>
      <c r="AE504" s="175">
        <f t="shared" si="246"/>
        <v>30</v>
      </c>
      <c r="AF504" s="183">
        <f t="shared" si="247"/>
        <v>27</v>
      </c>
      <c r="AG504" s="84">
        <f t="shared" si="248"/>
        <v>0.39750000000000002</v>
      </c>
      <c r="AH504" s="242">
        <f t="shared" si="249"/>
        <v>0.159</v>
      </c>
      <c r="AI504" s="76">
        <f t="shared" si="250"/>
        <v>1.5600000000000002E-3</v>
      </c>
      <c r="AJ504" s="181">
        <f t="shared" si="251"/>
        <v>5.5650000000000005E-2</v>
      </c>
      <c r="AK504" s="182">
        <f t="shared" si="252"/>
        <v>2.3077257367928001</v>
      </c>
      <c r="AM504" s="201">
        <f t="shared" si="263"/>
        <v>2.3649357367928001</v>
      </c>
      <c r="AN504" s="202">
        <f t="shared" si="260"/>
        <v>2.2960541133910679</v>
      </c>
      <c r="AO504" s="202">
        <f t="shared" si="260"/>
        <v>2.2291787508651146</v>
      </c>
      <c r="AP504" s="202">
        <f t="shared" si="267"/>
        <v>2.16425121443215</v>
      </c>
      <c r="AQ504" s="202">
        <f t="shared" si="267"/>
        <v>2.1012147712933498</v>
      </c>
      <c r="AR504" s="202">
        <f t="shared" si="267"/>
        <v>2.0400143410615046</v>
      </c>
      <c r="AS504" s="202">
        <f t="shared" si="267"/>
        <v>1.9805964476325288</v>
      </c>
      <c r="AT504" s="202">
        <f t="shared" si="267"/>
        <v>1.9229091724587657</v>
      </c>
      <c r="AU504" s="202">
        <f t="shared" si="267"/>
        <v>1.8669021091832678</v>
      </c>
      <c r="AV504" s="202">
        <f t="shared" si="267"/>
        <v>1.8125263195954056</v>
      </c>
      <c r="AW504" s="202">
        <f t="shared" si="267"/>
        <v>1.7597342908693259</v>
      </c>
      <c r="AX504" s="202">
        <f t="shared" si="267"/>
        <v>1.7084798940478891</v>
      </c>
      <c r="AY504" s="202">
        <f t="shared" si="267"/>
        <v>1.6587183437358151</v>
      </c>
      <c r="AZ504" s="202">
        <f t="shared" si="268"/>
        <v>1.6104061589668108</v>
      </c>
      <c r="BA504" s="202">
        <f t="shared" si="268"/>
        <v>1.5635011252104958</v>
      </c>
      <c r="BB504" s="202">
        <f t="shared" si="268"/>
        <v>1.517962257485918</v>
      </c>
      <c r="BC504" s="202">
        <f t="shared" si="268"/>
        <v>1.4737497645494353</v>
      </c>
      <c r="BD504" s="202">
        <f t="shared" si="268"/>
        <v>1.4308250141256653</v>
      </c>
      <c r="BE504" s="202">
        <f t="shared" si="268"/>
        <v>1.3891504991511314</v>
      </c>
      <c r="BF504" s="202">
        <f t="shared" si="268"/>
        <v>1.3486898050010985</v>
      </c>
      <c r="BG504" s="203">
        <f t="shared" si="264"/>
        <v>36.239800129849542</v>
      </c>
    </row>
    <row r="505" spans="27:59">
      <c r="AA505" s="180">
        <f t="shared" si="265"/>
        <v>2898000000</v>
      </c>
      <c r="AB505" s="41">
        <f t="shared" si="266"/>
        <v>3450</v>
      </c>
      <c r="AC505" s="21">
        <v>138</v>
      </c>
      <c r="AD505" s="21" t="s">
        <v>283</v>
      </c>
      <c r="AE505" s="175">
        <f t="shared" si="246"/>
        <v>30</v>
      </c>
      <c r="AF505" s="183">
        <f t="shared" si="247"/>
        <v>27</v>
      </c>
      <c r="AG505" s="84">
        <f t="shared" si="248"/>
        <v>0.39750000000000002</v>
      </c>
      <c r="AH505" s="242">
        <f t="shared" si="249"/>
        <v>0.159</v>
      </c>
      <c r="AI505" s="76">
        <f t="shared" si="250"/>
        <v>1.5600000000000002E-3</v>
      </c>
      <c r="AJ505" s="181">
        <f t="shared" si="251"/>
        <v>5.5650000000000005E-2</v>
      </c>
      <c r="AK505" s="182">
        <f t="shared" si="252"/>
        <v>2.3077257367928001</v>
      </c>
      <c r="AM505" s="201">
        <f t="shared" si="263"/>
        <v>2.3649357367928001</v>
      </c>
      <c r="AN505" s="202">
        <f t="shared" si="260"/>
        <v>2.2960541133910679</v>
      </c>
      <c r="AO505" s="202">
        <f t="shared" si="260"/>
        <v>2.2291787508651146</v>
      </c>
      <c r="AP505" s="202">
        <f t="shared" si="267"/>
        <v>2.16425121443215</v>
      </c>
      <c r="AQ505" s="202">
        <f t="shared" si="267"/>
        <v>2.1012147712933498</v>
      </c>
      <c r="AR505" s="202">
        <f t="shared" si="267"/>
        <v>2.0400143410615046</v>
      </c>
      <c r="AS505" s="202">
        <f t="shared" si="267"/>
        <v>1.9805964476325288</v>
      </c>
      <c r="AT505" s="202">
        <f t="shared" si="267"/>
        <v>1.9229091724587657</v>
      </c>
      <c r="AU505" s="202">
        <f t="shared" si="267"/>
        <v>1.8669021091832678</v>
      </c>
      <c r="AV505" s="202">
        <f t="shared" si="267"/>
        <v>1.8125263195954056</v>
      </c>
      <c r="AW505" s="202">
        <f t="shared" si="267"/>
        <v>1.7597342908693259</v>
      </c>
      <c r="AX505" s="202">
        <f t="shared" si="267"/>
        <v>1.7084798940478891</v>
      </c>
      <c r="AY505" s="202">
        <f t="shared" si="267"/>
        <v>1.6587183437358151</v>
      </c>
      <c r="AZ505" s="202">
        <f t="shared" si="268"/>
        <v>1.6104061589668108</v>
      </c>
      <c r="BA505" s="202">
        <f t="shared" si="268"/>
        <v>1.5635011252104958</v>
      </c>
      <c r="BB505" s="202">
        <f t="shared" si="268"/>
        <v>1.517962257485918</v>
      </c>
      <c r="BC505" s="202">
        <f t="shared" si="268"/>
        <v>1.4737497645494353</v>
      </c>
      <c r="BD505" s="202">
        <f t="shared" si="268"/>
        <v>1.4308250141256653</v>
      </c>
      <c r="BE505" s="202">
        <f t="shared" si="268"/>
        <v>1.3891504991511314</v>
      </c>
      <c r="BF505" s="202">
        <f t="shared" si="268"/>
        <v>1.3486898050010985</v>
      </c>
      <c r="BG505" s="203">
        <f t="shared" si="264"/>
        <v>36.239800129849542</v>
      </c>
    </row>
    <row r="506" spans="27:59">
      <c r="AA506" s="180">
        <f t="shared" si="265"/>
        <v>2919000000</v>
      </c>
      <c r="AB506" s="41">
        <f t="shared" si="266"/>
        <v>3475</v>
      </c>
      <c r="AC506" s="21">
        <v>139</v>
      </c>
      <c r="AD506" s="21" t="s">
        <v>283</v>
      </c>
      <c r="AE506" s="175">
        <f t="shared" si="246"/>
        <v>30</v>
      </c>
      <c r="AF506" s="183">
        <f t="shared" si="247"/>
        <v>27</v>
      </c>
      <c r="AG506" s="84">
        <f t="shared" si="248"/>
        <v>0.39750000000000002</v>
      </c>
      <c r="AH506" s="242">
        <f t="shared" si="249"/>
        <v>0.159</v>
      </c>
      <c r="AI506" s="76">
        <f t="shared" si="250"/>
        <v>1.5600000000000002E-3</v>
      </c>
      <c r="AJ506" s="181">
        <f t="shared" si="251"/>
        <v>5.5650000000000005E-2</v>
      </c>
      <c r="AK506" s="182">
        <f t="shared" si="252"/>
        <v>2.3077257367928001</v>
      </c>
      <c r="AM506" s="201">
        <f t="shared" si="263"/>
        <v>2.3649357367928001</v>
      </c>
      <c r="AN506" s="202">
        <f t="shared" si="260"/>
        <v>2.2960541133910679</v>
      </c>
      <c r="AO506" s="202">
        <f t="shared" si="260"/>
        <v>2.2291787508651146</v>
      </c>
      <c r="AP506" s="202">
        <f t="shared" si="267"/>
        <v>2.16425121443215</v>
      </c>
      <c r="AQ506" s="202">
        <f t="shared" si="267"/>
        <v>2.1012147712933498</v>
      </c>
      <c r="AR506" s="202">
        <f t="shared" si="267"/>
        <v>2.0400143410615046</v>
      </c>
      <c r="AS506" s="202">
        <f t="shared" si="267"/>
        <v>1.9805964476325288</v>
      </c>
      <c r="AT506" s="202">
        <f t="shared" si="267"/>
        <v>1.9229091724587657</v>
      </c>
      <c r="AU506" s="202">
        <f t="shared" si="267"/>
        <v>1.8669021091832678</v>
      </c>
      <c r="AV506" s="202">
        <f t="shared" si="267"/>
        <v>1.8125263195954056</v>
      </c>
      <c r="AW506" s="202">
        <f t="shared" si="267"/>
        <v>1.7597342908693259</v>
      </c>
      <c r="AX506" s="202">
        <f t="shared" si="267"/>
        <v>1.7084798940478891</v>
      </c>
      <c r="AY506" s="202">
        <f t="shared" si="267"/>
        <v>1.6587183437358151</v>
      </c>
      <c r="AZ506" s="202">
        <f t="shared" si="268"/>
        <v>1.6104061589668108</v>
      </c>
      <c r="BA506" s="202">
        <f t="shared" si="268"/>
        <v>1.5635011252104958</v>
      </c>
      <c r="BB506" s="202">
        <f t="shared" si="268"/>
        <v>1.517962257485918</v>
      </c>
      <c r="BC506" s="202">
        <f t="shared" si="268"/>
        <v>1.4737497645494353</v>
      </c>
      <c r="BD506" s="202">
        <f t="shared" si="268"/>
        <v>1.4308250141256653</v>
      </c>
      <c r="BE506" s="202">
        <f t="shared" si="268"/>
        <v>1.3891504991511314</v>
      </c>
      <c r="BF506" s="202">
        <f t="shared" si="268"/>
        <v>1.3486898050010985</v>
      </c>
      <c r="BG506" s="203">
        <f t="shared" si="264"/>
        <v>36.239800129849542</v>
      </c>
    </row>
    <row r="507" spans="27:59">
      <c r="AA507" s="180">
        <f t="shared" si="265"/>
        <v>2940000000</v>
      </c>
      <c r="AB507" s="41">
        <f t="shared" si="266"/>
        <v>3500</v>
      </c>
      <c r="AC507" s="21">
        <v>140</v>
      </c>
      <c r="AD507" s="21" t="s">
        <v>283</v>
      </c>
      <c r="AE507" s="175">
        <f t="shared" si="246"/>
        <v>30</v>
      </c>
      <c r="AF507" s="183">
        <f t="shared" si="247"/>
        <v>27</v>
      </c>
      <c r="AG507" s="84">
        <f t="shared" si="248"/>
        <v>0.39750000000000002</v>
      </c>
      <c r="AH507" s="242">
        <f t="shared" si="249"/>
        <v>0.159</v>
      </c>
      <c r="AI507" s="76">
        <f t="shared" si="250"/>
        <v>1.5600000000000002E-3</v>
      </c>
      <c r="AJ507" s="181">
        <f t="shared" si="251"/>
        <v>5.5650000000000005E-2</v>
      </c>
      <c r="AK507" s="182">
        <f t="shared" si="252"/>
        <v>2.3077257367928001</v>
      </c>
      <c r="AM507" s="201">
        <f t="shared" si="263"/>
        <v>2.3649357367928001</v>
      </c>
      <c r="AN507" s="202">
        <f t="shared" ref="AN507:AO526" si="269">$AM507/POWER(1+($B$10/100),AN$366-2024)</f>
        <v>2.2960541133910679</v>
      </c>
      <c r="AO507" s="202">
        <f t="shared" si="269"/>
        <v>2.2291787508651146</v>
      </c>
      <c r="AP507" s="202">
        <f t="shared" si="267"/>
        <v>2.16425121443215</v>
      </c>
      <c r="AQ507" s="202">
        <f t="shared" si="267"/>
        <v>2.1012147712933498</v>
      </c>
      <c r="AR507" s="202">
        <f t="shared" si="267"/>
        <v>2.0400143410615046</v>
      </c>
      <c r="AS507" s="202">
        <f t="shared" si="267"/>
        <v>1.9805964476325288</v>
      </c>
      <c r="AT507" s="202">
        <f t="shared" si="267"/>
        <v>1.9229091724587657</v>
      </c>
      <c r="AU507" s="202">
        <f t="shared" si="267"/>
        <v>1.8669021091832678</v>
      </c>
      <c r="AV507" s="202">
        <f t="shared" si="267"/>
        <v>1.8125263195954056</v>
      </c>
      <c r="AW507" s="202">
        <f t="shared" si="267"/>
        <v>1.7597342908693259</v>
      </c>
      <c r="AX507" s="202">
        <f t="shared" si="267"/>
        <v>1.7084798940478891</v>
      </c>
      <c r="AY507" s="202">
        <f t="shared" si="267"/>
        <v>1.6587183437358151</v>
      </c>
      <c r="AZ507" s="202">
        <f t="shared" si="268"/>
        <v>1.6104061589668108</v>
      </c>
      <c r="BA507" s="202">
        <f t="shared" si="268"/>
        <v>1.5635011252104958</v>
      </c>
      <c r="BB507" s="202">
        <f t="shared" si="268"/>
        <v>1.517962257485918</v>
      </c>
      <c r="BC507" s="202">
        <f t="shared" si="268"/>
        <v>1.4737497645494353</v>
      </c>
      <c r="BD507" s="202">
        <f t="shared" si="268"/>
        <v>1.4308250141256653</v>
      </c>
      <c r="BE507" s="202">
        <f t="shared" si="268"/>
        <v>1.3891504991511314</v>
      </c>
      <c r="BF507" s="202">
        <f t="shared" si="268"/>
        <v>1.3486898050010985</v>
      </c>
      <c r="BG507" s="203">
        <f t="shared" si="264"/>
        <v>36.239800129849542</v>
      </c>
    </row>
    <row r="508" spans="27:59">
      <c r="AA508" s="180">
        <f t="shared" si="265"/>
        <v>2961000000</v>
      </c>
      <c r="AB508" s="41">
        <f t="shared" si="266"/>
        <v>3525</v>
      </c>
      <c r="AC508" s="21">
        <v>141</v>
      </c>
      <c r="AD508" s="21" t="s">
        <v>283</v>
      </c>
      <c r="AE508" s="175">
        <f t="shared" si="246"/>
        <v>30</v>
      </c>
      <c r="AF508" s="183">
        <f t="shared" si="247"/>
        <v>27</v>
      </c>
      <c r="AG508" s="84">
        <f t="shared" si="248"/>
        <v>0.39750000000000002</v>
      </c>
      <c r="AH508" s="242">
        <f t="shared" si="249"/>
        <v>0.159</v>
      </c>
      <c r="AI508" s="76">
        <f t="shared" si="250"/>
        <v>1.5600000000000002E-3</v>
      </c>
      <c r="AJ508" s="181">
        <f t="shared" si="251"/>
        <v>5.5650000000000005E-2</v>
      </c>
      <c r="AK508" s="182">
        <f t="shared" si="252"/>
        <v>2.3077257367928001</v>
      </c>
      <c r="AM508" s="201">
        <f t="shared" si="263"/>
        <v>2.3649357367928001</v>
      </c>
      <c r="AN508" s="202">
        <f t="shared" si="269"/>
        <v>2.2960541133910679</v>
      </c>
      <c r="AO508" s="202">
        <f t="shared" si="269"/>
        <v>2.2291787508651146</v>
      </c>
      <c r="AP508" s="202">
        <f t="shared" ref="AP508:AY517" si="270">$AM508/POWER(1+($B$10/100),AP$366-2024)</f>
        <v>2.16425121443215</v>
      </c>
      <c r="AQ508" s="202">
        <f t="shared" si="270"/>
        <v>2.1012147712933498</v>
      </c>
      <c r="AR508" s="202">
        <f t="shared" si="270"/>
        <v>2.0400143410615046</v>
      </c>
      <c r="AS508" s="202">
        <f t="shared" si="270"/>
        <v>1.9805964476325288</v>
      </c>
      <c r="AT508" s="202">
        <f t="shared" si="270"/>
        <v>1.9229091724587657</v>
      </c>
      <c r="AU508" s="202">
        <f t="shared" si="270"/>
        <v>1.8669021091832678</v>
      </c>
      <c r="AV508" s="202">
        <f t="shared" si="270"/>
        <v>1.8125263195954056</v>
      </c>
      <c r="AW508" s="202">
        <f t="shared" si="270"/>
        <v>1.7597342908693259</v>
      </c>
      <c r="AX508" s="202">
        <f t="shared" si="270"/>
        <v>1.7084798940478891</v>
      </c>
      <c r="AY508" s="202">
        <f t="shared" si="270"/>
        <v>1.6587183437358151</v>
      </c>
      <c r="AZ508" s="202">
        <f t="shared" ref="AZ508:BF517" si="271">$AM508/POWER(1+($B$10/100),AZ$366-2024)</f>
        <v>1.6104061589668108</v>
      </c>
      <c r="BA508" s="202">
        <f t="shared" si="271"/>
        <v>1.5635011252104958</v>
      </c>
      <c r="BB508" s="202">
        <f t="shared" si="271"/>
        <v>1.517962257485918</v>
      </c>
      <c r="BC508" s="202">
        <f t="shared" si="271"/>
        <v>1.4737497645494353</v>
      </c>
      <c r="BD508" s="202">
        <f t="shared" si="271"/>
        <v>1.4308250141256653</v>
      </c>
      <c r="BE508" s="202">
        <f t="shared" si="271"/>
        <v>1.3891504991511314</v>
      </c>
      <c r="BF508" s="202">
        <f t="shared" si="271"/>
        <v>1.3486898050010985</v>
      </c>
      <c r="BG508" s="203">
        <f t="shared" si="264"/>
        <v>36.239800129849542</v>
      </c>
    </row>
    <row r="509" spans="27:59">
      <c r="AA509" s="180">
        <f t="shared" si="265"/>
        <v>2982000000</v>
      </c>
      <c r="AB509" s="41">
        <f t="shared" si="266"/>
        <v>3550</v>
      </c>
      <c r="AC509" s="21">
        <v>142</v>
      </c>
      <c r="AD509" s="21" t="s">
        <v>283</v>
      </c>
      <c r="AE509" s="175">
        <f t="shared" si="246"/>
        <v>30</v>
      </c>
      <c r="AF509" s="183">
        <f t="shared" si="247"/>
        <v>27</v>
      </c>
      <c r="AG509" s="84">
        <f t="shared" si="248"/>
        <v>0.39750000000000002</v>
      </c>
      <c r="AH509" s="242">
        <f t="shared" si="249"/>
        <v>0.159</v>
      </c>
      <c r="AI509" s="76">
        <f t="shared" si="250"/>
        <v>1.5600000000000002E-3</v>
      </c>
      <c r="AJ509" s="181">
        <f t="shared" si="251"/>
        <v>5.5650000000000005E-2</v>
      </c>
      <c r="AK509" s="182">
        <f t="shared" si="252"/>
        <v>2.3077257367928001</v>
      </c>
      <c r="AM509" s="201">
        <f t="shared" si="263"/>
        <v>2.3649357367928001</v>
      </c>
      <c r="AN509" s="202">
        <f t="shared" si="269"/>
        <v>2.2960541133910679</v>
      </c>
      <c r="AO509" s="202">
        <f t="shared" si="269"/>
        <v>2.2291787508651146</v>
      </c>
      <c r="AP509" s="202">
        <f t="shared" si="270"/>
        <v>2.16425121443215</v>
      </c>
      <c r="AQ509" s="202">
        <f t="shared" si="270"/>
        <v>2.1012147712933498</v>
      </c>
      <c r="AR509" s="202">
        <f t="shared" si="270"/>
        <v>2.0400143410615046</v>
      </c>
      <c r="AS509" s="202">
        <f t="shared" si="270"/>
        <v>1.9805964476325288</v>
      </c>
      <c r="AT509" s="202">
        <f t="shared" si="270"/>
        <v>1.9229091724587657</v>
      </c>
      <c r="AU509" s="202">
        <f t="shared" si="270"/>
        <v>1.8669021091832678</v>
      </c>
      <c r="AV509" s="202">
        <f t="shared" si="270"/>
        <v>1.8125263195954056</v>
      </c>
      <c r="AW509" s="202">
        <f t="shared" si="270"/>
        <v>1.7597342908693259</v>
      </c>
      <c r="AX509" s="202">
        <f t="shared" si="270"/>
        <v>1.7084798940478891</v>
      </c>
      <c r="AY509" s="202">
        <f t="shared" si="270"/>
        <v>1.6587183437358151</v>
      </c>
      <c r="AZ509" s="202">
        <f t="shared" si="271"/>
        <v>1.6104061589668108</v>
      </c>
      <c r="BA509" s="202">
        <f t="shared" si="271"/>
        <v>1.5635011252104958</v>
      </c>
      <c r="BB509" s="202">
        <f t="shared" si="271"/>
        <v>1.517962257485918</v>
      </c>
      <c r="BC509" s="202">
        <f t="shared" si="271"/>
        <v>1.4737497645494353</v>
      </c>
      <c r="BD509" s="202">
        <f t="shared" si="271"/>
        <v>1.4308250141256653</v>
      </c>
      <c r="BE509" s="202">
        <f t="shared" si="271"/>
        <v>1.3891504991511314</v>
      </c>
      <c r="BF509" s="202">
        <f t="shared" si="271"/>
        <v>1.3486898050010985</v>
      </c>
      <c r="BG509" s="203">
        <f t="shared" si="264"/>
        <v>36.239800129849542</v>
      </c>
    </row>
    <row r="510" spans="27:59">
      <c r="AA510" s="180">
        <f t="shared" si="265"/>
        <v>3003000000</v>
      </c>
      <c r="AB510" s="41">
        <f t="shared" si="266"/>
        <v>3575</v>
      </c>
      <c r="AC510" s="21">
        <v>143</v>
      </c>
      <c r="AD510" s="21" t="s">
        <v>283</v>
      </c>
      <c r="AE510" s="175">
        <f t="shared" si="246"/>
        <v>30</v>
      </c>
      <c r="AF510" s="183">
        <f t="shared" si="247"/>
        <v>27</v>
      </c>
      <c r="AG510" s="84">
        <f t="shared" si="248"/>
        <v>0.39750000000000002</v>
      </c>
      <c r="AH510" s="242">
        <f t="shared" si="249"/>
        <v>0.159</v>
      </c>
      <c r="AI510" s="76">
        <f t="shared" si="250"/>
        <v>1.5600000000000002E-3</v>
      </c>
      <c r="AJ510" s="181">
        <f t="shared" si="251"/>
        <v>5.5650000000000005E-2</v>
      </c>
      <c r="AK510" s="182">
        <f t="shared" si="252"/>
        <v>2.3077257367928001</v>
      </c>
      <c r="AM510" s="201">
        <f t="shared" si="263"/>
        <v>2.3649357367928001</v>
      </c>
      <c r="AN510" s="202">
        <f t="shared" si="269"/>
        <v>2.2960541133910679</v>
      </c>
      <c r="AO510" s="202">
        <f t="shared" si="269"/>
        <v>2.2291787508651146</v>
      </c>
      <c r="AP510" s="202">
        <f t="shared" si="270"/>
        <v>2.16425121443215</v>
      </c>
      <c r="AQ510" s="202">
        <f t="shared" si="270"/>
        <v>2.1012147712933498</v>
      </c>
      <c r="AR510" s="202">
        <f t="shared" si="270"/>
        <v>2.0400143410615046</v>
      </c>
      <c r="AS510" s="202">
        <f t="shared" si="270"/>
        <v>1.9805964476325288</v>
      </c>
      <c r="AT510" s="202">
        <f t="shared" si="270"/>
        <v>1.9229091724587657</v>
      </c>
      <c r="AU510" s="202">
        <f t="shared" si="270"/>
        <v>1.8669021091832678</v>
      </c>
      <c r="AV510" s="202">
        <f t="shared" si="270"/>
        <v>1.8125263195954056</v>
      </c>
      <c r="AW510" s="202">
        <f t="shared" si="270"/>
        <v>1.7597342908693259</v>
      </c>
      <c r="AX510" s="202">
        <f t="shared" si="270"/>
        <v>1.7084798940478891</v>
      </c>
      <c r="AY510" s="202">
        <f t="shared" si="270"/>
        <v>1.6587183437358151</v>
      </c>
      <c r="AZ510" s="202">
        <f t="shared" si="271"/>
        <v>1.6104061589668108</v>
      </c>
      <c r="BA510" s="202">
        <f t="shared" si="271"/>
        <v>1.5635011252104958</v>
      </c>
      <c r="BB510" s="202">
        <f t="shared" si="271"/>
        <v>1.517962257485918</v>
      </c>
      <c r="BC510" s="202">
        <f t="shared" si="271"/>
        <v>1.4737497645494353</v>
      </c>
      <c r="BD510" s="202">
        <f t="shared" si="271"/>
        <v>1.4308250141256653</v>
      </c>
      <c r="BE510" s="202">
        <f t="shared" si="271"/>
        <v>1.3891504991511314</v>
      </c>
      <c r="BF510" s="202">
        <f t="shared" si="271"/>
        <v>1.3486898050010985</v>
      </c>
      <c r="BG510" s="203">
        <f t="shared" si="264"/>
        <v>36.239800129849542</v>
      </c>
    </row>
    <row r="511" spans="27:59">
      <c r="AA511" s="180">
        <f t="shared" si="265"/>
        <v>3024000000</v>
      </c>
      <c r="AB511" s="41">
        <f t="shared" si="266"/>
        <v>3600</v>
      </c>
      <c r="AC511" s="21">
        <v>144</v>
      </c>
      <c r="AD511" s="21" t="s">
        <v>283</v>
      </c>
      <c r="AE511" s="175">
        <f t="shared" si="246"/>
        <v>30</v>
      </c>
      <c r="AF511" s="183">
        <f t="shared" si="247"/>
        <v>27</v>
      </c>
      <c r="AG511" s="84">
        <f t="shared" si="248"/>
        <v>0.39750000000000002</v>
      </c>
      <c r="AH511" s="242">
        <f t="shared" si="249"/>
        <v>0.159</v>
      </c>
      <c r="AI511" s="76">
        <f t="shared" si="250"/>
        <v>1.5600000000000002E-3</v>
      </c>
      <c r="AJ511" s="181">
        <f t="shared" si="251"/>
        <v>5.5650000000000005E-2</v>
      </c>
      <c r="AK511" s="182">
        <f t="shared" si="252"/>
        <v>2.3077257367928001</v>
      </c>
      <c r="AM511" s="201">
        <f t="shared" si="263"/>
        <v>2.3649357367928001</v>
      </c>
      <c r="AN511" s="202">
        <f t="shared" si="269"/>
        <v>2.2960541133910679</v>
      </c>
      <c r="AO511" s="202">
        <f t="shared" si="269"/>
        <v>2.2291787508651146</v>
      </c>
      <c r="AP511" s="202">
        <f t="shared" si="270"/>
        <v>2.16425121443215</v>
      </c>
      <c r="AQ511" s="202">
        <f t="shared" si="270"/>
        <v>2.1012147712933498</v>
      </c>
      <c r="AR511" s="202">
        <f t="shared" si="270"/>
        <v>2.0400143410615046</v>
      </c>
      <c r="AS511" s="202">
        <f t="shared" si="270"/>
        <v>1.9805964476325288</v>
      </c>
      <c r="AT511" s="202">
        <f t="shared" si="270"/>
        <v>1.9229091724587657</v>
      </c>
      <c r="AU511" s="202">
        <f t="shared" si="270"/>
        <v>1.8669021091832678</v>
      </c>
      <c r="AV511" s="202">
        <f t="shared" si="270"/>
        <v>1.8125263195954056</v>
      </c>
      <c r="AW511" s="202">
        <f t="shared" si="270"/>
        <v>1.7597342908693259</v>
      </c>
      <c r="AX511" s="202">
        <f t="shared" si="270"/>
        <v>1.7084798940478891</v>
      </c>
      <c r="AY511" s="202">
        <f t="shared" si="270"/>
        <v>1.6587183437358151</v>
      </c>
      <c r="AZ511" s="202">
        <f t="shared" si="271"/>
        <v>1.6104061589668108</v>
      </c>
      <c r="BA511" s="202">
        <f t="shared" si="271"/>
        <v>1.5635011252104958</v>
      </c>
      <c r="BB511" s="202">
        <f t="shared" si="271"/>
        <v>1.517962257485918</v>
      </c>
      <c r="BC511" s="202">
        <f t="shared" si="271"/>
        <v>1.4737497645494353</v>
      </c>
      <c r="BD511" s="202">
        <f t="shared" si="271"/>
        <v>1.4308250141256653</v>
      </c>
      <c r="BE511" s="202">
        <f t="shared" si="271"/>
        <v>1.3891504991511314</v>
      </c>
      <c r="BF511" s="202">
        <f t="shared" si="271"/>
        <v>1.3486898050010985</v>
      </c>
      <c r="BG511" s="203">
        <f t="shared" si="264"/>
        <v>36.239800129849542</v>
      </c>
    </row>
    <row r="512" spans="27:59">
      <c r="AA512" s="180">
        <f t="shared" si="265"/>
        <v>3045000000</v>
      </c>
      <c r="AB512" s="41">
        <f t="shared" si="266"/>
        <v>3625</v>
      </c>
      <c r="AC512" s="21">
        <v>145</v>
      </c>
      <c r="AD512" s="21" t="s">
        <v>283</v>
      </c>
      <c r="AE512" s="175">
        <f t="shared" si="246"/>
        <v>30</v>
      </c>
      <c r="AF512" s="183">
        <f t="shared" si="247"/>
        <v>27</v>
      </c>
      <c r="AG512" s="84">
        <f t="shared" si="248"/>
        <v>0.39750000000000002</v>
      </c>
      <c r="AH512" s="242">
        <f t="shared" si="249"/>
        <v>0.159</v>
      </c>
      <c r="AI512" s="76">
        <f t="shared" si="250"/>
        <v>1.5600000000000002E-3</v>
      </c>
      <c r="AJ512" s="181">
        <f t="shared" si="251"/>
        <v>5.5650000000000005E-2</v>
      </c>
      <c r="AK512" s="182">
        <f t="shared" si="252"/>
        <v>2.3077257367928001</v>
      </c>
      <c r="AM512" s="201">
        <f t="shared" si="263"/>
        <v>2.3649357367928001</v>
      </c>
      <c r="AN512" s="202">
        <f t="shared" si="269"/>
        <v>2.2960541133910679</v>
      </c>
      <c r="AO512" s="202">
        <f t="shared" si="269"/>
        <v>2.2291787508651146</v>
      </c>
      <c r="AP512" s="202">
        <f t="shared" si="270"/>
        <v>2.16425121443215</v>
      </c>
      <c r="AQ512" s="202">
        <f t="shared" si="270"/>
        <v>2.1012147712933498</v>
      </c>
      <c r="AR512" s="202">
        <f t="shared" si="270"/>
        <v>2.0400143410615046</v>
      </c>
      <c r="AS512" s="202">
        <f t="shared" si="270"/>
        <v>1.9805964476325288</v>
      </c>
      <c r="AT512" s="202">
        <f t="shared" si="270"/>
        <v>1.9229091724587657</v>
      </c>
      <c r="AU512" s="202">
        <f t="shared" si="270"/>
        <v>1.8669021091832678</v>
      </c>
      <c r="AV512" s="202">
        <f t="shared" si="270"/>
        <v>1.8125263195954056</v>
      </c>
      <c r="AW512" s="202">
        <f t="shared" si="270"/>
        <v>1.7597342908693259</v>
      </c>
      <c r="AX512" s="202">
        <f t="shared" si="270"/>
        <v>1.7084798940478891</v>
      </c>
      <c r="AY512" s="202">
        <f t="shared" si="270"/>
        <v>1.6587183437358151</v>
      </c>
      <c r="AZ512" s="202">
        <f t="shared" si="271"/>
        <v>1.6104061589668108</v>
      </c>
      <c r="BA512" s="202">
        <f t="shared" si="271"/>
        <v>1.5635011252104958</v>
      </c>
      <c r="BB512" s="202">
        <f t="shared" si="271"/>
        <v>1.517962257485918</v>
      </c>
      <c r="BC512" s="202">
        <f t="shared" si="271"/>
        <v>1.4737497645494353</v>
      </c>
      <c r="BD512" s="202">
        <f t="shared" si="271"/>
        <v>1.4308250141256653</v>
      </c>
      <c r="BE512" s="202">
        <f t="shared" si="271"/>
        <v>1.3891504991511314</v>
      </c>
      <c r="BF512" s="202">
        <f t="shared" si="271"/>
        <v>1.3486898050010985</v>
      </c>
      <c r="BG512" s="203">
        <f t="shared" si="264"/>
        <v>36.239800129849542</v>
      </c>
    </row>
    <row r="513" spans="27:59">
      <c r="AA513" s="180">
        <f t="shared" si="265"/>
        <v>3066000000</v>
      </c>
      <c r="AB513" s="41">
        <f t="shared" si="266"/>
        <v>3650</v>
      </c>
      <c r="AC513" s="21">
        <v>146</v>
      </c>
      <c r="AD513" s="21" t="s">
        <v>283</v>
      </c>
      <c r="AE513" s="175">
        <f t="shared" si="246"/>
        <v>30</v>
      </c>
      <c r="AF513" s="183">
        <f t="shared" si="247"/>
        <v>27</v>
      </c>
      <c r="AG513" s="84">
        <f t="shared" si="248"/>
        <v>0.39750000000000002</v>
      </c>
      <c r="AH513" s="242">
        <f t="shared" si="249"/>
        <v>0.159</v>
      </c>
      <c r="AI513" s="76">
        <f t="shared" si="250"/>
        <v>1.5600000000000002E-3</v>
      </c>
      <c r="AJ513" s="181">
        <f t="shared" si="251"/>
        <v>5.5650000000000005E-2</v>
      </c>
      <c r="AK513" s="182">
        <f t="shared" si="252"/>
        <v>2.3077257367928001</v>
      </c>
      <c r="AM513" s="201">
        <f t="shared" si="263"/>
        <v>2.3649357367928001</v>
      </c>
      <c r="AN513" s="202">
        <f t="shared" si="269"/>
        <v>2.2960541133910679</v>
      </c>
      <c r="AO513" s="202">
        <f t="shared" si="269"/>
        <v>2.2291787508651146</v>
      </c>
      <c r="AP513" s="202">
        <f t="shared" si="270"/>
        <v>2.16425121443215</v>
      </c>
      <c r="AQ513" s="202">
        <f t="shared" si="270"/>
        <v>2.1012147712933498</v>
      </c>
      <c r="AR513" s="202">
        <f t="shared" si="270"/>
        <v>2.0400143410615046</v>
      </c>
      <c r="AS513" s="202">
        <f t="shared" si="270"/>
        <v>1.9805964476325288</v>
      </c>
      <c r="AT513" s="202">
        <f t="shared" si="270"/>
        <v>1.9229091724587657</v>
      </c>
      <c r="AU513" s="202">
        <f t="shared" si="270"/>
        <v>1.8669021091832678</v>
      </c>
      <c r="AV513" s="202">
        <f t="shared" si="270"/>
        <v>1.8125263195954056</v>
      </c>
      <c r="AW513" s="202">
        <f t="shared" si="270"/>
        <v>1.7597342908693259</v>
      </c>
      <c r="AX513" s="202">
        <f t="shared" si="270"/>
        <v>1.7084798940478891</v>
      </c>
      <c r="AY513" s="202">
        <f t="shared" si="270"/>
        <v>1.6587183437358151</v>
      </c>
      <c r="AZ513" s="202">
        <f t="shared" si="271"/>
        <v>1.6104061589668108</v>
      </c>
      <c r="BA513" s="202">
        <f t="shared" si="271"/>
        <v>1.5635011252104958</v>
      </c>
      <c r="BB513" s="202">
        <f t="shared" si="271"/>
        <v>1.517962257485918</v>
      </c>
      <c r="BC513" s="202">
        <f t="shared" si="271"/>
        <v>1.4737497645494353</v>
      </c>
      <c r="BD513" s="202">
        <f t="shared" si="271"/>
        <v>1.4308250141256653</v>
      </c>
      <c r="BE513" s="202">
        <f t="shared" si="271"/>
        <v>1.3891504991511314</v>
      </c>
      <c r="BF513" s="202">
        <f t="shared" si="271"/>
        <v>1.3486898050010985</v>
      </c>
      <c r="BG513" s="203">
        <f t="shared" si="264"/>
        <v>36.239800129849542</v>
      </c>
    </row>
    <row r="514" spans="27:59">
      <c r="AA514" s="180">
        <f t="shared" si="265"/>
        <v>3087000000</v>
      </c>
      <c r="AB514" s="41">
        <f t="shared" si="266"/>
        <v>3675</v>
      </c>
      <c r="AC514" s="21">
        <v>147</v>
      </c>
      <c r="AD514" s="21" t="s">
        <v>283</v>
      </c>
      <c r="AE514" s="175">
        <f t="shared" si="246"/>
        <v>30</v>
      </c>
      <c r="AF514" s="183">
        <f t="shared" si="247"/>
        <v>27</v>
      </c>
      <c r="AG514" s="84">
        <f t="shared" si="248"/>
        <v>0.39750000000000002</v>
      </c>
      <c r="AH514" s="242">
        <f t="shared" si="249"/>
        <v>0.159</v>
      </c>
      <c r="AI514" s="76">
        <f t="shared" si="250"/>
        <v>1.5600000000000002E-3</v>
      </c>
      <c r="AJ514" s="181">
        <f t="shared" si="251"/>
        <v>5.5650000000000005E-2</v>
      </c>
      <c r="AK514" s="182">
        <f t="shared" si="252"/>
        <v>2.3077257367928001</v>
      </c>
      <c r="AM514" s="201">
        <f t="shared" si="263"/>
        <v>2.3649357367928001</v>
      </c>
      <c r="AN514" s="202">
        <f t="shared" si="269"/>
        <v>2.2960541133910679</v>
      </c>
      <c r="AO514" s="202">
        <f t="shared" si="269"/>
        <v>2.2291787508651146</v>
      </c>
      <c r="AP514" s="202">
        <f t="shared" si="270"/>
        <v>2.16425121443215</v>
      </c>
      <c r="AQ514" s="202">
        <f t="shared" si="270"/>
        <v>2.1012147712933498</v>
      </c>
      <c r="AR514" s="202">
        <f t="shared" si="270"/>
        <v>2.0400143410615046</v>
      </c>
      <c r="AS514" s="202">
        <f t="shared" si="270"/>
        <v>1.9805964476325288</v>
      </c>
      <c r="AT514" s="202">
        <f t="shared" si="270"/>
        <v>1.9229091724587657</v>
      </c>
      <c r="AU514" s="202">
        <f t="shared" si="270"/>
        <v>1.8669021091832678</v>
      </c>
      <c r="AV514" s="202">
        <f t="shared" si="270"/>
        <v>1.8125263195954056</v>
      </c>
      <c r="AW514" s="202">
        <f t="shared" si="270"/>
        <v>1.7597342908693259</v>
      </c>
      <c r="AX514" s="202">
        <f t="shared" si="270"/>
        <v>1.7084798940478891</v>
      </c>
      <c r="AY514" s="202">
        <f t="shared" si="270"/>
        <v>1.6587183437358151</v>
      </c>
      <c r="AZ514" s="202">
        <f t="shared" si="271"/>
        <v>1.6104061589668108</v>
      </c>
      <c r="BA514" s="202">
        <f t="shared" si="271"/>
        <v>1.5635011252104958</v>
      </c>
      <c r="BB514" s="202">
        <f t="shared" si="271"/>
        <v>1.517962257485918</v>
      </c>
      <c r="BC514" s="202">
        <f t="shared" si="271"/>
        <v>1.4737497645494353</v>
      </c>
      <c r="BD514" s="202">
        <f t="shared" si="271"/>
        <v>1.4308250141256653</v>
      </c>
      <c r="BE514" s="202">
        <f t="shared" si="271"/>
        <v>1.3891504991511314</v>
      </c>
      <c r="BF514" s="202">
        <f t="shared" si="271"/>
        <v>1.3486898050010985</v>
      </c>
      <c r="BG514" s="203">
        <f t="shared" si="264"/>
        <v>36.239800129849542</v>
      </c>
    </row>
    <row r="515" spans="27:59">
      <c r="AA515" s="180">
        <f t="shared" si="265"/>
        <v>3108000000</v>
      </c>
      <c r="AB515" s="41">
        <f t="shared" si="266"/>
        <v>3700</v>
      </c>
      <c r="AC515" s="21">
        <v>148</v>
      </c>
      <c r="AD515" s="21" t="s">
        <v>283</v>
      </c>
      <c r="AE515" s="175">
        <f t="shared" si="246"/>
        <v>30</v>
      </c>
      <c r="AF515" s="183">
        <f t="shared" si="247"/>
        <v>27</v>
      </c>
      <c r="AG515" s="84">
        <f t="shared" si="248"/>
        <v>0.39750000000000002</v>
      </c>
      <c r="AH515" s="242">
        <f t="shared" si="249"/>
        <v>0.159</v>
      </c>
      <c r="AI515" s="76">
        <f t="shared" si="250"/>
        <v>1.5600000000000002E-3</v>
      </c>
      <c r="AJ515" s="181">
        <f t="shared" si="251"/>
        <v>5.5650000000000005E-2</v>
      </c>
      <c r="AK515" s="182">
        <f t="shared" si="252"/>
        <v>2.3077257367928001</v>
      </c>
      <c r="AM515" s="201">
        <f t="shared" si="263"/>
        <v>2.3649357367928001</v>
      </c>
      <c r="AN515" s="202">
        <f t="shared" si="269"/>
        <v>2.2960541133910679</v>
      </c>
      <c r="AO515" s="202">
        <f t="shared" si="269"/>
        <v>2.2291787508651146</v>
      </c>
      <c r="AP515" s="202">
        <f t="shared" si="270"/>
        <v>2.16425121443215</v>
      </c>
      <c r="AQ515" s="202">
        <f t="shared" si="270"/>
        <v>2.1012147712933498</v>
      </c>
      <c r="AR515" s="202">
        <f t="shared" si="270"/>
        <v>2.0400143410615046</v>
      </c>
      <c r="AS515" s="202">
        <f t="shared" si="270"/>
        <v>1.9805964476325288</v>
      </c>
      <c r="AT515" s="202">
        <f t="shared" si="270"/>
        <v>1.9229091724587657</v>
      </c>
      <c r="AU515" s="202">
        <f t="shared" si="270"/>
        <v>1.8669021091832678</v>
      </c>
      <c r="AV515" s="202">
        <f t="shared" si="270"/>
        <v>1.8125263195954056</v>
      </c>
      <c r="AW515" s="202">
        <f t="shared" si="270"/>
        <v>1.7597342908693259</v>
      </c>
      <c r="AX515" s="202">
        <f t="shared" si="270"/>
        <v>1.7084798940478891</v>
      </c>
      <c r="AY515" s="202">
        <f t="shared" si="270"/>
        <v>1.6587183437358151</v>
      </c>
      <c r="AZ515" s="202">
        <f t="shared" si="271"/>
        <v>1.6104061589668108</v>
      </c>
      <c r="BA515" s="202">
        <f t="shared" si="271"/>
        <v>1.5635011252104958</v>
      </c>
      <c r="BB515" s="202">
        <f t="shared" si="271"/>
        <v>1.517962257485918</v>
      </c>
      <c r="BC515" s="202">
        <f t="shared" si="271"/>
        <v>1.4737497645494353</v>
      </c>
      <c r="BD515" s="202">
        <f t="shared" si="271"/>
        <v>1.4308250141256653</v>
      </c>
      <c r="BE515" s="202">
        <f t="shared" si="271"/>
        <v>1.3891504991511314</v>
      </c>
      <c r="BF515" s="202">
        <f t="shared" si="271"/>
        <v>1.3486898050010985</v>
      </c>
      <c r="BG515" s="203">
        <f t="shared" si="264"/>
        <v>36.239800129849542</v>
      </c>
    </row>
    <row r="516" spans="27:59">
      <c r="AA516" s="180">
        <f t="shared" si="265"/>
        <v>3129000000</v>
      </c>
      <c r="AB516" s="41">
        <f t="shared" si="266"/>
        <v>3725</v>
      </c>
      <c r="AC516" s="21">
        <v>149</v>
      </c>
      <c r="AD516" s="21" t="s">
        <v>283</v>
      </c>
      <c r="AE516" s="175">
        <f t="shared" ref="AE516:AE544" si="272">AE334*$B$3</f>
        <v>30</v>
      </c>
      <c r="AF516" s="183">
        <f t="shared" ref="AF516:AF544" si="273">AF334*$B$4</f>
        <v>27</v>
      </c>
      <c r="AG516" s="84">
        <f t="shared" ref="AG516:AG544" si="274">AG334*$B$5</f>
        <v>0.39750000000000002</v>
      </c>
      <c r="AH516" s="242">
        <f t="shared" ref="AH516:AH544" si="275">AH334*$B$6</f>
        <v>0.159</v>
      </c>
      <c r="AI516" s="76">
        <f t="shared" ref="AI516:AI544" si="276">AI334*$B$7</f>
        <v>1.5600000000000002E-3</v>
      </c>
      <c r="AJ516" s="181">
        <f t="shared" ref="AJ516:AJ544" si="277">(AG516+AH516)*(AJ334/100)</f>
        <v>5.5650000000000005E-2</v>
      </c>
      <c r="AK516" s="182">
        <f t="shared" ref="AK516:AK544" si="278">AK334*$B$9</f>
        <v>2.3077257367928001</v>
      </c>
      <c r="AM516" s="201">
        <f t="shared" si="263"/>
        <v>2.3649357367928001</v>
      </c>
      <c r="AN516" s="202">
        <f t="shared" si="269"/>
        <v>2.2960541133910679</v>
      </c>
      <c r="AO516" s="202">
        <f t="shared" si="269"/>
        <v>2.2291787508651146</v>
      </c>
      <c r="AP516" s="202">
        <f t="shared" si="270"/>
        <v>2.16425121443215</v>
      </c>
      <c r="AQ516" s="202">
        <f t="shared" si="270"/>
        <v>2.1012147712933498</v>
      </c>
      <c r="AR516" s="202">
        <f t="shared" si="270"/>
        <v>2.0400143410615046</v>
      </c>
      <c r="AS516" s="202">
        <f t="shared" si="270"/>
        <v>1.9805964476325288</v>
      </c>
      <c r="AT516" s="202">
        <f t="shared" si="270"/>
        <v>1.9229091724587657</v>
      </c>
      <c r="AU516" s="202">
        <f t="shared" si="270"/>
        <v>1.8669021091832678</v>
      </c>
      <c r="AV516" s="202">
        <f t="shared" si="270"/>
        <v>1.8125263195954056</v>
      </c>
      <c r="AW516" s="202">
        <f t="shared" si="270"/>
        <v>1.7597342908693259</v>
      </c>
      <c r="AX516" s="202">
        <f t="shared" si="270"/>
        <v>1.7084798940478891</v>
      </c>
      <c r="AY516" s="202">
        <f t="shared" si="270"/>
        <v>1.6587183437358151</v>
      </c>
      <c r="AZ516" s="202">
        <f t="shared" si="271"/>
        <v>1.6104061589668108</v>
      </c>
      <c r="BA516" s="202">
        <f t="shared" si="271"/>
        <v>1.5635011252104958</v>
      </c>
      <c r="BB516" s="202">
        <f t="shared" si="271"/>
        <v>1.517962257485918</v>
      </c>
      <c r="BC516" s="202">
        <f t="shared" si="271"/>
        <v>1.4737497645494353</v>
      </c>
      <c r="BD516" s="202">
        <f t="shared" si="271"/>
        <v>1.4308250141256653</v>
      </c>
      <c r="BE516" s="202">
        <f t="shared" si="271"/>
        <v>1.3891504991511314</v>
      </c>
      <c r="BF516" s="202">
        <f t="shared" si="271"/>
        <v>1.3486898050010985</v>
      </c>
      <c r="BG516" s="203">
        <f t="shared" si="264"/>
        <v>36.239800129849542</v>
      </c>
    </row>
    <row r="517" spans="27:59">
      <c r="AA517" s="180">
        <f t="shared" si="265"/>
        <v>3150000000</v>
      </c>
      <c r="AB517" s="41">
        <f t="shared" si="266"/>
        <v>3750</v>
      </c>
      <c r="AC517" s="21">
        <v>150</v>
      </c>
      <c r="AD517" s="21" t="s">
        <v>283</v>
      </c>
      <c r="AE517" s="175">
        <f t="shared" si="272"/>
        <v>30</v>
      </c>
      <c r="AF517" s="183">
        <f t="shared" si="273"/>
        <v>27</v>
      </c>
      <c r="AG517" s="84">
        <f t="shared" si="274"/>
        <v>0.39750000000000002</v>
      </c>
      <c r="AH517" s="242">
        <f t="shared" si="275"/>
        <v>0.159</v>
      </c>
      <c r="AI517" s="76">
        <f t="shared" si="276"/>
        <v>1.5600000000000002E-3</v>
      </c>
      <c r="AJ517" s="181">
        <f t="shared" si="277"/>
        <v>5.5650000000000005E-2</v>
      </c>
      <c r="AK517" s="182">
        <f t="shared" si="278"/>
        <v>2.3077257367928001</v>
      </c>
      <c r="AM517" s="201">
        <f t="shared" si="263"/>
        <v>2.3649357367928001</v>
      </c>
      <c r="AN517" s="202">
        <f t="shared" si="269"/>
        <v>2.2960541133910679</v>
      </c>
      <c r="AO517" s="202">
        <f t="shared" si="269"/>
        <v>2.2291787508651146</v>
      </c>
      <c r="AP517" s="202">
        <f t="shared" si="270"/>
        <v>2.16425121443215</v>
      </c>
      <c r="AQ517" s="202">
        <f t="shared" si="270"/>
        <v>2.1012147712933498</v>
      </c>
      <c r="AR517" s="202">
        <f t="shared" si="270"/>
        <v>2.0400143410615046</v>
      </c>
      <c r="AS517" s="202">
        <f t="shared" si="270"/>
        <v>1.9805964476325288</v>
      </c>
      <c r="AT517" s="202">
        <f t="shared" si="270"/>
        <v>1.9229091724587657</v>
      </c>
      <c r="AU517" s="202">
        <f t="shared" si="270"/>
        <v>1.8669021091832678</v>
      </c>
      <c r="AV517" s="202">
        <f t="shared" si="270"/>
        <v>1.8125263195954056</v>
      </c>
      <c r="AW517" s="202">
        <f t="shared" si="270"/>
        <v>1.7597342908693259</v>
      </c>
      <c r="AX517" s="202">
        <f t="shared" si="270"/>
        <v>1.7084798940478891</v>
      </c>
      <c r="AY517" s="202">
        <f t="shared" si="270"/>
        <v>1.6587183437358151</v>
      </c>
      <c r="AZ517" s="202">
        <f t="shared" si="271"/>
        <v>1.6104061589668108</v>
      </c>
      <c r="BA517" s="202">
        <f t="shared" si="271"/>
        <v>1.5635011252104958</v>
      </c>
      <c r="BB517" s="202">
        <f t="shared" si="271"/>
        <v>1.517962257485918</v>
      </c>
      <c r="BC517" s="202">
        <f t="shared" si="271"/>
        <v>1.4737497645494353</v>
      </c>
      <c r="BD517" s="202">
        <f t="shared" si="271"/>
        <v>1.4308250141256653</v>
      </c>
      <c r="BE517" s="202">
        <f t="shared" si="271"/>
        <v>1.3891504991511314</v>
      </c>
      <c r="BF517" s="202">
        <f t="shared" si="271"/>
        <v>1.3486898050010985</v>
      </c>
      <c r="BG517" s="203">
        <f t="shared" si="264"/>
        <v>36.239800129849542</v>
      </c>
    </row>
    <row r="518" spans="27:59">
      <c r="AA518" s="180">
        <f t="shared" si="265"/>
        <v>3171000000</v>
      </c>
      <c r="AB518" s="41">
        <f t="shared" si="266"/>
        <v>3775</v>
      </c>
      <c r="AC518" s="21">
        <v>151</v>
      </c>
      <c r="AD518" s="21" t="s">
        <v>283</v>
      </c>
      <c r="AE518" s="175">
        <f t="shared" si="272"/>
        <v>30</v>
      </c>
      <c r="AF518" s="183">
        <f t="shared" si="273"/>
        <v>27</v>
      </c>
      <c r="AG518" s="84">
        <f t="shared" si="274"/>
        <v>0.39750000000000002</v>
      </c>
      <c r="AH518" s="242">
        <f t="shared" si="275"/>
        <v>0.159</v>
      </c>
      <c r="AI518" s="76">
        <f t="shared" si="276"/>
        <v>1.5600000000000002E-3</v>
      </c>
      <c r="AJ518" s="181">
        <f t="shared" si="277"/>
        <v>5.5650000000000005E-2</v>
      </c>
      <c r="AK518" s="182">
        <f t="shared" si="278"/>
        <v>2.3077257367928001</v>
      </c>
      <c r="AM518" s="201">
        <f t="shared" si="263"/>
        <v>2.3649357367928001</v>
      </c>
      <c r="AN518" s="202">
        <f t="shared" si="269"/>
        <v>2.2960541133910679</v>
      </c>
      <c r="AO518" s="202">
        <f t="shared" si="269"/>
        <v>2.2291787508651146</v>
      </c>
      <c r="AP518" s="202">
        <f t="shared" ref="AP518:AY527" si="279">$AM518/POWER(1+($B$10/100),AP$366-2024)</f>
        <v>2.16425121443215</v>
      </c>
      <c r="AQ518" s="202">
        <f t="shared" si="279"/>
        <v>2.1012147712933498</v>
      </c>
      <c r="AR518" s="202">
        <f t="shared" si="279"/>
        <v>2.0400143410615046</v>
      </c>
      <c r="AS518" s="202">
        <f t="shared" si="279"/>
        <v>1.9805964476325288</v>
      </c>
      <c r="AT518" s="202">
        <f t="shared" si="279"/>
        <v>1.9229091724587657</v>
      </c>
      <c r="AU518" s="202">
        <f t="shared" si="279"/>
        <v>1.8669021091832678</v>
      </c>
      <c r="AV518" s="202">
        <f t="shared" si="279"/>
        <v>1.8125263195954056</v>
      </c>
      <c r="AW518" s="202">
        <f t="shared" si="279"/>
        <v>1.7597342908693259</v>
      </c>
      <c r="AX518" s="202">
        <f t="shared" si="279"/>
        <v>1.7084798940478891</v>
      </c>
      <c r="AY518" s="202">
        <f t="shared" si="279"/>
        <v>1.6587183437358151</v>
      </c>
      <c r="AZ518" s="202">
        <f t="shared" ref="AZ518:BF527" si="280">$AM518/POWER(1+($B$10/100),AZ$366-2024)</f>
        <v>1.6104061589668108</v>
      </c>
      <c r="BA518" s="202">
        <f t="shared" si="280"/>
        <v>1.5635011252104958</v>
      </c>
      <c r="BB518" s="202">
        <f t="shared" si="280"/>
        <v>1.517962257485918</v>
      </c>
      <c r="BC518" s="202">
        <f t="shared" si="280"/>
        <v>1.4737497645494353</v>
      </c>
      <c r="BD518" s="202">
        <f t="shared" si="280"/>
        <v>1.4308250141256653</v>
      </c>
      <c r="BE518" s="202">
        <f t="shared" si="280"/>
        <v>1.3891504991511314</v>
      </c>
      <c r="BF518" s="202">
        <f t="shared" si="280"/>
        <v>1.3486898050010985</v>
      </c>
      <c r="BG518" s="203">
        <f t="shared" si="264"/>
        <v>36.239800129849542</v>
      </c>
    </row>
    <row r="519" spans="27:59">
      <c r="AA519" s="180">
        <f t="shared" si="265"/>
        <v>3192000000</v>
      </c>
      <c r="AB519" s="41">
        <f t="shared" si="266"/>
        <v>3800</v>
      </c>
      <c r="AC519" s="21">
        <v>152</v>
      </c>
      <c r="AD519" s="21" t="s">
        <v>283</v>
      </c>
      <c r="AE519" s="175">
        <f t="shared" si="272"/>
        <v>30</v>
      </c>
      <c r="AF519" s="183">
        <f t="shared" si="273"/>
        <v>27</v>
      </c>
      <c r="AG519" s="84">
        <f t="shared" si="274"/>
        <v>0.39750000000000002</v>
      </c>
      <c r="AH519" s="242">
        <f t="shared" si="275"/>
        <v>0.159</v>
      </c>
      <c r="AI519" s="76">
        <f t="shared" si="276"/>
        <v>1.5600000000000002E-3</v>
      </c>
      <c r="AJ519" s="181">
        <f t="shared" si="277"/>
        <v>5.5650000000000005E-2</v>
      </c>
      <c r="AK519" s="182">
        <f t="shared" si="278"/>
        <v>2.3077257367928001</v>
      </c>
      <c r="AM519" s="201">
        <f t="shared" si="263"/>
        <v>2.3649357367928001</v>
      </c>
      <c r="AN519" s="202">
        <f t="shared" si="269"/>
        <v>2.2960541133910679</v>
      </c>
      <c r="AO519" s="202">
        <f t="shared" si="269"/>
        <v>2.2291787508651146</v>
      </c>
      <c r="AP519" s="202">
        <f t="shared" si="279"/>
        <v>2.16425121443215</v>
      </c>
      <c r="AQ519" s="202">
        <f t="shared" si="279"/>
        <v>2.1012147712933498</v>
      </c>
      <c r="AR519" s="202">
        <f t="shared" si="279"/>
        <v>2.0400143410615046</v>
      </c>
      <c r="AS519" s="202">
        <f t="shared" si="279"/>
        <v>1.9805964476325288</v>
      </c>
      <c r="AT519" s="202">
        <f t="shared" si="279"/>
        <v>1.9229091724587657</v>
      </c>
      <c r="AU519" s="202">
        <f t="shared" si="279"/>
        <v>1.8669021091832678</v>
      </c>
      <c r="AV519" s="202">
        <f t="shared" si="279"/>
        <v>1.8125263195954056</v>
      </c>
      <c r="AW519" s="202">
        <f t="shared" si="279"/>
        <v>1.7597342908693259</v>
      </c>
      <c r="AX519" s="202">
        <f t="shared" si="279"/>
        <v>1.7084798940478891</v>
      </c>
      <c r="AY519" s="202">
        <f t="shared" si="279"/>
        <v>1.6587183437358151</v>
      </c>
      <c r="AZ519" s="202">
        <f t="shared" si="280"/>
        <v>1.6104061589668108</v>
      </c>
      <c r="BA519" s="202">
        <f t="shared" si="280"/>
        <v>1.5635011252104958</v>
      </c>
      <c r="BB519" s="202">
        <f t="shared" si="280"/>
        <v>1.517962257485918</v>
      </c>
      <c r="BC519" s="202">
        <f t="shared" si="280"/>
        <v>1.4737497645494353</v>
      </c>
      <c r="BD519" s="202">
        <f t="shared" si="280"/>
        <v>1.4308250141256653</v>
      </c>
      <c r="BE519" s="202">
        <f t="shared" si="280"/>
        <v>1.3891504991511314</v>
      </c>
      <c r="BF519" s="202">
        <f t="shared" si="280"/>
        <v>1.3486898050010985</v>
      </c>
      <c r="BG519" s="203">
        <f t="shared" si="264"/>
        <v>36.239800129849542</v>
      </c>
    </row>
    <row r="520" spans="27:59">
      <c r="AA520" s="180">
        <f t="shared" si="265"/>
        <v>3213000000</v>
      </c>
      <c r="AB520" s="41">
        <f t="shared" si="266"/>
        <v>3825</v>
      </c>
      <c r="AC520" s="21">
        <v>153</v>
      </c>
      <c r="AD520" s="21" t="s">
        <v>283</v>
      </c>
      <c r="AE520" s="175">
        <f t="shared" si="272"/>
        <v>30</v>
      </c>
      <c r="AF520" s="183">
        <f t="shared" si="273"/>
        <v>27</v>
      </c>
      <c r="AG520" s="84">
        <f t="shared" si="274"/>
        <v>0.39750000000000002</v>
      </c>
      <c r="AH520" s="242">
        <f t="shared" si="275"/>
        <v>0.159</v>
      </c>
      <c r="AI520" s="76">
        <f t="shared" si="276"/>
        <v>1.5600000000000002E-3</v>
      </c>
      <c r="AJ520" s="181">
        <f t="shared" si="277"/>
        <v>5.5650000000000005E-2</v>
      </c>
      <c r="AK520" s="182">
        <f t="shared" si="278"/>
        <v>2.3077257367928001</v>
      </c>
      <c r="AM520" s="201">
        <f t="shared" si="263"/>
        <v>2.3649357367928001</v>
      </c>
      <c r="AN520" s="202">
        <f t="shared" si="269"/>
        <v>2.2960541133910679</v>
      </c>
      <c r="AO520" s="202">
        <f t="shared" si="269"/>
        <v>2.2291787508651146</v>
      </c>
      <c r="AP520" s="202">
        <f t="shared" si="279"/>
        <v>2.16425121443215</v>
      </c>
      <c r="AQ520" s="202">
        <f t="shared" si="279"/>
        <v>2.1012147712933498</v>
      </c>
      <c r="AR520" s="202">
        <f t="shared" si="279"/>
        <v>2.0400143410615046</v>
      </c>
      <c r="AS520" s="202">
        <f t="shared" si="279"/>
        <v>1.9805964476325288</v>
      </c>
      <c r="AT520" s="202">
        <f t="shared" si="279"/>
        <v>1.9229091724587657</v>
      </c>
      <c r="AU520" s="202">
        <f t="shared" si="279"/>
        <v>1.8669021091832678</v>
      </c>
      <c r="AV520" s="202">
        <f t="shared" si="279"/>
        <v>1.8125263195954056</v>
      </c>
      <c r="AW520" s="202">
        <f t="shared" si="279"/>
        <v>1.7597342908693259</v>
      </c>
      <c r="AX520" s="202">
        <f t="shared" si="279"/>
        <v>1.7084798940478891</v>
      </c>
      <c r="AY520" s="202">
        <f t="shared" si="279"/>
        <v>1.6587183437358151</v>
      </c>
      <c r="AZ520" s="202">
        <f t="shared" si="280"/>
        <v>1.6104061589668108</v>
      </c>
      <c r="BA520" s="202">
        <f t="shared" si="280"/>
        <v>1.5635011252104958</v>
      </c>
      <c r="BB520" s="202">
        <f t="shared" si="280"/>
        <v>1.517962257485918</v>
      </c>
      <c r="BC520" s="202">
        <f t="shared" si="280"/>
        <v>1.4737497645494353</v>
      </c>
      <c r="BD520" s="202">
        <f t="shared" si="280"/>
        <v>1.4308250141256653</v>
      </c>
      <c r="BE520" s="202">
        <f t="shared" si="280"/>
        <v>1.3891504991511314</v>
      </c>
      <c r="BF520" s="202">
        <f t="shared" si="280"/>
        <v>1.3486898050010985</v>
      </c>
      <c r="BG520" s="203">
        <f t="shared" si="264"/>
        <v>36.239800129849542</v>
      </c>
    </row>
    <row r="521" spans="27:59">
      <c r="AA521" s="180">
        <f t="shared" si="265"/>
        <v>3234000000</v>
      </c>
      <c r="AB521" s="41">
        <f t="shared" si="266"/>
        <v>3850</v>
      </c>
      <c r="AC521" s="21">
        <v>154</v>
      </c>
      <c r="AD521" s="21" t="s">
        <v>283</v>
      </c>
      <c r="AE521" s="175">
        <f t="shared" si="272"/>
        <v>30</v>
      </c>
      <c r="AF521" s="183">
        <f t="shared" si="273"/>
        <v>27</v>
      </c>
      <c r="AG521" s="84">
        <f t="shared" si="274"/>
        <v>0.39750000000000002</v>
      </c>
      <c r="AH521" s="242">
        <f t="shared" si="275"/>
        <v>0.159</v>
      </c>
      <c r="AI521" s="76">
        <f t="shared" si="276"/>
        <v>1.5600000000000002E-3</v>
      </c>
      <c r="AJ521" s="181">
        <f t="shared" si="277"/>
        <v>5.5650000000000005E-2</v>
      </c>
      <c r="AK521" s="182">
        <f t="shared" si="278"/>
        <v>2.3077257367928001</v>
      </c>
      <c r="AM521" s="201">
        <f t="shared" si="263"/>
        <v>2.3649357367928001</v>
      </c>
      <c r="AN521" s="202">
        <f t="shared" si="269"/>
        <v>2.2960541133910679</v>
      </c>
      <c r="AO521" s="202">
        <f t="shared" si="269"/>
        <v>2.2291787508651146</v>
      </c>
      <c r="AP521" s="202">
        <f t="shared" si="279"/>
        <v>2.16425121443215</v>
      </c>
      <c r="AQ521" s="202">
        <f t="shared" si="279"/>
        <v>2.1012147712933498</v>
      </c>
      <c r="AR521" s="202">
        <f t="shared" si="279"/>
        <v>2.0400143410615046</v>
      </c>
      <c r="AS521" s="202">
        <f t="shared" si="279"/>
        <v>1.9805964476325288</v>
      </c>
      <c r="AT521" s="202">
        <f t="shared" si="279"/>
        <v>1.9229091724587657</v>
      </c>
      <c r="AU521" s="202">
        <f t="shared" si="279"/>
        <v>1.8669021091832678</v>
      </c>
      <c r="AV521" s="202">
        <f t="shared" si="279"/>
        <v>1.8125263195954056</v>
      </c>
      <c r="AW521" s="202">
        <f t="shared" si="279"/>
        <v>1.7597342908693259</v>
      </c>
      <c r="AX521" s="202">
        <f t="shared" si="279"/>
        <v>1.7084798940478891</v>
      </c>
      <c r="AY521" s="202">
        <f t="shared" si="279"/>
        <v>1.6587183437358151</v>
      </c>
      <c r="AZ521" s="202">
        <f t="shared" si="280"/>
        <v>1.6104061589668108</v>
      </c>
      <c r="BA521" s="202">
        <f t="shared" si="280"/>
        <v>1.5635011252104958</v>
      </c>
      <c r="BB521" s="202">
        <f t="shared" si="280"/>
        <v>1.517962257485918</v>
      </c>
      <c r="BC521" s="202">
        <f t="shared" si="280"/>
        <v>1.4737497645494353</v>
      </c>
      <c r="BD521" s="202">
        <f t="shared" si="280"/>
        <v>1.4308250141256653</v>
      </c>
      <c r="BE521" s="202">
        <f t="shared" si="280"/>
        <v>1.3891504991511314</v>
      </c>
      <c r="BF521" s="202">
        <f t="shared" si="280"/>
        <v>1.3486898050010985</v>
      </c>
      <c r="BG521" s="203">
        <f t="shared" si="264"/>
        <v>36.239800129849542</v>
      </c>
    </row>
    <row r="522" spans="27:59">
      <c r="AA522" s="180">
        <f t="shared" si="265"/>
        <v>3255000000</v>
      </c>
      <c r="AB522" s="41">
        <f t="shared" si="266"/>
        <v>3875</v>
      </c>
      <c r="AC522" s="21">
        <v>155</v>
      </c>
      <c r="AD522" s="21" t="s">
        <v>283</v>
      </c>
      <c r="AE522" s="175">
        <f t="shared" si="272"/>
        <v>30</v>
      </c>
      <c r="AF522" s="183">
        <f t="shared" si="273"/>
        <v>27</v>
      </c>
      <c r="AG522" s="84">
        <f t="shared" si="274"/>
        <v>0.39750000000000002</v>
      </c>
      <c r="AH522" s="242">
        <f t="shared" si="275"/>
        <v>0.159</v>
      </c>
      <c r="AI522" s="76">
        <f t="shared" si="276"/>
        <v>1.5600000000000002E-3</v>
      </c>
      <c r="AJ522" s="181">
        <f t="shared" si="277"/>
        <v>5.5650000000000005E-2</v>
      </c>
      <c r="AK522" s="182">
        <f t="shared" si="278"/>
        <v>2.3077257367928001</v>
      </c>
      <c r="AM522" s="201">
        <f t="shared" si="263"/>
        <v>2.3649357367928001</v>
      </c>
      <c r="AN522" s="202">
        <f t="shared" si="269"/>
        <v>2.2960541133910679</v>
      </c>
      <c r="AO522" s="202">
        <f t="shared" si="269"/>
        <v>2.2291787508651146</v>
      </c>
      <c r="AP522" s="202">
        <f t="shared" si="279"/>
        <v>2.16425121443215</v>
      </c>
      <c r="AQ522" s="202">
        <f t="shared" si="279"/>
        <v>2.1012147712933498</v>
      </c>
      <c r="AR522" s="202">
        <f t="shared" si="279"/>
        <v>2.0400143410615046</v>
      </c>
      <c r="AS522" s="202">
        <f t="shared" si="279"/>
        <v>1.9805964476325288</v>
      </c>
      <c r="AT522" s="202">
        <f t="shared" si="279"/>
        <v>1.9229091724587657</v>
      </c>
      <c r="AU522" s="202">
        <f t="shared" si="279"/>
        <v>1.8669021091832678</v>
      </c>
      <c r="AV522" s="202">
        <f t="shared" si="279"/>
        <v>1.8125263195954056</v>
      </c>
      <c r="AW522" s="202">
        <f t="shared" si="279"/>
        <v>1.7597342908693259</v>
      </c>
      <c r="AX522" s="202">
        <f t="shared" si="279"/>
        <v>1.7084798940478891</v>
      </c>
      <c r="AY522" s="202">
        <f t="shared" si="279"/>
        <v>1.6587183437358151</v>
      </c>
      <c r="AZ522" s="202">
        <f t="shared" si="280"/>
        <v>1.6104061589668108</v>
      </c>
      <c r="BA522" s="202">
        <f t="shared" si="280"/>
        <v>1.5635011252104958</v>
      </c>
      <c r="BB522" s="202">
        <f t="shared" si="280"/>
        <v>1.517962257485918</v>
      </c>
      <c r="BC522" s="202">
        <f t="shared" si="280"/>
        <v>1.4737497645494353</v>
      </c>
      <c r="BD522" s="202">
        <f t="shared" si="280"/>
        <v>1.4308250141256653</v>
      </c>
      <c r="BE522" s="202">
        <f t="shared" si="280"/>
        <v>1.3891504991511314</v>
      </c>
      <c r="BF522" s="202">
        <f t="shared" si="280"/>
        <v>1.3486898050010985</v>
      </c>
      <c r="BG522" s="203">
        <f t="shared" si="264"/>
        <v>36.239800129849542</v>
      </c>
    </row>
    <row r="523" spans="27:59">
      <c r="AA523" s="180">
        <f t="shared" si="265"/>
        <v>3276000000</v>
      </c>
      <c r="AB523" s="41">
        <f t="shared" si="266"/>
        <v>3900</v>
      </c>
      <c r="AC523" s="21">
        <v>156</v>
      </c>
      <c r="AD523" s="21" t="s">
        <v>283</v>
      </c>
      <c r="AE523" s="175">
        <f t="shared" si="272"/>
        <v>30</v>
      </c>
      <c r="AF523" s="183">
        <f t="shared" si="273"/>
        <v>27</v>
      </c>
      <c r="AG523" s="84">
        <f t="shared" si="274"/>
        <v>0.39750000000000002</v>
      </c>
      <c r="AH523" s="242">
        <f t="shared" si="275"/>
        <v>0.159</v>
      </c>
      <c r="AI523" s="76">
        <f t="shared" si="276"/>
        <v>1.5600000000000002E-3</v>
      </c>
      <c r="AJ523" s="181">
        <f t="shared" si="277"/>
        <v>5.5650000000000005E-2</v>
      </c>
      <c r="AK523" s="182">
        <f t="shared" si="278"/>
        <v>2.3077257367928001</v>
      </c>
      <c r="AM523" s="201">
        <f t="shared" si="263"/>
        <v>2.3649357367928001</v>
      </c>
      <c r="AN523" s="202">
        <f t="shared" si="269"/>
        <v>2.2960541133910679</v>
      </c>
      <c r="AO523" s="202">
        <f t="shared" si="269"/>
        <v>2.2291787508651146</v>
      </c>
      <c r="AP523" s="202">
        <f t="shared" si="279"/>
        <v>2.16425121443215</v>
      </c>
      <c r="AQ523" s="202">
        <f t="shared" si="279"/>
        <v>2.1012147712933498</v>
      </c>
      <c r="AR523" s="202">
        <f t="shared" si="279"/>
        <v>2.0400143410615046</v>
      </c>
      <c r="AS523" s="202">
        <f t="shared" si="279"/>
        <v>1.9805964476325288</v>
      </c>
      <c r="AT523" s="202">
        <f t="shared" si="279"/>
        <v>1.9229091724587657</v>
      </c>
      <c r="AU523" s="202">
        <f t="shared" si="279"/>
        <v>1.8669021091832678</v>
      </c>
      <c r="AV523" s="202">
        <f t="shared" si="279"/>
        <v>1.8125263195954056</v>
      </c>
      <c r="AW523" s="202">
        <f t="shared" si="279"/>
        <v>1.7597342908693259</v>
      </c>
      <c r="AX523" s="202">
        <f t="shared" si="279"/>
        <v>1.7084798940478891</v>
      </c>
      <c r="AY523" s="202">
        <f t="shared" si="279"/>
        <v>1.6587183437358151</v>
      </c>
      <c r="AZ523" s="202">
        <f t="shared" si="280"/>
        <v>1.6104061589668108</v>
      </c>
      <c r="BA523" s="202">
        <f t="shared" si="280"/>
        <v>1.5635011252104958</v>
      </c>
      <c r="BB523" s="202">
        <f t="shared" si="280"/>
        <v>1.517962257485918</v>
      </c>
      <c r="BC523" s="202">
        <f t="shared" si="280"/>
        <v>1.4737497645494353</v>
      </c>
      <c r="BD523" s="202">
        <f t="shared" si="280"/>
        <v>1.4308250141256653</v>
      </c>
      <c r="BE523" s="202">
        <f t="shared" si="280"/>
        <v>1.3891504991511314</v>
      </c>
      <c r="BF523" s="202">
        <f t="shared" si="280"/>
        <v>1.3486898050010985</v>
      </c>
      <c r="BG523" s="203">
        <f t="shared" si="264"/>
        <v>36.239800129849542</v>
      </c>
    </row>
    <row r="524" spans="27:59">
      <c r="AA524" s="180">
        <f t="shared" si="265"/>
        <v>3297000000</v>
      </c>
      <c r="AB524" s="41">
        <f t="shared" si="266"/>
        <v>3925</v>
      </c>
      <c r="AC524" s="21">
        <v>157</v>
      </c>
      <c r="AD524" s="21" t="s">
        <v>283</v>
      </c>
      <c r="AE524" s="175">
        <f t="shared" si="272"/>
        <v>30</v>
      </c>
      <c r="AF524" s="183">
        <f t="shared" si="273"/>
        <v>27</v>
      </c>
      <c r="AG524" s="84">
        <f t="shared" si="274"/>
        <v>0.39750000000000002</v>
      </c>
      <c r="AH524" s="242">
        <f t="shared" si="275"/>
        <v>0.159</v>
      </c>
      <c r="AI524" s="76">
        <f t="shared" si="276"/>
        <v>1.5600000000000002E-3</v>
      </c>
      <c r="AJ524" s="181">
        <f t="shared" si="277"/>
        <v>5.5650000000000005E-2</v>
      </c>
      <c r="AK524" s="182">
        <f t="shared" si="278"/>
        <v>2.3077257367928001</v>
      </c>
      <c r="AM524" s="201">
        <f t="shared" si="263"/>
        <v>2.3649357367928001</v>
      </c>
      <c r="AN524" s="202">
        <f t="shared" si="269"/>
        <v>2.2960541133910679</v>
      </c>
      <c r="AO524" s="202">
        <f t="shared" si="269"/>
        <v>2.2291787508651146</v>
      </c>
      <c r="AP524" s="202">
        <f t="shared" si="279"/>
        <v>2.16425121443215</v>
      </c>
      <c r="AQ524" s="202">
        <f t="shared" si="279"/>
        <v>2.1012147712933498</v>
      </c>
      <c r="AR524" s="202">
        <f t="shared" si="279"/>
        <v>2.0400143410615046</v>
      </c>
      <c r="AS524" s="202">
        <f t="shared" si="279"/>
        <v>1.9805964476325288</v>
      </c>
      <c r="AT524" s="202">
        <f t="shared" si="279"/>
        <v>1.9229091724587657</v>
      </c>
      <c r="AU524" s="202">
        <f t="shared" si="279"/>
        <v>1.8669021091832678</v>
      </c>
      <c r="AV524" s="202">
        <f t="shared" si="279"/>
        <v>1.8125263195954056</v>
      </c>
      <c r="AW524" s="202">
        <f t="shared" si="279"/>
        <v>1.7597342908693259</v>
      </c>
      <c r="AX524" s="202">
        <f t="shared" si="279"/>
        <v>1.7084798940478891</v>
      </c>
      <c r="AY524" s="202">
        <f t="shared" si="279"/>
        <v>1.6587183437358151</v>
      </c>
      <c r="AZ524" s="202">
        <f t="shared" si="280"/>
        <v>1.6104061589668108</v>
      </c>
      <c r="BA524" s="202">
        <f t="shared" si="280"/>
        <v>1.5635011252104958</v>
      </c>
      <c r="BB524" s="202">
        <f t="shared" si="280"/>
        <v>1.517962257485918</v>
      </c>
      <c r="BC524" s="202">
        <f t="shared" si="280"/>
        <v>1.4737497645494353</v>
      </c>
      <c r="BD524" s="202">
        <f t="shared" si="280"/>
        <v>1.4308250141256653</v>
      </c>
      <c r="BE524" s="202">
        <f t="shared" si="280"/>
        <v>1.3891504991511314</v>
      </c>
      <c r="BF524" s="202">
        <f t="shared" si="280"/>
        <v>1.3486898050010985</v>
      </c>
      <c r="BG524" s="203">
        <f t="shared" si="264"/>
        <v>36.239800129849542</v>
      </c>
    </row>
    <row r="525" spans="27:59">
      <c r="AA525" s="180">
        <f t="shared" si="265"/>
        <v>3318000000</v>
      </c>
      <c r="AB525" s="41">
        <f t="shared" si="266"/>
        <v>3950</v>
      </c>
      <c r="AC525" s="21">
        <v>158</v>
      </c>
      <c r="AD525" s="21" t="s">
        <v>283</v>
      </c>
      <c r="AE525" s="175">
        <f t="shared" si="272"/>
        <v>30</v>
      </c>
      <c r="AF525" s="183">
        <f t="shared" si="273"/>
        <v>27</v>
      </c>
      <c r="AG525" s="84">
        <f t="shared" si="274"/>
        <v>0.39750000000000002</v>
      </c>
      <c r="AH525" s="242">
        <f t="shared" si="275"/>
        <v>0.159</v>
      </c>
      <c r="AI525" s="76">
        <f t="shared" si="276"/>
        <v>1.5600000000000002E-3</v>
      </c>
      <c r="AJ525" s="181">
        <f t="shared" si="277"/>
        <v>5.5650000000000005E-2</v>
      </c>
      <c r="AK525" s="182">
        <f t="shared" si="278"/>
        <v>2.3077257367928001</v>
      </c>
      <c r="AM525" s="201">
        <f t="shared" si="263"/>
        <v>2.3649357367928001</v>
      </c>
      <c r="AN525" s="202">
        <f t="shared" si="269"/>
        <v>2.2960541133910679</v>
      </c>
      <c r="AO525" s="202">
        <f t="shared" si="269"/>
        <v>2.2291787508651146</v>
      </c>
      <c r="AP525" s="202">
        <f t="shared" si="279"/>
        <v>2.16425121443215</v>
      </c>
      <c r="AQ525" s="202">
        <f t="shared" si="279"/>
        <v>2.1012147712933498</v>
      </c>
      <c r="AR525" s="202">
        <f t="shared" si="279"/>
        <v>2.0400143410615046</v>
      </c>
      <c r="AS525" s="202">
        <f t="shared" si="279"/>
        <v>1.9805964476325288</v>
      </c>
      <c r="AT525" s="202">
        <f t="shared" si="279"/>
        <v>1.9229091724587657</v>
      </c>
      <c r="AU525" s="202">
        <f t="shared" si="279"/>
        <v>1.8669021091832678</v>
      </c>
      <c r="AV525" s="202">
        <f t="shared" si="279"/>
        <v>1.8125263195954056</v>
      </c>
      <c r="AW525" s="202">
        <f t="shared" si="279"/>
        <v>1.7597342908693259</v>
      </c>
      <c r="AX525" s="202">
        <f t="shared" si="279"/>
        <v>1.7084798940478891</v>
      </c>
      <c r="AY525" s="202">
        <f t="shared" si="279"/>
        <v>1.6587183437358151</v>
      </c>
      <c r="AZ525" s="202">
        <f t="shared" si="280"/>
        <v>1.6104061589668108</v>
      </c>
      <c r="BA525" s="202">
        <f t="shared" si="280"/>
        <v>1.5635011252104958</v>
      </c>
      <c r="BB525" s="202">
        <f t="shared" si="280"/>
        <v>1.517962257485918</v>
      </c>
      <c r="BC525" s="202">
        <f t="shared" si="280"/>
        <v>1.4737497645494353</v>
      </c>
      <c r="BD525" s="202">
        <f t="shared" si="280"/>
        <v>1.4308250141256653</v>
      </c>
      <c r="BE525" s="202">
        <f t="shared" si="280"/>
        <v>1.3891504991511314</v>
      </c>
      <c r="BF525" s="202">
        <f t="shared" si="280"/>
        <v>1.3486898050010985</v>
      </c>
      <c r="BG525" s="203">
        <f t="shared" si="264"/>
        <v>36.239800129849542</v>
      </c>
    </row>
    <row r="526" spans="27:59">
      <c r="AA526" s="180">
        <f t="shared" si="265"/>
        <v>3339000000</v>
      </c>
      <c r="AB526" s="41">
        <f t="shared" si="266"/>
        <v>3975</v>
      </c>
      <c r="AC526" s="21">
        <v>159</v>
      </c>
      <c r="AD526" s="21" t="s">
        <v>283</v>
      </c>
      <c r="AE526" s="175">
        <f t="shared" si="272"/>
        <v>30</v>
      </c>
      <c r="AF526" s="183">
        <f t="shared" si="273"/>
        <v>27</v>
      </c>
      <c r="AG526" s="84">
        <f t="shared" si="274"/>
        <v>0.39750000000000002</v>
      </c>
      <c r="AH526" s="242">
        <f t="shared" si="275"/>
        <v>0.159</v>
      </c>
      <c r="AI526" s="76">
        <f t="shared" si="276"/>
        <v>1.5600000000000002E-3</v>
      </c>
      <c r="AJ526" s="181">
        <f t="shared" si="277"/>
        <v>5.5650000000000005E-2</v>
      </c>
      <c r="AK526" s="182">
        <f t="shared" si="278"/>
        <v>2.3077257367928001</v>
      </c>
      <c r="AM526" s="201">
        <f t="shared" si="263"/>
        <v>2.3649357367928001</v>
      </c>
      <c r="AN526" s="202">
        <f t="shared" si="269"/>
        <v>2.2960541133910679</v>
      </c>
      <c r="AO526" s="202">
        <f t="shared" si="269"/>
        <v>2.2291787508651146</v>
      </c>
      <c r="AP526" s="202">
        <f t="shared" si="279"/>
        <v>2.16425121443215</v>
      </c>
      <c r="AQ526" s="202">
        <f t="shared" si="279"/>
        <v>2.1012147712933498</v>
      </c>
      <c r="AR526" s="202">
        <f t="shared" si="279"/>
        <v>2.0400143410615046</v>
      </c>
      <c r="AS526" s="202">
        <f t="shared" si="279"/>
        <v>1.9805964476325288</v>
      </c>
      <c r="AT526" s="202">
        <f t="shared" si="279"/>
        <v>1.9229091724587657</v>
      </c>
      <c r="AU526" s="202">
        <f t="shared" si="279"/>
        <v>1.8669021091832678</v>
      </c>
      <c r="AV526" s="202">
        <f t="shared" si="279"/>
        <v>1.8125263195954056</v>
      </c>
      <c r="AW526" s="202">
        <f t="shared" si="279"/>
        <v>1.7597342908693259</v>
      </c>
      <c r="AX526" s="202">
        <f t="shared" si="279"/>
        <v>1.7084798940478891</v>
      </c>
      <c r="AY526" s="202">
        <f t="shared" si="279"/>
        <v>1.6587183437358151</v>
      </c>
      <c r="AZ526" s="202">
        <f t="shared" si="280"/>
        <v>1.6104061589668108</v>
      </c>
      <c r="BA526" s="202">
        <f t="shared" si="280"/>
        <v>1.5635011252104958</v>
      </c>
      <c r="BB526" s="202">
        <f t="shared" si="280"/>
        <v>1.517962257485918</v>
      </c>
      <c r="BC526" s="202">
        <f t="shared" si="280"/>
        <v>1.4737497645494353</v>
      </c>
      <c r="BD526" s="202">
        <f t="shared" si="280"/>
        <v>1.4308250141256653</v>
      </c>
      <c r="BE526" s="202">
        <f t="shared" si="280"/>
        <v>1.3891504991511314</v>
      </c>
      <c r="BF526" s="202">
        <f t="shared" si="280"/>
        <v>1.3486898050010985</v>
      </c>
      <c r="BG526" s="203">
        <f t="shared" si="264"/>
        <v>36.239800129849542</v>
      </c>
    </row>
    <row r="527" spans="27:59">
      <c r="AA527" s="180">
        <f t="shared" si="265"/>
        <v>3360000000</v>
      </c>
      <c r="AB527" s="41">
        <f t="shared" si="266"/>
        <v>4000</v>
      </c>
      <c r="AC527" s="21">
        <v>160</v>
      </c>
      <c r="AD527" s="21" t="s">
        <v>283</v>
      </c>
      <c r="AE527" s="175">
        <f t="shared" si="272"/>
        <v>30</v>
      </c>
      <c r="AF527" s="183">
        <f t="shared" si="273"/>
        <v>27</v>
      </c>
      <c r="AG527" s="84">
        <f t="shared" si="274"/>
        <v>0.39750000000000002</v>
      </c>
      <c r="AH527" s="242">
        <f t="shared" si="275"/>
        <v>0.159</v>
      </c>
      <c r="AI527" s="76">
        <f t="shared" si="276"/>
        <v>1.5600000000000002E-3</v>
      </c>
      <c r="AJ527" s="181">
        <f t="shared" si="277"/>
        <v>5.5650000000000005E-2</v>
      </c>
      <c r="AK527" s="182">
        <f t="shared" si="278"/>
        <v>2.3077257367928001</v>
      </c>
      <c r="AM527" s="201">
        <f t="shared" si="263"/>
        <v>2.3649357367928001</v>
      </c>
      <c r="AN527" s="202">
        <f t="shared" ref="AN527:AO544" si="281">$AM527/POWER(1+($B$10/100),AN$366-2024)</f>
        <v>2.2960541133910679</v>
      </c>
      <c r="AO527" s="202">
        <f t="shared" si="281"/>
        <v>2.2291787508651146</v>
      </c>
      <c r="AP527" s="202">
        <f t="shared" si="279"/>
        <v>2.16425121443215</v>
      </c>
      <c r="AQ527" s="202">
        <f t="shared" si="279"/>
        <v>2.1012147712933498</v>
      </c>
      <c r="AR527" s="202">
        <f t="shared" si="279"/>
        <v>2.0400143410615046</v>
      </c>
      <c r="AS527" s="202">
        <f t="shared" si="279"/>
        <v>1.9805964476325288</v>
      </c>
      <c r="AT527" s="202">
        <f t="shared" si="279"/>
        <v>1.9229091724587657</v>
      </c>
      <c r="AU527" s="202">
        <f t="shared" si="279"/>
        <v>1.8669021091832678</v>
      </c>
      <c r="AV527" s="202">
        <f t="shared" si="279"/>
        <v>1.8125263195954056</v>
      </c>
      <c r="AW527" s="202">
        <f t="shared" si="279"/>
        <v>1.7597342908693259</v>
      </c>
      <c r="AX527" s="202">
        <f t="shared" si="279"/>
        <v>1.7084798940478891</v>
      </c>
      <c r="AY527" s="202">
        <f t="shared" si="279"/>
        <v>1.6587183437358151</v>
      </c>
      <c r="AZ527" s="202">
        <f t="shared" si="280"/>
        <v>1.6104061589668108</v>
      </c>
      <c r="BA527" s="202">
        <f t="shared" si="280"/>
        <v>1.5635011252104958</v>
      </c>
      <c r="BB527" s="202">
        <f t="shared" si="280"/>
        <v>1.517962257485918</v>
      </c>
      <c r="BC527" s="202">
        <f t="shared" si="280"/>
        <v>1.4737497645494353</v>
      </c>
      <c r="BD527" s="202">
        <f t="shared" si="280"/>
        <v>1.4308250141256653</v>
      </c>
      <c r="BE527" s="202">
        <f t="shared" si="280"/>
        <v>1.3891504991511314</v>
      </c>
      <c r="BF527" s="202">
        <f t="shared" si="280"/>
        <v>1.3486898050010985</v>
      </c>
      <c r="BG527" s="203">
        <f t="shared" si="264"/>
        <v>36.239800129849542</v>
      </c>
    </row>
    <row r="528" spans="27:59">
      <c r="AA528" s="180">
        <f t="shared" si="265"/>
        <v>3381000000</v>
      </c>
      <c r="AB528" s="41">
        <f t="shared" si="266"/>
        <v>4025</v>
      </c>
      <c r="AC528" s="21">
        <v>161</v>
      </c>
      <c r="AD528" s="21" t="s">
        <v>283</v>
      </c>
      <c r="AE528" s="175">
        <f t="shared" si="272"/>
        <v>30</v>
      </c>
      <c r="AF528" s="183">
        <f t="shared" si="273"/>
        <v>27</v>
      </c>
      <c r="AG528" s="84">
        <f t="shared" si="274"/>
        <v>0.39750000000000002</v>
      </c>
      <c r="AH528" s="242">
        <f t="shared" si="275"/>
        <v>0.159</v>
      </c>
      <c r="AI528" s="76">
        <f t="shared" si="276"/>
        <v>1.5600000000000002E-3</v>
      </c>
      <c r="AJ528" s="181">
        <f t="shared" si="277"/>
        <v>5.5650000000000005E-2</v>
      </c>
      <c r="AK528" s="182">
        <f t="shared" si="278"/>
        <v>2.3077257367928001</v>
      </c>
      <c r="AM528" s="201">
        <f t="shared" si="263"/>
        <v>2.3649357367928001</v>
      </c>
      <c r="AN528" s="202">
        <f t="shared" si="281"/>
        <v>2.2960541133910679</v>
      </c>
      <c r="AO528" s="202">
        <f t="shared" si="281"/>
        <v>2.2291787508651146</v>
      </c>
      <c r="AP528" s="202">
        <f t="shared" ref="AP528:AY537" si="282">$AM528/POWER(1+($B$10/100),AP$366-2024)</f>
        <v>2.16425121443215</v>
      </c>
      <c r="AQ528" s="202">
        <f t="shared" si="282"/>
        <v>2.1012147712933498</v>
      </c>
      <c r="AR528" s="202">
        <f t="shared" si="282"/>
        <v>2.0400143410615046</v>
      </c>
      <c r="AS528" s="202">
        <f t="shared" si="282"/>
        <v>1.9805964476325288</v>
      </c>
      <c r="AT528" s="202">
        <f t="shared" si="282"/>
        <v>1.9229091724587657</v>
      </c>
      <c r="AU528" s="202">
        <f t="shared" si="282"/>
        <v>1.8669021091832678</v>
      </c>
      <c r="AV528" s="202">
        <f t="shared" si="282"/>
        <v>1.8125263195954056</v>
      </c>
      <c r="AW528" s="202">
        <f t="shared" si="282"/>
        <v>1.7597342908693259</v>
      </c>
      <c r="AX528" s="202">
        <f t="shared" si="282"/>
        <v>1.7084798940478891</v>
      </c>
      <c r="AY528" s="202">
        <f t="shared" si="282"/>
        <v>1.6587183437358151</v>
      </c>
      <c r="AZ528" s="202">
        <f t="shared" ref="AZ528:BF537" si="283">$AM528/POWER(1+($B$10/100),AZ$366-2024)</f>
        <v>1.6104061589668108</v>
      </c>
      <c r="BA528" s="202">
        <f t="shared" si="283"/>
        <v>1.5635011252104958</v>
      </c>
      <c r="BB528" s="202">
        <f t="shared" si="283"/>
        <v>1.517962257485918</v>
      </c>
      <c r="BC528" s="202">
        <f t="shared" si="283"/>
        <v>1.4737497645494353</v>
      </c>
      <c r="BD528" s="202">
        <f t="shared" si="283"/>
        <v>1.4308250141256653</v>
      </c>
      <c r="BE528" s="202">
        <f t="shared" si="283"/>
        <v>1.3891504991511314</v>
      </c>
      <c r="BF528" s="202">
        <f t="shared" si="283"/>
        <v>1.3486898050010985</v>
      </c>
      <c r="BG528" s="203">
        <f t="shared" si="264"/>
        <v>36.239800129849542</v>
      </c>
    </row>
    <row r="529" spans="27:59">
      <c r="AA529" s="180">
        <f t="shared" si="265"/>
        <v>3402000000</v>
      </c>
      <c r="AB529" s="41">
        <f t="shared" si="266"/>
        <v>4050</v>
      </c>
      <c r="AC529" s="21">
        <v>162</v>
      </c>
      <c r="AD529" s="21" t="s">
        <v>283</v>
      </c>
      <c r="AE529" s="175">
        <f t="shared" si="272"/>
        <v>30</v>
      </c>
      <c r="AF529" s="183">
        <f t="shared" si="273"/>
        <v>27</v>
      </c>
      <c r="AG529" s="84">
        <f t="shared" si="274"/>
        <v>0.39750000000000002</v>
      </c>
      <c r="AH529" s="242">
        <f t="shared" si="275"/>
        <v>0.159</v>
      </c>
      <c r="AI529" s="76">
        <f t="shared" si="276"/>
        <v>1.5600000000000002E-3</v>
      </c>
      <c r="AJ529" s="181">
        <f t="shared" si="277"/>
        <v>5.5650000000000005E-2</v>
      </c>
      <c r="AK529" s="182">
        <f t="shared" si="278"/>
        <v>2.3077257367928001</v>
      </c>
      <c r="AM529" s="201">
        <f t="shared" si="263"/>
        <v>2.3649357367928001</v>
      </c>
      <c r="AN529" s="202">
        <f t="shared" si="281"/>
        <v>2.2960541133910679</v>
      </c>
      <c r="AO529" s="202">
        <f t="shared" si="281"/>
        <v>2.2291787508651146</v>
      </c>
      <c r="AP529" s="202">
        <f t="shared" si="282"/>
        <v>2.16425121443215</v>
      </c>
      <c r="AQ529" s="202">
        <f t="shared" si="282"/>
        <v>2.1012147712933498</v>
      </c>
      <c r="AR529" s="202">
        <f t="shared" si="282"/>
        <v>2.0400143410615046</v>
      </c>
      <c r="AS529" s="202">
        <f t="shared" si="282"/>
        <v>1.9805964476325288</v>
      </c>
      <c r="AT529" s="202">
        <f t="shared" si="282"/>
        <v>1.9229091724587657</v>
      </c>
      <c r="AU529" s="202">
        <f t="shared" si="282"/>
        <v>1.8669021091832678</v>
      </c>
      <c r="AV529" s="202">
        <f t="shared" si="282"/>
        <v>1.8125263195954056</v>
      </c>
      <c r="AW529" s="202">
        <f t="shared" si="282"/>
        <v>1.7597342908693259</v>
      </c>
      <c r="AX529" s="202">
        <f t="shared" si="282"/>
        <v>1.7084798940478891</v>
      </c>
      <c r="AY529" s="202">
        <f t="shared" si="282"/>
        <v>1.6587183437358151</v>
      </c>
      <c r="AZ529" s="202">
        <f t="shared" si="283"/>
        <v>1.6104061589668108</v>
      </c>
      <c r="BA529" s="202">
        <f t="shared" si="283"/>
        <v>1.5635011252104958</v>
      </c>
      <c r="BB529" s="202">
        <f t="shared" si="283"/>
        <v>1.517962257485918</v>
      </c>
      <c r="BC529" s="202">
        <f t="shared" si="283"/>
        <v>1.4737497645494353</v>
      </c>
      <c r="BD529" s="202">
        <f t="shared" si="283"/>
        <v>1.4308250141256653</v>
      </c>
      <c r="BE529" s="202">
        <f t="shared" si="283"/>
        <v>1.3891504991511314</v>
      </c>
      <c r="BF529" s="202">
        <f t="shared" si="283"/>
        <v>1.3486898050010985</v>
      </c>
      <c r="BG529" s="203">
        <f t="shared" si="264"/>
        <v>36.239800129849542</v>
      </c>
    </row>
    <row r="530" spans="27:59">
      <c r="AA530" s="180">
        <f t="shared" si="265"/>
        <v>3423000000</v>
      </c>
      <c r="AB530" s="41">
        <f t="shared" si="266"/>
        <v>4075</v>
      </c>
      <c r="AC530" s="21">
        <v>163</v>
      </c>
      <c r="AD530" s="21" t="s">
        <v>283</v>
      </c>
      <c r="AE530" s="175">
        <f t="shared" si="272"/>
        <v>30</v>
      </c>
      <c r="AF530" s="183">
        <f t="shared" si="273"/>
        <v>27</v>
      </c>
      <c r="AG530" s="84">
        <f t="shared" si="274"/>
        <v>0.39750000000000002</v>
      </c>
      <c r="AH530" s="242">
        <f t="shared" si="275"/>
        <v>0.159</v>
      </c>
      <c r="AI530" s="76">
        <f t="shared" si="276"/>
        <v>1.5600000000000002E-3</v>
      </c>
      <c r="AJ530" s="181">
        <f t="shared" si="277"/>
        <v>5.5650000000000005E-2</v>
      </c>
      <c r="AK530" s="182">
        <f t="shared" si="278"/>
        <v>2.3077257367928001</v>
      </c>
      <c r="AM530" s="201">
        <f t="shared" si="263"/>
        <v>2.3649357367928001</v>
      </c>
      <c r="AN530" s="202">
        <f t="shared" si="281"/>
        <v>2.2960541133910679</v>
      </c>
      <c r="AO530" s="202">
        <f t="shared" si="281"/>
        <v>2.2291787508651146</v>
      </c>
      <c r="AP530" s="202">
        <f t="shared" si="282"/>
        <v>2.16425121443215</v>
      </c>
      <c r="AQ530" s="202">
        <f t="shared" si="282"/>
        <v>2.1012147712933498</v>
      </c>
      <c r="AR530" s="202">
        <f t="shared" si="282"/>
        <v>2.0400143410615046</v>
      </c>
      <c r="AS530" s="202">
        <f t="shared" si="282"/>
        <v>1.9805964476325288</v>
      </c>
      <c r="AT530" s="202">
        <f t="shared" si="282"/>
        <v>1.9229091724587657</v>
      </c>
      <c r="AU530" s="202">
        <f t="shared" si="282"/>
        <v>1.8669021091832678</v>
      </c>
      <c r="AV530" s="202">
        <f t="shared" si="282"/>
        <v>1.8125263195954056</v>
      </c>
      <c r="AW530" s="202">
        <f t="shared" si="282"/>
        <v>1.7597342908693259</v>
      </c>
      <c r="AX530" s="202">
        <f t="shared" si="282"/>
        <v>1.7084798940478891</v>
      </c>
      <c r="AY530" s="202">
        <f t="shared" si="282"/>
        <v>1.6587183437358151</v>
      </c>
      <c r="AZ530" s="202">
        <f t="shared" si="283"/>
        <v>1.6104061589668108</v>
      </c>
      <c r="BA530" s="202">
        <f t="shared" si="283"/>
        <v>1.5635011252104958</v>
      </c>
      <c r="BB530" s="202">
        <f t="shared" si="283"/>
        <v>1.517962257485918</v>
      </c>
      <c r="BC530" s="202">
        <f t="shared" si="283"/>
        <v>1.4737497645494353</v>
      </c>
      <c r="BD530" s="202">
        <f t="shared" si="283"/>
        <v>1.4308250141256653</v>
      </c>
      <c r="BE530" s="202">
        <f t="shared" si="283"/>
        <v>1.3891504991511314</v>
      </c>
      <c r="BF530" s="202">
        <f t="shared" si="283"/>
        <v>1.3486898050010985</v>
      </c>
      <c r="BG530" s="203">
        <f t="shared" si="264"/>
        <v>36.239800129849542</v>
      </c>
    </row>
    <row r="531" spans="27:59">
      <c r="AA531" s="180">
        <f t="shared" si="265"/>
        <v>3444000000</v>
      </c>
      <c r="AB531" s="41">
        <f t="shared" si="266"/>
        <v>4100</v>
      </c>
      <c r="AC531" s="21">
        <v>164</v>
      </c>
      <c r="AD531" s="21" t="s">
        <v>283</v>
      </c>
      <c r="AE531" s="175">
        <f t="shared" si="272"/>
        <v>30</v>
      </c>
      <c r="AF531" s="183">
        <f t="shared" si="273"/>
        <v>27</v>
      </c>
      <c r="AG531" s="84">
        <f t="shared" si="274"/>
        <v>0.39750000000000002</v>
      </c>
      <c r="AH531" s="242">
        <f t="shared" si="275"/>
        <v>0.159</v>
      </c>
      <c r="AI531" s="76">
        <f t="shared" si="276"/>
        <v>1.5600000000000002E-3</v>
      </c>
      <c r="AJ531" s="181">
        <f t="shared" si="277"/>
        <v>5.5650000000000005E-2</v>
      </c>
      <c r="AK531" s="182">
        <f t="shared" si="278"/>
        <v>2.3077257367928001</v>
      </c>
      <c r="AM531" s="201">
        <f t="shared" si="263"/>
        <v>2.3649357367928001</v>
      </c>
      <c r="AN531" s="202">
        <f t="shared" si="281"/>
        <v>2.2960541133910679</v>
      </c>
      <c r="AO531" s="202">
        <f t="shared" si="281"/>
        <v>2.2291787508651146</v>
      </c>
      <c r="AP531" s="202">
        <f t="shared" si="282"/>
        <v>2.16425121443215</v>
      </c>
      <c r="AQ531" s="202">
        <f t="shared" si="282"/>
        <v>2.1012147712933498</v>
      </c>
      <c r="AR531" s="202">
        <f t="shared" si="282"/>
        <v>2.0400143410615046</v>
      </c>
      <c r="AS531" s="202">
        <f t="shared" si="282"/>
        <v>1.9805964476325288</v>
      </c>
      <c r="AT531" s="202">
        <f t="shared" si="282"/>
        <v>1.9229091724587657</v>
      </c>
      <c r="AU531" s="202">
        <f t="shared" si="282"/>
        <v>1.8669021091832678</v>
      </c>
      <c r="AV531" s="202">
        <f t="shared" si="282"/>
        <v>1.8125263195954056</v>
      </c>
      <c r="AW531" s="202">
        <f t="shared" si="282"/>
        <v>1.7597342908693259</v>
      </c>
      <c r="AX531" s="202">
        <f t="shared" si="282"/>
        <v>1.7084798940478891</v>
      </c>
      <c r="AY531" s="202">
        <f t="shared" si="282"/>
        <v>1.6587183437358151</v>
      </c>
      <c r="AZ531" s="202">
        <f t="shared" si="283"/>
        <v>1.6104061589668108</v>
      </c>
      <c r="BA531" s="202">
        <f t="shared" si="283"/>
        <v>1.5635011252104958</v>
      </c>
      <c r="BB531" s="202">
        <f t="shared" si="283"/>
        <v>1.517962257485918</v>
      </c>
      <c r="BC531" s="202">
        <f t="shared" si="283"/>
        <v>1.4737497645494353</v>
      </c>
      <c r="BD531" s="202">
        <f t="shared" si="283"/>
        <v>1.4308250141256653</v>
      </c>
      <c r="BE531" s="202">
        <f t="shared" si="283"/>
        <v>1.3891504991511314</v>
      </c>
      <c r="BF531" s="202">
        <f t="shared" si="283"/>
        <v>1.3486898050010985</v>
      </c>
      <c r="BG531" s="203">
        <f t="shared" si="264"/>
        <v>36.239800129849542</v>
      </c>
    </row>
    <row r="532" spans="27:59">
      <c r="AA532" s="180">
        <f t="shared" si="265"/>
        <v>3465000000</v>
      </c>
      <c r="AB532" s="41">
        <f t="shared" si="266"/>
        <v>4125</v>
      </c>
      <c r="AC532" s="21">
        <v>165</v>
      </c>
      <c r="AD532" s="21" t="s">
        <v>283</v>
      </c>
      <c r="AE532" s="175">
        <f t="shared" si="272"/>
        <v>30</v>
      </c>
      <c r="AF532" s="183">
        <f t="shared" si="273"/>
        <v>27</v>
      </c>
      <c r="AG532" s="84">
        <f t="shared" si="274"/>
        <v>0.39750000000000002</v>
      </c>
      <c r="AH532" s="242">
        <f t="shared" si="275"/>
        <v>0.159</v>
      </c>
      <c r="AI532" s="76">
        <f t="shared" si="276"/>
        <v>1.5600000000000002E-3</v>
      </c>
      <c r="AJ532" s="181">
        <f t="shared" si="277"/>
        <v>5.5650000000000005E-2</v>
      </c>
      <c r="AK532" s="182">
        <f t="shared" si="278"/>
        <v>2.3077257367928001</v>
      </c>
      <c r="AM532" s="201">
        <f t="shared" si="263"/>
        <v>2.3649357367928001</v>
      </c>
      <c r="AN532" s="202">
        <f t="shared" si="281"/>
        <v>2.2960541133910679</v>
      </c>
      <c r="AO532" s="202">
        <f t="shared" si="281"/>
        <v>2.2291787508651146</v>
      </c>
      <c r="AP532" s="202">
        <f t="shared" si="282"/>
        <v>2.16425121443215</v>
      </c>
      <c r="AQ532" s="202">
        <f t="shared" si="282"/>
        <v>2.1012147712933498</v>
      </c>
      <c r="AR532" s="202">
        <f t="shared" si="282"/>
        <v>2.0400143410615046</v>
      </c>
      <c r="AS532" s="202">
        <f t="shared" si="282"/>
        <v>1.9805964476325288</v>
      </c>
      <c r="AT532" s="202">
        <f t="shared" si="282"/>
        <v>1.9229091724587657</v>
      </c>
      <c r="AU532" s="202">
        <f t="shared" si="282"/>
        <v>1.8669021091832678</v>
      </c>
      <c r="AV532" s="202">
        <f t="shared" si="282"/>
        <v>1.8125263195954056</v>
      </c>
      <c r="AW532" s="202">
        <f t="shared" si="282"/>
        <v>1.7597342908693259</v>
      </c>
      <c r="AX532" s="202">
        <f t="shared" si="282"/>
        <v>1.7084798940478891</v>
      </c>
      <c r="AY532" s="202">
        <f t="shared" si="282"/>
        <v>1.6587183437358151</v>
      </c>
      <c r="AZ532" s="202">
        <f t="shared" si="283"/>
        <v>1.6104061589668108</v>
      </c>
      <c r="BA532" s="202">
        <f t="shared" si="283"/>
        <v>1.5635011252104958</v>
      </c>
      <c r="BB532" s="202">
        <f t="shared" si="283"/>
        <v>1.517962257485918</v>
      </c>
      <c r="BC532" s="202">
        <f t="shared" si="283"/>
        <v>1.4737497645494353</v>
      </c>
      <c r="BD532" s="202">
        <f t="shared" si="283"/>
        <v>1.4308250141256653</v>
      </c>
      <c r="BE532" s="202">
        <f t="shared" si="283"/>
        <v>1.3891504991511314</v>
      </c>
      <c r="BF532" s="202">
        <f t="shared" si="283"/>
        <v>1.3486898050010985</v>
      </c>
      <c r="BG532" s="203">
        <f t="shared" si="264"/>
        <v>36.239800129849542</v>
      </c>
    </row>
    <row r="533" spans="27:59">
      <c r="AA533" s="180">
        <f t="shared" si="265"/>
        <v>3486000000</v>
      </c>
      <c r="AB533" s="41">
        <f t="shared" si="266"/>
        <v>4150</v>
      </c>
      <c r="AC533" s="21">
        <v>166</v>
      </c>
      <c r="AD533" s="21" t="s">
        <v>283</v>
      </c>
      <c r="AE533" s="175">
        <f t="shared" si="272"/>
        <v>30</v>
      </c>
      <c r="AF533" s="183">
        <f t="shared" si="273"/>
        <v>27</v>
      </c>
      <c r="AG533" s="84">
        <f t="shared" si="274"/>
        <v>0.39750000000000002</v>
      </c>
      <c r="AH533" s="242">
        <f t="shared" si="275"/>
        <v>0.159</v>
      </c>
      <c r="AI533" s="76">
        <f t="shared" si="276"/>
        <v>1.5600000000000002E-3</v>
      </c>
      <c r="AJ533" s="181">
        <f t="shared" si="277"/>
        <v>5.5650000000000005E-2</v>
      </c>
      <c r="AK533" s="182">
        <f t="shared" si="278"/>
        <v>2.3077257367928001</v>
      </c>
      <c r="AM533" s="201">
        <f t="shared" si="263"/>
        <v>2.3649357367928001</v>
      </c>
      <c r="AN533" s="202">
        <f t="shared" si="281"/>
        <v>2.2960541133910679</v>
      </c>
      <c r="AO533" s="202">
        <f t="shared" si="281"/>
        <v>2.2291787508651146</v>
      </c>
      <c r="AP533" s="202">
        <f t="shared" si="282"/>
        <v>2.16425121443215</v>
      </c>
      <c r="AQ533" s="202">
        <f t="shared" si="282"/>
        <v>2.1012147712933498</v>
      </c>
      <c r="AR533" s="202">
        <f t="shared" si="282"/>
        <v>2.0400143410615046</v>
      </c>
      <c r="AS533" s="202">
        <f t="shared" si="282"/>
        <v>1.9805964476325288</v>
      </c>
      <c r="AT533" s="202">
        <f t="shared" si="282"/>
        <v>1.9229091724587657</v>
      </c>
      <c r="AU533" s="202">
        <f t="shared" si="282"/>
        <v>1.8669021091832678</v>
      </c>
      <c r="AV533" s="202">
        <f t="shared" si="282"/>
        <v>1.8125263195954056</v>
      </c>
      <c r="AW533" s="202">
        <f t="shared" si="282"/>
        <v>1.7597342908693259</v>
      </c>
      <c r="AX533" s="202">
        <f t="shared" si="282"/>
        <v>1.7084798940478891</v>
      </c>
      <c r="AY533" s="202">
        <f t="shared" si="282"/>
        <v>1.6587183437358151</v>
      </c>
      <c r="AZ533" s="202">
        <f t="shared" si="283"/>
        <v>1.6104061589668108</v>
      </c>
      <c r="BA533" s="202">
        <f t="shared" si="283"/>
        <v>1.5635011252104958</v>
      </c>
      <c r="BB533" s="202">
        <f t="shared" si="283"/>
        <v>1.517962257485918</v>
      </c>
      <c r="BC533" s="202">
        <f t="shared" si="283"/>
        <v>1.4737497645494353</v>
      </c>
      <c r="BD533" s="202">
        <f t="shared" si="283"/>
        <v>1.4308250141256653</v>
      </c>
      <c r="BE533" s="202">
        <f t="shared" si="283"/>
        <v>1.3891504991511314</v>
      </c>
      <c r="BF533" s="202">
        <f t="shared" si="283"/>
        <v>1.3486898050010985</v>
      </c>
      <c r="BG533" s="203">
        <f t="shared" si="264"/>
        <v>36.239800129849542</v>
      </c>
    </row>
    <row r="534" spans="27:59">
      <c r="AA534" s="180">
        <f t="shared" si="265"/>
        <v>3507000000</v>
      </c>
      <c r="AB534" s="41">
        <f t="shared" si="266"/>
        <v>4175</v>
      </c>
      <c r="AC534" s="21">
        <v>167</v>
      </c>
      <c r="AD534" s="21" t="s">
        <v>283</v>
      </c>
      <c r="AE534" s="175">
        <f t="shared" si="272"/>
        <v>30</v>
      </c>
      <c r="AF534" s="183">
        <f t="shared" si="273"/>
        <v>27</v>
      </c>
      <c r="AG534" s="84">
        <f t="shared" si="274"/>
        <v>0.39750000000000002</v>
      </c>
      <c r="AH534" s="242">
        <f t="shared" si="275"/>
        <v>0.159</v>
      </c>
      <c r="AI534" s="76">
        <f t="shared" si="276"/>
        <v>1.5600000000000002E-3</v>
      </c>
      <c r="AJ534" s="181">
        <f t="shared" si="277"/>
        <v>5.5650000000000005E-2</v>
      </c>
      <c r="AK534" s="182">
        <f t="shared" si="278"/>
        <v>2.3077257367928001</v>
      </c>
      <c r="AM534" s="201">
        <f t="shared" si="263"/>
        <v>2.3649357367928001</v>
      </c>
      <c r="AN534" s="202">
        <f t="shared" si="281"/>
        <v>2.2960541133910679</v>
      </c>
      <c r="AO534" s="202">
        <f t="shared" si="281"/>
        <v>2.2291787508651146</v>
      </c>
      <c r="AP534" s="202">
        <f t="shared" si="282"/>
        <v>2.16425121443215</v>
      </c>
      <c r="AQ534" s="202">
        <f t="shared" si="282"/>
        <v>2.1012147712933498</v>
      </c>
      <c r="AR534" s="202">
        <f t="shared" si="282"/>
        <v>2.0400143410615046</v>
      </c>
      <c r="AS534" s="202">
        <f t="shared" si="282"/>
        <v>1.9805964476325288</v>
      </c>
      <c r="AT534" s="202">
        <f t="shared" si="282"/>
        <v>1.9229091724587657</v>
      </c>
      <c r="AU534" s="202">
        <f t="shared" si="282"/>
        <v>1.8669021091832678</v>
      </c>
      <c r="AV534" s="202">
        <f t="shared" si="282"/>
        <v>1.8125263195954056</v>
      </c>
      <c r="AW534" s="202">
        <f t="shared" si="282"/>
        <v>1.7597342908693259</v>
      </c>
      <c r="AX534" s="202">
        <f t="shared" si="282"/>
        <v>1.7084798940478891</v>
      </c>
      <c r="AY534" s="202">
        <f t="shared" si="282"/>
        <v>1.6587183437358151</v>
      </c>
      <c r="AZ534" s="202">
        <f t="shared" si="283"/>
        <v>1.6104061589668108</v>
      </c>
      <c r="BA534" s="202">
        <f t="shared" si="283"/>
        <v>1.5635011252104958</v>
      </c>
      <c r="BB534" s="202">
        <f t="shared" si="283"/>
        <v>1.517962257485918</v>
      </c>
      <c r="BC534" s="202">
        <f t="shared" si="283"/>
        <v>1.4737497645494353</v>
      </c>
      <c r="BD534" s="202">
        <f t="shared" si="283"/>
        <v>1.4308250141256653</v>
      </c>
      <c r="BE534" s="202">
        <f t="shared" si="283"/>
        <v>1.3891504991511314</v>
      </c>
      <c r="BF534" s="202">
        <f t="shared" si="283"/>
        <v>1.3486898050010985</v>
      </c>
      <c r="BG534" s="203">
        <f t="shared" si="264"/>
        <v>36.239800129849542</v>
      </c>
    </row>
    <row r="535" spans="27:59">
      <c r="AA535" s="180">
        <f t="shared" si="265"/>
        <v>3528000000</v>
      </c>
      <c r="AB535" s="41">
        <f t="shared" si="266"/>
        <v>4200</v>
      </c>
      <c r="AC535" s="21">
        <v>168</v>
      </c>
      <c r="AD535" s="21" t="s">
        <v>283</v>
      </c>
      <c r="AE535" s="175">
        <f t="shared" si="272"/>
        <v>30</v>
      </c>
      <c r="AF535" s="183">
        <f t="shared" si="273"/>
        <v>27</v>
      </c>
      <c r="AG535" s="84">
        <f t="shared" si="274"/>
        <v>0.39750000000000002</v>
      </c>
      <c r="AH535" s="242">
        <f t="shared" si="275"/>
        <v>0.159</v>
      </c>
      <c r="AI535" s="76">
        <f t="shared" si="276"/>
        <v>1.5600000000000002E-3</v>
      </c>
      <c r="AJ535" s="181">
        <f t="shared" si="277"/>
        <v>5.5650000000000005E-2</v>
      </c>
      <c r="AK535" s="182">
        <f t="shared" si="278"/>
        <v>2.3077257367928001</v>
      </c>
      <c r="AM535" s="201">
        <f t="shared" si="263"/>
        <v>2.3649357367928001</v>
      </c>
      <c r="AN535" s="202">
        <f t="shared" si="281"/>
        <v>2.2960541133910679</v>
      </c>
      <c r="AO535" s="202">
        <f t="shared" si="281"/>
        <v>2.2291787508651146</v>
      </c>
      <c r="AP535" s="202">
        <f t="shared" si="282"/>
        <v>2.16425121443215</v>
      </c>
      <c r="AQ535" s="202">
        <f t="shared" si="282"/>
        <v>2.1012147712933498</v>
      </c>
      <c r="AR535" s="202">
        <f t="shared" si="282"/>
        <v>2.0400143410615046</v>
      </c>
      <c r="AS535" s="202">
        <f t="shared" si="282"/>
        <v>1.9805964476325288</v>
      </c>
      <c r="AT535" s="202">
        <f t="shared" si="282"/>
        <v>1.9229091724587657</v>
      </c>
      <c r="AU535" s="202">
        <f t="shared" si="282"/>
        <v>1.8669021091832678</v>
      </c>
      <c r="AV535" s="202">
        <f t="shared" si="282"/>
        <v>1.8125263195954056</v>
      </c>
      <c r="AW535" s="202">
        <f t="shared" si="282"/>
        <v>1.7597342908693259</v>
      </c>
      <c r="AX535" s="202">
        <f t="shared" si="282"/>
        <v>1.7084798940478891</v>
      </c>
      <c r="AY535" s="202">
        <f t="shared" si="282"/>
        <v>1.6587183437358151</v>
      </c>
      <c r="AZ535" s="202">
        <f t="shared" si="283"/>
        <v>1.6104061589668108</v>
      </c>
      <c r="BA535" s="202">
        <f t="shared" si="283"/>
        <v>1.5635011252104958</v>
      </c>
      <c r="BB535" s="202">
        <f t="shared" si="283"/>
        <v>1.517962257485918</v>
      </c>
      <c r="BC535" s="202">
        <f t="shared" si="283"/>
        <v>1.4737497645494353</v>
      </c>
      <c r="BD535" s="202">
        <f t="shared" si="283"/>
        <v>1.4308250141256653</v>
      </c>
      <c r="BE535" s="202">
        <f t="shared" si="283"/>
        <v>1.3891504991511314</v>
      </c>
      <c r="BF535" s="202">
        <f t="shared" si="283"/>
        <v>1.3486898050010985</v>
      </c>
      <c r="BG535" s="203">
        <f t="shared" si="264"/>
        <v>36.239800129849542</v>
      </c>
    </row>
    <row r="536" spans="27:59">
      <c r="AA536" s="180">
        <f t="shared" si="265"/>
        <v>3549000000</v>
      </c>
      <c r="AB536" s="41">
        <f t="shared" si="266"/>
        <v>4225</v>
      </c>
      <c r="AC536" s="21">
        <v>169</v>
      </c>
      <c r="AD536" s="21" t="s">
        <v>283</v>
      </c>
      <c r="AE536" s="175">
        <f t="shared" si="272"/>
        <v>30</v>
      </c>
      <c r="AF536" s="183">
        <f t="shared" si="273"/>
        <v>27</v>
      </c>
      <c r="AG536" s="84">
        <f t="shared" si="274"/>
        <v>0.39750000000000002</v>
      </c>
      <c r="AH536" s="242">
        <f t="shared" si="275"/>
        <v>0.159</v>
      </c>
      <c r="AI536" s="76">
        <f t="shared" si="276"/>
        <v>1.5600000000000002E-3</v>
      </c>
      <c r="AJ536" s="181">
        <f t="shared" si="277"/>
        <v>5.5650000000000005E-2</v>
      </c>
      <c r="AK536" s="182">
        <f t="shared" si="278"/>
        <v>2.3077257367928001</v>
      </c>
      <c r="AM536" s="201">
        <f t="shared" si="263"/>
        <v>2.3649357367928001</v>
      </c>
      <c r="AN536" s="202">
        <f t="shared" si="281"/>
        <v>2.2960541133910679</v>
      </c>
      <c r="AO536" s="202">
        <f t="shared" si="281"/>
        <v>2.2291787508651146</v>
      </c>
      <c r="AP536" s="202">
        <f t="shared" si="282"/>
        <v>2.16425121443215</v>
      </c>
      <c r="AQ536" s="202">
        <f t="shared" si="282"/>
        <v>2.1012147712933498</v>
      </c>
      <c r="AR536" s="202">
        <f t="shared" si="282"/>
        <v>2.0400143410615046</v>
      </c>
      <c r="AS536" s="202">
        <f t="shared" si="282"/>
        <v>1.9805964476325288</v>
      </c>
      <c r="AT536" s="202">
        <f t="shared" si="282"/>
        <v>1.9229091724587657</v>
      </c>
      <c r="AU536" s="202">
        <f t="shared" si="282"/>
        <v>1.8669021091832678</v>
      </c>
      <c r="AV536" s="202">
        <f t="shared" si="282"/>
        <v>1.8125263195954056</v>
      </c>
      <c r="AW536" s="202">
        <f t="shared" si="282"/>
        <v>1.7597342908693259</v>
      </c>
      <c r="AX536" s="202">
        <f t="shared" si="282"/>
        <v>1.7084798940478891</v>
      </c>
      <c r="AY536" s="202">
        <f t="shared" si="282"/>
        <v>1.6587183437358151</v>
      </c>
      <c r="AZ536" s="202">
        <f t="shared" si="283"/>
        <v>1.6104061589668108</v>
      </c>
      <c r="BA536" s="202">
        <f t="shared" si="283"/>
        <v>1.5635011252104958</v>
      </c>
      <c r="BB536" s="202">
        <f t="shared" si="283"/>
        <v>1.517962257485918</v>
      </c>
      <c r="BC536" s="202">
        <f t="shared" si="283"/>
        <v>1.4737497645494353</v>
      </c>
      <c r="BD536" s="202">
        <f t="shared" si="283"/>
        <v>1.4308250141256653</v>
      </c>
      <c r="BE536" s="202">
        <f t="shared" si="283"/>
        <v>1.3891504991511314</v>
      </c>
      <c r="BF536" s="202">
        <f t="shared" si="283"/>
        <v>1.3486898050010985</v>
      </c>
      <c r="BG536" s="203">
        <f t="shared" si="264"/>
        <v>36.239800129849542</v>
      </c>
    </row>
    <row r="537" spans="27:59">
      <c r="AA537" s="180">
        <f t="shared" si="265"/>
        <v>3570000000</v>
      </c>
      <c r="AB537" s="41">
        <f t="shared" si="266"/>
        <v>4250</v>
      </c>
      <c r="AC537" s="21">
        <v>170</v>
      </c>
      <c r="AD537" s="21" t="s">
        <v>283</v>
      </c>
      <c r="AE537" s="175">
        <f t="shared" si="272"/>
        <v>30</v>
      </c>
      <c r="AF537" s="183">
        <f t="shared" si="273"/>
        <v>27</v>
      </c>
      <c r="AG537" s="84">
        <f t="shared" si="274"/>
        <v>0.39750000000000002</v>
      </c>
      <c r="AH537" s="242">
        <f t="shared" si="275"/>
        <v>0.159</v>
      </c>
      <c r="AI537" s="76">
        <f t="shared" si="276"/>
        <v>1.5600000000000002E-3</v>
      </c>
      <c r="AJ537" s="181">
        <f t="shared" si="277"/>
        <v>5.5650000000000005E-2</v>
      </c>
      <c r="AK537" s="182">
        <f t="shared" si="278"/>
        <v>2.3077257367928001</v>
      </c>
      <c r="AM537" s="201">
        <f t="shared" si="263"/>
        <v>2.3649357367928001</v>
      </c>
      <c r="AN537" s="202">
        <f t="shared" si="281"/>
        <v>2.2960541133910679</v>
      </c>
      <c r="AO537" s="202">
        <f t="shared" si="281"/>
        <v>2.2291787508651146</v>
      </c>
      <c r="AP537" s="202">
        <f t="shared" si="282"/>
        <v>2.16425121443215</v>
      </c>
      <c r="AQ537" s="202">
        <f t="shared" si="282"/>
        <v>2.1012147712933498</v>
      </c>
      <c r="AR537" s="202">
        <f t="shared" si="282"/>
        <v>2.0400143410615046</v>
      </c>
      <c r="AS537" s="202">
        <f t="shared" si="282"/>
        <v>1.9805964476325288</v>
      </c>
      <c r="AT537" s="202">
        <f t="shared" si="282"/>
        <v>1.9229091724587657</v>
      </c>
      <c r="AU537" s="202">
        <f t="shared" si="282"/>
        <v>1.8669021091832678</v>
      </c>
      <c r="AV537" s="202">
        <f t="shared" si="282"/>
        <v>1.8125263195954056</v>
      </c>
      <c r="AW537" s="202">
        <f t="shared" si="282"/>
        <v>1.7597342908693259</v>
      </c>
      <c r="AX537" s="202">
        <f t="shared" si="282"/>
        <v>1.7084798940478891</v>
      </c>
      <c r="AY537" s="202">
        <f t="shared" si="282"/>
        <v>1.6587183437358151</v>
      </c>
      <c r="AZ537" s="202">
        <f t="shared" si="283"/>
        <v>1.6104061589668108</v>
      </c>
      <c r="BA537" s="202">
        <f t="shared" si="283"/>
        <v>1.5635011252104958</v>
      </c>
      <c r="BB537" s="202">
        <f t="shared" si="283"/>
        <v>1.517962257485918</v>
      </c>
      <c r="BC537" s="202">
        <f t="shared" si="283"/>
        <v>1.4737497645494353</v>
      </c>
      <c r="BD537" s="202">
        <f t="shared" si="283"/>
        <v>1.4308250141256653</v>
      </c>
      <c r="BE537" s="202">
        <f t="shared" si="283"/>
        <v>1.3891504991511314</v>
      </c>
      <c r="BF537" s="202">
        <f t="shared" si="283"/>
        <v>1.3486898050010985</v>
      </c>
      <c r="BG537" s="203">
        <f t="shared" si="264"/>
        <v>36.239800129849542</v>
      </c>
    </row>
    <row r="538" spans="27:59">
      <c r="AA538" s="180">
        <f t="shared" si="265"/>
        <v>3591000000</v>
      </c>
      <c r="AB538" s="41">
        <f t="shared" si="266"/>
        <v>4275</v>
      </c>
      <c r="AC538" s="21">
        <v>171</v>
      </c>
      <c r="AD538" s="21" t="s">
        <v>283</v>
      </c>
      <c r="AE538" s="175">
        <f t="shared" si="272"/>
        <v>30</v>
      </c>
      <c r="AF538" s="183">
        <f t="shared" si="273"/>
        <v>27</v>
      </c>
      <c r="AG538" s="84">
        <f t="shared" si="274"/>
        <v>0.39750000000000002</v>
      </c>
      <c r="AH538" s="242">
        <f t="shared" si="275"/>
        <v>0.159</v>
      </c>
      <c r="AI538" s="76">
        <f t="shared" si="276"/>
        <v>1.5600000000000002E-3</v>
      </c>
      <c r="AJ538" s="181">
        <f t="shared" si="277"/>
        <v>5.5650000000000005E-2</v>
      </c>
      <c r="AK538" s="182">
        <f t="shared" si="278"/>
        <v>2.3077257367928001</v>
      </c>
      <c r="AM538" s="201">
        <f t="shared" si="263"/>
        <v>2.3649357367928001</v>
      </c>
      <c r="AN538" s="202">
        <f t="shared" si="281"/>
        <v>2.2960541133910679</v>
      </c>
      <c r="AO538" s="202">
        <f t="shared" si="281"/>
        <v>2.2291787508651146</v>
      </c>
      <c r="AP538" s="202">
        <f t="shared" ref="AP538:AY544" si="284">$AM538/POWER(1+($B$10/100),AP$366-2024)</f>
        <v>2.16425121443215</v>
      </c>
      <c r="AQ538" s="202">
        <f t="shared" si="284"/>
        <v>2.1012147712933498</v>
      </c>
      <c r="AR538" s="202">
        <f t="shared" si="284"/>
        <v>2.0400143410615046</v>
      </c>
      <c r="AS538" s="202">
        <f t="shared" si="284"/>
        <v>1.9805964476325288</v>
      </c>
      <c r="AT538" s="202">
        <f t="shared" si="284"/>
        <v>1.9229091724587657</v>
      </c>
      <c r="AU538" s="202">
        <f t="shared" si="284"/>
        <v>1.8669021091832678</v>
      </c>
      <c r="AV538" s="202">
        <f t="shared" si="284"/>
        <v>1.8125263195954056</v>
      </c>
      <c r="AW538" s="202">
        <f t="shared" si="284"/>
        <v>1.7597342908693259</v>
      </c>
      <c r="AX538" s="202">
        <f t="shared" si="284"/>
        <v>1.7084798940478891</v>
      </c>
      <c r="AY538" s="202">
        <f t="shared" si="284"/>
        <v>1.6587183437358151</v>
      </c>
      <c r="AZ538" s="202">
        <f t="shared" ref="AZ538:BF544" si="285">$AM538/POWER(1+($B$10/100),AZ$366-2024)</f>
        <v>1.6104061589668108</v>
      </c>
      <c r="BA538" s="202">
        <f t="shared" si="285"/>
        <v>1.5635011252104958</v>
      </c>
      <c r="BB538" s="202">
        <f t="shared" si="285"/>
        <v>1.517962257485918</v>
      </c>
      <c r="BC538" s="202">
        <f t="shared" si="285"/>
        <v>1.4737497645494353</v>
      </c>
      <c r="BD538" s="202">
        <f t="shared" si="285"/>
        <v>1.4308250141256653</v>
      </c>
      <c r="BE538" s="202">
        <f t="shared" si="285"/>
        <v>1.3891504991511314</v>
      </c>
      <c r="BF538" s="202">
        <f t="shared" si="285"/>
        <v>1.3486898050010985</v>
      </c>
      <c r="BG538" s="203">
        <f t="shared" si="264"/>
        <v>36.239800129849542</v>
      </c>
    </row>
    <row r="539" spans="27:59">
      <c r="AA539" s="180">
        <f t="shared" si="265"/>
        <v>3612000000</v>
      </c>
      <c r="AB539" s="41">
        <f t="shared" si="266"/>
        <v>4300</v>
      </c>
      <c r="AC539" s="21">
        <v>172</v>
      </c>
      <c r="AD539" s="21" t="s">
        <v>283</v>
      </c>
      <c r="AE539" s="175">
        <f t="shared" si="272"/>
        <v>30</v>
      </c>
      <c r="AF539" s="183">
        <f t="shared" si="273"/>
        <v>27</v>
      </c>
      <c r="AG539" s="84">
        <f t="shared" si="274"/>
        <v>0.39750000000000002</v>
      </c>
      <c r="AH539" s="242">
        <f t="shared" si="275"/>
        <v>0.159</v>
      </c>
      <c r="AI539" s="76">
        <f t="shared" si="276"/>
        <v>1.5600000000000002E-3</v>
      </c>
      <c r="AJ539" s="181">
        <f t="shared" si="277"/>
        <v>5.5650000000000005E-2</v>
      </c>
      <c r="AK539" s="182">
        <f t="shared" si="278"/>
        <v>2.3077257367928001</v>
      </c>
      <c r="AM539" s="201">
        <f t="shared" si="263"/>
        <v>2.3649357367928001</v>
      </c>
      <c r="AN539" s="202">
        <f t="shared" si="281"/>
        <v>2.2960541133910679</v>
      </c>
      <c r="AO539" s="202">
        <f t="shared" si="281"/>
        <v>2.2291787508651146</v>
      </c>
      <c r="AP539" s="202">
        <f t="shared" si="284"/>
        <v>2.16425121443215</v>
      </c>
      <c r="AQ539" s="202">
        <f t="shared" si="284"/>
        <v>2.1012147712933498</v>
      </c>
      <c r="AR539" s="202">
        <f t="shared" si="284"/>
        <v>2.0400143410615046</v>
      </c>
      <c r="AS539" s="202">
        <f t="shared" si="284"/>
        <v>1.9805964476325288</v>
      </c>
      <c r="AT539" s="202">
        <f t="shared" si="284"/>
        <v>1.9229091724587657</v>
      </c>
      <c r="AU539" s="202">
        <f t="shared" si="284"/>
        <v>1.8669021091832678</v>
      </c>
      <c r="AV539" s="202">
        <f t="shared" si="284"/>
        <v>1.8125263195954056</v>
      </c>
      <c r="AW539" s="202">
        <f t="shared" si="284"/>
        <v>1.7597342908693259</v>
      </c>
      <c r="AX539" s="202">
        <f t="shared" si="284"/>
        <v>1.7084798940478891</v>
      </c>
      <c r="AY539" s="202">
        <f t="shared" si="284"/>
        <v>1.6587183437358151</v>
      </c>
      <c r="AZ539" s="202">
        <f t="shared" si="285"/>
        <v>1.6104061589668108</v>
      </c>
      <c r="BA539" s="202">
        <f t="shared" si="285"/>
        <v>1.5635011252104958</v>
      </c>
      <c r="BB539" s="202">
        <f t="shared" si="285"/>
        <v>1.517962257485918</v>
      </c>
      <c r="BC539" s="202">
        <f t="shared" si="285"/>
        <v>1.4737497645494353</v>
      </c>
      <c r="BD539" s="202">
        <f t="shared" si="285"/>
        <v>1.4308250141256653</v>
      </c>
      <c r="BE539" s="202">
        <f t="shared" si="285"/>
        <v>1.3891504991511314</v>
      </c>
      <c r="BF539" s="202">
        <f t="shared" si="285"/>
        <v>1.3486898050010985</v>
      </c>
      <c r="BG539" s="203">
        <f t="shared" si="264"/>
        <v>36.239800129849542</v>
      </c>
    </row>
    <row r="540" spans="27:59">
      <c r="AA540" s="180">
        <f t="shared" si="265"/>
        <v>3633000000</v>
      </c>
      <c r="AB540" s="41">
        <f t="shared" si="266"/>
        <v>4325</v>
      </c>
      <c r="AC540" s="21">
        <v>173</v>
      </c>
      <c r="AD540" s="21" t="s">
        <v>283</v>
      </c>
      <c r="AE540" s="175">
        <f t="shared" si="272"/>
        <v>30</v>
      </c>
      <c r="AF540" s="183">
        <f t="shared" si="273"/>
        <v>27</v>
      </c>
      <c r="AG540" s="84">
        <f t="shared" si="274"/>
        <v>0.39750000000000002</v>
      </c>
      <c r="AH540" s="242">
        <f t="shared" si="275"/>
        <v>0.159</v>
      </c>
      <c r="AI540" s="76">
        <f t="shared" si="276"/>
        <v>1.5600000000000002E-3</v>
      </c>
      <c r="AJ540" s="181">
        <f t="shared" si="277"/>
        <v>5.5650000000000005E-2</v>
      </c>
      <c r="AK540" s="182">
        <f t="shared" si="278"/>
        <v>2.3077257367928001</v>
      </c>
      <c r="AM540" s="201">
        <f t="shared" si="263"/>
        <v>2.3649357367928001</v>
      </c>
      <c r="AN540" s="202">
        <f t="shared" si="281"/>
        <v>2.2960541133910679</v>
      </c>
      <c r="AO540" s="202">
        <f t="shared" si="281"/>
        <v>2.2291787508651146</v>
      </c>
      <c r="AP540" s="202">
        <f t="shared" si="284"/>
        <v>2.16425121443215</v>
      </c>
      <c r="AQ540" s="202">
        <f t="shared" si="284"/>
        <v>2.1012147712933498</v>
      </c>
      <c r="AR540" s="202">
        <f t="shared" si="284"/>
        <v>2.0400143410615046</v>
      </c>
      <c r="AS540" s="202">
        <f t="shared" si="284"/>
        <v>1.9805964476325288</v>
      </c>
      <c r="AT540" s="202">
        <f t="shared" si="284"/>
        <v>1.9229091724587657</v>
      </c>
      <c r="AU540" s="202">
        <f t="shared" si="284"/>
        <v>1.8669021091832678</v>
      </c>
      <c r="AV540" s="202">
        <f t="shared" si="284"/>
        <v>1.8125263195954056</v>
      </c>
      <c r="AW540" s="202">
        <f t="shared" si="284"/>
        <v>1.7597342908693259</v>
      </c>
      <c r="AX540" s="202">
        <f t="shared" si="284"/>
        <v>1.7084798940478891</v>
      </c>
      <c r="AY540" s="202">
        <f t="shared" si="284"/>
        <v>1.6587183437358151</v>
      </c>
      <c r="AZ540" s="202">
        <f t="shared" si="285"/>
        <v>1.6104061589668108</v>
      </c>
      <c r="BA540" s="202">
        <f t="shared" si="285"/>
        <v>1.5635011252104958</v>
      </c>
      <c r="BB540" s="202">
        <f t="shared" si="285"/>
        <v>1.517962257485918</v>
      </c>
      <c r="BC540" s="202">
        <f t="shared" si="285"/>
        <v>1.4737497645494353</v>
      </c>
      <c r="BD540" s="202">
        <f t="shared" si="285"/>
        <v>1.4308250141256653</v>
      </c>
      <c r="BE540" s="202">
        <f t="shared" si="285"/>
        <v>1.3891504991511314</v>
      </c>
      <c r="BF540" s="202">
        <f t="shared" si="285"/>
        <v>1.3486898050010985</v>
      </c>
      <c r="BG540" s="203">
        <f t="shared" si="264"/>
        <v>36.239800129849542</v>
      </c>
    </row>
    <row r="541" spans="27:59">
      <c r="AA541" s="180">
        <f t="shared" si="265"/>
        <v>3654000000</v>
      </c>
      <c r="AB541" s="41">
        <f t="shared" si="266"/>
        <v>4350</v>
      </c>
      <c r="AC541" s="21">
        <v>174</v>
      </c>
      <c r="AD541" s="21" t="s">
        <v>283</v>
      </c>
      <c r="AE541" s="175">
        <f t="shared" si="272"/>
        <v>30</v>
      </c>
      <c r="AF541" s="183">
        <f t="shared" si="273"/>
        <v>27</v>
      </c>
      <c r="AG541" s="84">
        <f t="shared" si="274"/>
        <v>0.39750000000000002</v>
      </c>
      <c r="AH541" s="242">
        <f t="shared" si="275"/>
        <v>0.159</v>
      </c>
      <c r="AI541" s="76">
        <f t="shared" si="276"/>
        <v>1.5600000000000002E-3</v>
      </c>
      <c r="AJ541" s="181">
        <f t="shared" si="277"/>
        <v>5.5650000000000005E-2</v>
      </c>
      <c r="AK541" s="182">
        <f t="shared" si="278"/>
        <v>2.3077257367928001</v>
      </c>
      <c r="AM541" s="201">
        <f t="shared" si="263"/>
        <v>2.3649357367928001</v>
      </c>
      <c r="AN541" s="202">
        <f t="shared" si="281"/>
        <v>2.2960541133910679</v>
      </c>
      <c r="AO541" s="202">
        <f t="shared" si="281"/>
        <v>2.2291787508651146</v>
      </c>
      <c r="AP541" s="202">
        <f t="shared" si="284"/>
        <v>2.16425121443215</v>
      </c>
      <c r="AQ541" s="202">
        <f t="shared" si="284"/>
        <v>2.1012147712933498</v>
      </c>
      <c r="AR541" s="202">
        <f t="shared" si="284"/>
        <v>2.0400143410615046</v>
      </c>
      <c r="AS541" s="202">
        <f t="shared" si="284"/>
        <v>1.9805964476325288</v>
      </c>
      <c r="AT541" s="202">
        <f t="shared" si="284"/>
        <v>1.9229091724587657</v>
      </c>
      <c r="AU541" s="202">
        <f t="shared" si="284"/>
        <v>1.8669021091832678</v>
      </c>
      <c r="AV541" s="202">
        <f t="shared" si="284"/>
        <v>1.8125263195954056</v>
      </c>
      <c r="AW541" s="202">
        <f t="shared" si="284"/>
        <v>1.7597342908693259</v>
      </c>
      <c r="AX541" s="202">
        <f t="shared" si="284"/>
        <v>1.7084798940478891</v>
      </c>
      <c r="AY541" s="202">
        <f t="shared" si="284"/>
        <v>1.6587183437358151</v>
      </c>
      <c r="AZ541" s="202">
        <f t="shared" si="285"/>
        <v>1.6104061589668108</v>
      </c>
      <c r="BA541" s="202">
        <f t="shared" si="285"/>
        <v>1.5635011252104958</v>
      </c>
      <c r="BB541" s="202">
        <f t="shared" si="285"/>
        <v>1.517962257485918</v>
      </c>
      <c r="BC541" s="202">
        <f t="shared" si="285"/>
        <v>1.4737497645494353</v>
      </c>
      <c r="BD541" s="202">
        <f t="shared" si="285"/>
        <v>1.4308250141256653</v>
      </c>
      <c r="BE541" s="202">
        <f t="shared" si="285"/>
        <v>1.3891504991511314</v>
      </c>
      <c r="BF541" s="202">
        <f t="shared" si="285"/>
        <v>1.3486898050010985</v>
      </c>
      <c r="BG541" s="203">
        <f t="shared" si="264"/>
        <v>36.239800129849542</v>
      </c>
    </row>
    <row r="542" spans="27:59">
      <c r="AA542" s="180">
        <f t="shared" si="265"/>
        <v>3675000000</v>
      </c>
      <c r="AB542" s="41">
        <f t="shared" si="266"/>
        <v>4375</v>
      </c>
      <c r="AC542" s="21">
        <v>175</v>
      </c>
      <c r="AD542" s="21" t="s">
        <v>283</v>
      </c>
      <c r="AE542" s="175">
        <f t="shared" si="272"/>
        <v>30</v>
      </c>
      <c r="AF542" s="183">
        <f t="shared" si="273"/>
        <v>27</v>
      </c>
      <c r="AG542" s="84">
        <f t="shared" si="274"/>
        <v>0.39750000000000002</v>
      </c>
      <c r="AH542" s="242">
        <f t="shared" si="275"/>
        <v>0.159</v>
      </c>
      <c r="AI542" s="76">
        <f t="shared" si="276"/>
        <v>1.5600000000000002E-3</v>
      </c>
      <c r="AJ542" s="181">
        <f t="shared" si="277"/>
        <v>5.5650000000000005E-2</v>
      </c>
      <c r="AK542" s="182">
        <f t="shared" si="278"/>
        <v>2.3077257367928001</v>
      </c>
      <c r="AM542" s="201">
        <f t="shared" si="263"/>
        <v>2.3649357367928001</v>
      </c>
      <c r="AN542" s="202">
        <f t="shared" si="281"/>
        <v>2.2960541133910679</v>
      </c>
      <c r="AO542" s="202">
        <f t="shared" si="281"/>
        <v>2.2291787508651146</v>
      </c>
      <c r="AP542" s="202">
        <f t="shared" si="284"/>
        <v>2.16425121443215</v>
      </c>
      <c r="AQ542" s="202">
        <f t="shared" si="284"/>
        <v>2.1012147712933498</v>
      </c>
      <c r="AR542" s="202">
        <f t="shared" si="284"/>
        <v>2.0400143410615046</v>
      </c>
      <c r="AS542" s="202">
        <f t="shared" si="284"/>
        <v>1.9805964476325288</v>
      </c>
      <c r="AT542" s="202">
        <f t="shared" si="284"/>
        <v>1.9229091724587657</v>
      </c>
      <c r="AU542" s="202">
        <f t="shared" si="284"/>
        <v>1.8669021091832678</v>
      </c>
      <c r="AV542" s="202">
        <f t="shared" si="284"/>
        <v>1.8125263195954056</v>
      </c>
      <c r="AW542" s="202">
        <f t="shared" si="284"/>
        <v>1.7597342908693259</v>
      </c>
      <c r="AX542" s="202">
        <f t="shared" si="284"/>
        <v>1.7084798940478891</v>
      </c>
      <c r="AY542" s="202">
        <f t="shared" si="284"/>
        <v>1.6587183437358151</v>
      </c>
      <c r="AZ542" s="202">
        <f t="shared" si="285"/>
        <v>1.6104061589668108</v>
      </c>
      <c r="BA542" s="202">
        <f t="shared" si="285"/>
        <v>1.5635011252104958</v>
      </c>
      <c r="BB542" s="202">
        <f t="shared" si="285"/>
        <v>1.517962257485918</v>
      </c>
      <c r="BC542" s="202">
        <f t="shared" si="285"/>
        <v>1.4737497645494353</v>
      </c>
      <c r="BD542" s="202">
        <f t="shared" si="285"/>
        <v>1.4308250141256653</v>
      </c>
      <c r="BE542" s="202">
        <f t="shared" si="285"/>
        <v>1.3891504991511314</v>
      </c>
      <c r="BF542" s="202">
        <f t="shared" si="285"/>
        <v>1.3486898050010985</v>
      </c>
      <c r="BG542" s="203">
        <f t="shared" si="264"/>
        <v>36.239800129849542</v>
      </c>
    </row>
    <row r="543" spans="27:59" ht="15" thickBot="1">
      <c r="AA543" s="180">
        <f t="shared" si="265"/>
        <v>3696000000</v>
      </c>
      <c r="AB543" s="41">
        <f t="shared" si="266"/>
        <v>4400</v>
      </c>
      <c r="AC543" s="21">
        <v>176</v>
      </c>
      <c r="AD543" s="21" t="s">
        <v>283</v>
      </c>
      <c r="AE543" s="175">
        <f t="shared" si="272"/>
        <v>30</v>
      </c>
      <c r="AF543" s="183">
        <f t="shared" si="273"/>
        <v>27</v>
      </c>
      <c r="AG543" s="84">
        <f t="shared" si="274"/>
        <v>0.39750000000000002</v>
      </c>
      <c r="AH543" s="242">
        <f t="shared" si="275"/>
        <v>0.159</v>
      </c>
      <c r="AI543" s="76">
        <f t="shared" si="276"/>
        <v>1.5600000000000002E-3</v>
      </c>
      <c r="AJ543" s="181">
        <f t="shared" si="277"/>
        <v>5.5650000000000005E-2</v>
      </c>
      <c r="AK543" s="182">
        <f t="shared" si="278"/>
        <v>2.3077257367928001</v>
      </c>
      <c r="AM543" s="204">
        <f t="shared" si="263"/>
        <v>2.3649357367928001</v>
      </c>
      <c r="AN543" s="205">
        <f t="shared" si="281"/>
        <v>2.2960541133910679</v>
      </c>
      <c r="AO543" s="205">
        <f t="shared" si="281"/>
        <v>2.2291787508651146</v>
      </c>
      <c r="AP543" s="205">
        <f t="shared" si="284"/>
        <v>2.16425121443215</v>
      </c>
      <c r="AQ543" s="205">
        <f t="shared" si="284"/>
        <v>2.1012147712933498</v>
      </c>
      <c r="AR543" s="205">
        <f t="shared" si="284"/>
        <v>2.0400143410615046</v>
      </c>
      <c r="AS543" s="205">
        <f t="shared" si="284"/>
        <v>1.9805964476325288</v>
      </c>
      <c r="AT543" s="205">
        <f t="shared" si="284"/>
        <v>1.9229091724587657</v>
      </c>
      <c r="AU543" s="205">
        <f t="shared" si="284"/>
        <v>1.8669021091832678</v>
      </c>
      <c r="AV543" s="205">
        <f t="shared" si="284"/>
        <v>1.8125263195954056</v>
      </c>
      <c r="AW543" s="205">
        <f t="shared" si="284"/>
        <v>1.7597342908693259</v>
      </c>
      <c r="AX543" s="205">
        <f t="shared" si="284"/>
        <v>1.7084798940478891</v>
      </c>
      <c r="AY543" s="205">
        <f t="shared" si="284"/>
        <v>1.6587183437358151</v>
      </c>
      <c r="AZ543" s="205">
        <f t="shared" si="285"/>
        <v>1.6104061589668108</v>
      </c>
      <c r="BA543" s="205">
        <f t="shared" si="285"/>
        <v>1.5635011252104958</v>
      </c>
      <c r="BB543" s="205">
        <f t="shared" si="285"/>
        <v>1.517962257485918</v>
      </c>
      <c r="BC543" s="205">
        <f t="shared" si="285"/>
        <v>1.4737497645494353</v>
      </c>
      <c r="BD543" s="205">
        <f t="shared" si="285"/>
        <v>1.4308250141256653</v>
      </c>
      <c r="BE543" s="205">
        <f t="shared" si="285"/>
        <v>1.3891504991511314</v>
      </c>
      <c r="BF543" s="205">
        <f t="shared" si="285"/>
        <v>1.3486898050010985</v>
      </c>
      <c r="BG543" s="206">
        <f t="shared" si="264"/>
        <v>36.239800129849542</v>
      </c>
    </row>
    <row r="544" spans="27:59" ht="15" thickBot="1">
      <c r="AA544" s="188">
        <f t="shared" si="265"/>
        <v>3717000000</v>
      </c>
      <c r="AB544" s="40">
        <f t="shared" si="266"/>
        <v>4425</v>
      </c>
      <c r="AC544" s="81">
        <v>177</v>
      </c>
      <c r="AD544" s="81" t="s">
        <v>283</v>
      </c>
      <c r="AE544" s="177">
        <f t="shared" si="272"/>
        <v>30</v>
      </c>
      <c r="AF544" s="184">
        <f t="shared" si="273"/>
        <v>27</v>
      </c>
      <c r="AG544" s="86">
        <f t="shared" si="274"/>
        <v>0.39750000000000002</v>
      </c>
      <c r="AH544" s="243">
        <f t="shared" si="275"/>
        <v>0.159</v>
      </c>
      <c r="AI544" s="82">
        <f t="shared" si="276"/>
        <v>1.5600000000000002E-3</v>
      </c>
      <c r="AJ544" s="186">
        <f t="shared" si="277"/>
        <v>5.5650000000000005E-2</v>
      </c>
      <c r="AK544" s="187">
        <f t="shared" si="278"/>
        <v>2.3077257367928001</v>
      </c>
      <c r="AM544" s="233">
        <f t="shared" si="263"/>
        <v>2.3649357367928001</v>
      </c>
      <c r="AN544" s="234">
        <f t="shared" si="281"/>
        <v>2.2960541133910679</v>
      </c>
      <c r="AO544" s="234">
        <f t="shared" si="281"/>
        <v>2.2291787508651146</v>
      </c>
      <c r="AP544" s="234">
        <f t="shared" si="284"/>
        <v>2.16425121443215</v>
      </c>
      <c r="AQ544" s="234">
        <f t="shared" si="284"/>
        <v>2.1012147712933498</v>
      </c>
      <c r="AR544" s="234">
        <f t="shared" si="284"/>
        <v>2.0400143410615046</v>
      </c>
      <c r="AS544" s="234">
        <f t="shared" si="284"/>
        <v>1.9805964476325288</v>
      </c>
      <c r="AT544" s="234">
        <f t="shared" si="284"/>
        <v>1.9229091724587657</v>
      </c>
      <c r="AU544" s="234">
        <f t="shared" si="284"/>
        <v>1.8669021091832678</v>
      </c>
      <c r="AV544" s="234">
        <f t="shared" si="284"/>
        <v>1.8125263195954056</v>
      </c>
      <c r="AW544" s="234">
        <f t="shared" si="284"/>
        <v>1.7597342908693259</v>
      </c>
      <c r="AX544" s="234">
        <f t="shared" si="284"/>
        <v>1.7084798940478891</v>
      </c>
      <c r="AY544" s="234">
        <f t="shared" si="284"/>
        <v>1.6587183437358151</v>
      </c>
      <c r="AZ544" s="234">
        <f t="shared" si="285"/>
        <v>1.6104061589668108</v>
      </c>
      <c r="BA544" s="234">
        <f t="shared" si="285"/>
        <v>1.5635011252104958</v>
      </c>
      <c r="BB544" s="234">
        <f t="shared" si="285"/>
        <v>1.517962257485918</v>
      </c>
      <c r="BC544" s="234">
        <f t="shared" si="285"/>
        <v>1.4737497645494353</v>
      </c>
      <c r="BD544" s="234">
        <f t="shared" si="285"/>
        <v>1.4308250141256653</v>
      </c>
      <c r="BE544" s="234">
        <f t="shared" si="285"/>
        <v>1.3891504991511314</v>
      </c>
      <c r="BF544" s="234">
        <f t="shared" si="285"/>
        <v>1.3486898050010985</v>
      </c>
      <c r="BG544" s="235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topLeftCell="A9" zoomScaleNormal="100" workbookViewId="0">
      <selection activeCell="E28" sqref="E28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493" t="s">
        <v>407</v>
      </c>
      <c r="B1" s="493"/>
      <c r="C1" s="493"/>
      <c r="D1" s="493"/>
      <c r="AB1" s="492" t="s">
        <v>398</v>
      </c>
      <c r="AC1" s="492"/>
      <c r="AD1" s="492"/>
      <c r="AE1" s="492"/>
      <c r="AF1" s="492"/>
      <c r="AG1" s="492"/>
      <c r="AH1" s="492"/>
      <c r="AI1" s="492"/>
      <c r="AJ1" s="492"/>
      <c r="AK1" s="492"/>
    </row>
    <row r="2" spans="1:38">
      <c r="A2" s="66" t="s">
        <v>272</v>
      </c>
      <c r="B2" s="63" t="s">
        <v>9</v>
      </c>
      <c r="C2" s="63" t="s">
        <v>8</v>
      </c>
      <c r="D2" s="64" t="s">
        <v>273</v>
      </c>
      <c r="AB2" s="238" t="s">
        <v>261</v>
      </c>
      <c r="AC2" s="210" t="s">
        <v>390</v>
      </c>
      <c r="AD2" s="210" t="s">
        <v>274</v>
      </c>
      <c r="AE2" s="210" t="s">
        <v>242</v>
      </c>
      <c r="AF2" s="210" t="s">
        <v>402</v>
      </c>
      <c r="AG2" s="210" t="s">
        <v>403</v>
      </c>
      <c r="AH2" s="210" t="s">
        <v>404</v>
      </c>
      <c r="AI2" s="210" t="s">
        <v>323</v>
      </c>
      <c r="AJ2" s="210" t="s">
        <v>361</v>
      </c>
      <c r="AK2" s="210" t="s">
        <v>362</v>
      </c>
      <c r="AL2" s="211" t="s">
        <v>405</v>
      </c>
    </row>
    <row r="3" spans="1:38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7">
        <v>0</v>
      </c>
    </row>
    <row r="4" spans="1:38">
      <c r="A4" s="65" t="s">
        <v>284</v>
      </c>
      <c r="B4" s="25">
        <v>100</v>
      </c>
      <c r="C4" s="25" t="s">
        <v>282</v>
      </c>
      <c r="D4" s="54" t="s">
        <v>72</v>
      </c>
      <c r="AB4" s="180">
        <f>($AB$6/3)*AC4</f>
        <v>21000000</v>
      </c>
      <c r="AC4" s="15">
        <f>AD4</f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7">
        <f>IFERROR((AF4-AF3)/(AB4-AB3),0)*1000000</f>
        <v>72.30605683726462</v>
      </c>
    </row>
    <row r="5" spans="1:38">
      <c r="A5" s="65" t="s">
        <v>269</v>
      </c>
      <c r="B5" s="25">
        <v>0.5</v>
      </c>
      <c r="C5" s="25" t="s">
        <v>282</v>
      </c>
      <c r="D5" s="54" t="s">
        <v>72</v>
      </c>
      <c r="AB5" s="180">
        <f>($AB$6/3)*AC5</f>
        <v>42000000</v>
      </c>
      <c r="AC5" s="15">
        <f t="shared" ref="AC5:AC55" si="2">AD5</f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7">
        <f t="shared" ref="AL5:AL11" si="5">IFERROR((AF5-AF4)/(AB5-AB4),0)*1000000</f>
        <v>20.663598879970312</v>
      </c>
    </row>
    <row r="6" spans="1:38">
      <c r="A6" s="65" t="s">
        <v>285</v>
      </c>
      <c r="B6" s="25">
        <v>0.02</v>
      </c>
      <c r="C6" s="25" t="s">
        <v>286</v>
      </c>
      <c r="D6" s="54" t="s">
        <v>72</v>
      </c>
      <c r="AB6" s="180">
        <v>63000000</v>
      </c>
      <c r="AC6" s="15">
        <f t="shared" si="2"/>
        <v>3</v>
      </c>
      <c r="AD6" s="15">
        <v>3</v>
      </c>
      <c r="AE6" s="15" t="s">
        <v>314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7">
        <f t="shared" si="5"/>
        <v>20.663598879970323</v>
      </c>
    </row>
    <row r="7" spans="1:38">
      <c r="A7" s="65" t="s">
        <v>287</v>
      </c>
      <c r="B7" s="25">
        <v>0.11799999999999999</v>
      </c>
      <c r="C7" s="25" t="s">
        <v>288</v>
      </c>
      <c r="D7" s="54" t="s">
        <v>73</v>
      </c>
      <c r="AB7" s="180">
        <f t="shared" ref="AB7:AB38" si="8">AB6+$AB$4</f>
        <v>84000000</v>
      </c>
      <c r="AC7" s="15">
        <f t="shared" si="2"/>
        <v>4</v>
      </c>
      <c r="AD7" s="15">
        <v>4</v>
      </c>
      <c r="AE7" s="15" t="s">
        <v>314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7">
        <f t="shared" si="5"/>
        <v>20.663598879970323</v>
      </c>
    </row>
    <row r="8" spans="1:38">
      <c r="A8" s="65" t="s">
        <v>289</v>
      </c>
      <c r="B8" s="25">
        <v>10</v>
      </c>
      <c r="C8" s="25" t="s">
        <v>290</v>
      </c>
      <c r="D8" s="54" t="s">
        <v>73</v>
      </c>
      <c r="AB8" s="180">
        <f t="shared" si="8"/>
        <v>105000000</v>
      </c>
      <c r="AC8" s="15">
        <f t="shared" si="2"/>
        <v>5</v>
      </c>
      <c r="AD8" s="15">
        <v>5</v>
      </c>
      <c r="AE8" s="15" t="s">
        <v>314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7">
        <f t="shared" si="5"/>
        <v>20.663598879970301</v>
      </c>
    </row>
    <row r="9" spans="1:38">
      <c r="A9" s="65" t="s">
        <v>270</v>
      </c>
      <c r="B9" s="25">
        <v>0.19</v>
      </c>
      <c r="C9" s="25" t="s">
        <v>291</v>
      </c>
      <c r="D9" s="54" t="s">
        <v>73</v>
      </c>
      <c r="AB9" s="180">
        <f t="shared" si="8"/>
        <v>126000000</v>
      </c>
      <c r="AC9" s="15">
        <f t="shared" si="2"/>
        <v>6</v>
      </c>
      <c r="AD9" s="15">
        <v>6</v>
      </c>
      <c r="AE9" s="15" t="s">
        <v>314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7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292</v>
      </c>
      <c r="D10" s="73" t="s">
        <v>10</v>
      </c>
      <c r="AB10" s="180">
        <f t="shared" si="8"/>
        <v>147000000</v>
      </c>
      <c r="AC10" s="15">
        <f t="shared" si="2"/>
        <v>7</v>
      </c>
      <c r="AD10" s="15">
        <v>7</v>
      </c>
      <c r="AE10" s="15" t="s">
        <v>314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7">
        <f t="shared" si="5"/>
        <v>20.663598879970301</v>
      </c>
    </row>
    <row r="11" spans="1:38">
      <c r="AB11" s="180">
        <f t="shared" si="8"/>
        <v>168000000</v>
      </c>
      <c r="AC11" s="15">
        <f t="shared" si="2"/>
        <v>8</v>
      </c>
      <c r="AD11" s="15">
        <v>8</v>
      </c>
      <c r="AE11" s="15" t="s">
        <v>314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7">
        <f t="shared" si="5"/>
        <v>20.663598879970344</v>
      </c>
    </row>
    <row r="12" spans="1:38">
      <c r="AB12" s="180">
        <f t="shared" si="8"/>
        <v>189000000</v>
      </c>
      <c r="AC12" s="15">
        <f t="shared" si="2"/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7">
        <f>IFERROR((AF12-AF11)/(AB12-AB11),0)*1000000</f>
        <v>20.663598879970301</v>
      </c>
    </row>
    <row r="13" spans="1:38">
      <c r="A13" s="28" t="s">
        <v>4</v>
      </c>
      <c r="AB13" s="180">
        <f t="shared" si="8"/>
        <v>210000000</v>
      </c>
      <c r="AC13" s="15">
        <f t="shared" si="2"/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7">
        <f t="shared" ref="AL13:AL17" si="9">IFERROR((AF13-AF12)/(AB13-AB12),0)*1000000</f>
        <v>20.663598879970344</v>
      </c>
    </row>
    <row r="14" spans="1:38">
      <c r="A14" s="2" t="s">
        <v>293</v>
      </c>
      <c r="AB14" s="180">
        <f t="shared" si="8"/>
        <v>231000000</v>
      </c>
      <c r="AC14" s="15">
        <f t="shared" si="2"/>
        <v>11</v>
      </c>
      <c r="AD14" s="15">
        <v>11</v>
      </c>
      <c r="AE14" s="15" t="s">
        <v>314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7">
        <f t="shared" si="9"/>
        <v>20.663598879970301</v>
      </c>
    </row>
    <row r="15" spans="1:38">
      <c r="A15" s="2" t="s">
        <v>294</v>
      </c>
      <c r="AB15" s="180">
        <f t="shared" si="8"/>
        <v>252000000</v>
      </c>
      <c r="AC15" s="15">
        <f t="shared" si="2"/>
        <v>12</v>
      </c>
      <c r="AD15" s="15">
        <v>12</v>
      </c>
      <c r="AE15" s="15" t="s">
        <v>314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7">
        <f t="shared" si="9"/>
        <v>20.663598879970301</v>
      </c>
    </row>
    <row r="16" spans="1:38">
      <c r="A16" s="2" t="s">
        <v>295</v>
      </c>
      <c r="AB16" s="180">
        <f t="shared" si="8"/>
        <v>273000000</v>
      </c>
      <c r="AC16" s="15">
        <f t="shared" si="2"/>
        <v>13</v>
      </c>
      <c r="AD16" s="15">
        <v>13</v>
      </c>
      <c r="AE16" s="15" t="s">
        <v>314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7">
        <f t="shared" si="9"/>
        <v>20.663598879970301</v>
      </c>
    </row>
    <row r="17" spans="1:63">
      <c r="A17" s="2" t="s">
        <v>296</v>
      </c>
      <c r="AB17" s="180">
        <f t="shared" si="8"/>
        <v>294000000</v>
      </c>
      <c r="AC17" s="15">
        <f t="shared" si="2"/>
        <v>14</v>
      </c>
      <c r="AD17" s="15">
        <v>14</v>
      </c>
      <c r="AE17" s="15" t="s">
        <v>314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7">
        <f t="shared" si="9"/>
        <v>20.663598879970301</v>
      </c>
    </row>
    <row r="18" spans="1:63">
      <c r="A18" s="2" t="s">
        <v>360</v>
      </c>
      <c r="AB18" s="180">
        <f t="shared" si="8"/>
        <v>315000000</v>
      </c>
      <c r="AC18" s="15">
        <f t="shared" si="2"/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7">
        <f>IFERROR((AF18-AF17)/(AB18-AB17),0)*1000000</f>
        <v>20.663598879970301</v>
      </c>
    </row>
    <row r="19" spans="1:63">
      <c r="A19" s="2" t="s">
        <v>297</v>
      </c>
      <c r="AB19" s="180">
        <f t="shared" si="8"/>
        <v>336000000</v>
      </c>
      <c r="AC19" s="15">
        <f t="shared" si="2"/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7">
        <f t="shared" ref="AL19:AL23" si="11">IFERROR((AF19-AF18)/(AB19-AB18),0)*1000000</f>
        <v>20.663598879970301</v>
      </c>
    </row>
    <row r="20" spans="1:63">
      <c r="A20" s="2" t="s">
        <v>298</v>
      </c>
      <c r="AB20" s="180">
        <f t="shared" si="8"/>
        <v>357000000</v>
      </c>
      <c r="AC20" s="15">
        <f t="shared" si="2"/>
        <v>17</v>
      </c>
      <c r="AD20" s="15">
        <v>17</v>
      </c>
      <c r="AE20" s="15" t="s">
        <v>314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7">
        <f t="shared" si="11"/>
        <v>20.663598879970259</v>
      </c>
    </row>
    <row r="21" spans="1:63">
      <c r="A21" s="2" t="s">
        <v>365</v>
      </c>
      <c r="AB21" s="180">
        <f t="shared" si="8"/>
        <v>378000000</v>
      </c>
      <c r="AC21" s="15">
        <f t="shared" si="2"/>
        <v>18</v>
      </c>
      <c r="AD21" s="15">
        <v>18</v>
      </c>
      <c r="AE21" s="15" t="s">
        <v>314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7">
        <f t="shared" si="11"/>
        <v>20.663598879970301</v>
      </c>
    </row>
    <row r="22" spans="1:63">
      <c r="AB22" s="180">
        <f t="shared" si="8"/>
        <v>399000000</v>
      </c>
      <c r="AC22" s="15">
        <f t="shared" si="2"/>
        <v>19</v>
      </c>
      <c r="AD22" s="15">
        <v>19</v>
      </c>
      <c r="AE22" s="15" t="s">
        <v>314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7">
        <f t="shared" si="11"/>
        <v>20.663598879970301</v>
      </c>
    </row>
    <row r="23" spans="1:63" ht="14.4" thickBot="1">
      <c r="A23" s="493" t="s">
        <v>408</v>
      </c>
      <c r="B23" s="493"/>
      <c r="C23" s="493"/>
      <c r="D23" s="493"/>
      <c r="AB23" s="180">
        <f t="shared" si="8"/>
        <v>420000000</v>
      </c>
      <c r="AC23" s="15">
        <f t="shared" si="2"/>
        <v>20</v>
      </c>
      <c r="AD23" s="15">
        <v>20</v>
      </c>
      <c r="AE23" s="15" t="s">
        <v>314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7">
        <f t="shared" si="11"/>
        <v>20.663598879970301</v>
      </c>
    </row>
    <row r="24" spans="1:63" ht="14.4" customHeight="1">
      <c r="A24" s="164" t="s">
        <v>300</v>
      </c>
      <c r="B24" s="165" t="s">
        <v>301</v>
      </c>
      <c r="C24" s="165" t="s">
        <v>271</v>
      </c>
      <c r="D24" s="166" t="s">
        <v>302</v>
      </c>
      <c r="AB24" s="180">
        <f t="shared" si="8"/>
        <v>441000000</v>
      </c>
      <c r="AC24" s="15">
        <f t="shared" si="2"/>
        <v>21</v>
      </c>
      <c r="AD24" s="15">
        <v>21</v>
      </c>
      <c r="AE24" s="15" t="s">
        <v>314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7">
        <f t="shared" ref="AL24:AL55" si="14">IFERROR((AF24-AF23)/(AB24-AB23),0)*1000000</f>
        <v>20.663598879970301</v>
      </c>
      <c r="AM24"/>
      <c r="AN24" s="9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303</v>
      </c>
      <c r="B25" s="21">
        <v>12</v>
      </c>
      <c r="C25" s="21">
        <v>3236</v>
      </c>
      <c r="D25" s="193">
        <f>B25/C25</f>
        <v>3.708281829419036E-3</v>
      </c>
      <c r="AB25" s="180">
        <f t="shared" si="8"/>
        <v>462000000</v>
      </c>
      <c r="AC25" s="15">
        <f t="shared" si="2"/>
        <v>22</v>
      </c>
      <c r="AD25" s="15">
        <v>22</v>
      </c>
      <c r="AE25" s="15" t="s">
        <v>314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7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304</v>
      </c>
      <c r="B26" s="21">
        <v>44</v>
      </c>
      <c r="C26" s="21">
        <v>630</v>
      </c>
      <c r="D26" s="193">
        <f>B26/C26</f>
        <v>6.9841269841269843E-2</v>
      </c>
      <c r="AB26" s="180">
        <f t="shared" si="8"/>
        <v>483000000</v>
      </c>
      <c r="AC26" s="15">
        <f t="shared" si="2"/>
        <v>23</v>
      </c>
      <c r="AD26" s="15">
        <v>23</v>
      </c>
      <c r="AE26" s="15" t="s">
        <v>314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7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313</v>
      </c>
      <c r="B27" s="21">
        <v>150</v>
      </c>
      <c r="C27" s="21">
        <v>4425</v>
      </c>
      <c r="D27" s="193">
        <f>B27/C27</f>
        <v>3.3898305084745763E-2</v>
      </c>
      <c r="AB27" s="180">
        <f t="shared" si="8"/>
        <v>504000000</v>
      </c>
      <c r="AC27" s="15">
        <f t="shared" si="2"/>
        <v>24</v>
      </c>
      <c r="AD27" s="15">
        <v>24</v>
      </c>
      <c r="AE27" s="15" t="s">
        <v>314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7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314</v>
      </c>
      <c r="B28" s="81">
        <v>20</v>
      </c>
      <c r="C28" s="81">
        <v>44</v>
      </c>
      <c r="D28" s="194">
        <f>B28/C28</f>
        <v>0.45454545454545453</v>
      </c>
      <c r="AB28" s="180">
        <f t="shared" si="8"/>
        <v>525000000</v>
      </c>
      <c r="AC28" s="15">
        <f t="shared" si="2"/>
        <v>25</v>
      </c>
      <c r="AD28" s="15">
        <v>25</v>
      </c>
      <c r="AE28" s="15" t="s">
        <v>314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7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80">
        <f t="shared" si="8"/>
        <v>546000000</v>
      </c>
      <c r="AC29" s="15">
        <f t="shared" si="2"/>
        <v>26</v>
      </c>
      <c r="AD29" s="15">
        <v>26</v>
      </c>
      <c r="AE29" s="15" t="s">
        <v>314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7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9" t="s">
        <v>315</v>
      </c>
      <c r="D30" s="83">
        <f>SUM(D25:D27)/3</f>
        <v>3.5815952251811549E-2</v>
      </c>
      <c r="AB30" s="180">
        <f t="shared" si="8"/>
        <v>567000000</v>
      </c>
      <c r="AC30" s="15">
        <f t="shared" si="2"/>
        <v>27</v>
      </c>
      <c r="AD30" s="15">
        <v>27</v>
      </c>
      <c r="AE30" s="15" t="s">
        <v>314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7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9" t="s">
        <v>316</v>
      </c>
      <c r="D31" s="83">
        <f>D28</f>
        <v>0.45454545454545453</v>
      </c>
      <c r="AB31" s="180">
        <f t="shared" si="8"/>
        <v>588000000</v>
      </c>
      <c r="AC31" s="15">
        <f t="shared" si="2"/>
        <v>28</v>
      </c>
      <c r="AD31" s="15">
        <v>28</v>
      </c>
      <c r="AE31" s="15" t="s">
        <v>314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7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80">
        <f t="shared" si="8"/>
        <v>609000000</v>
      </c>
      <c r="AC32" s="15">
        <f t="shared" si="2"/>
        <v>29</v>
      </c>
      <c r="AD32" s="15">
        <v>29</v>
      </c>
      <c r="AE32" s="15" t="s">
        <v>314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7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493" t="s">
        <v>409</v>
      </c>
      <c r="B33" s="493"/>
      <c r="C33" s="493"/>
      <c r="D33" s="493"/>
      <c r="AB33" s="180">
        <f t="shared" si="8"/>
        <v>630000000</v>
      </c>
      <c r="AC33" s="15">
        <f t="shared" si="2"/>
        <v>30</v>
      </c>
      <c r="AD33" s="15">
        <v>30</v>
      </c>
      <c r="AE33" s="15" t="s">
        <v>314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7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4" t="s">
        <v>300</v>
      </c>
      <c r="B34" s="165" t="s">
        <v>317</v>
      </c>
      <c r="C34" s="165" t="s">
        <v>271</v>
      </c>
      <c r="D34" s="166" t="s">
        <v>318</v>
      </c>
      <c r="AB34" s="180">
        <f t="shared" si="8"/>
        <v>651000000</v>
      </c>
      <c r="AC34" s="15">
        <f t="shared" si="2"/>
        <v>31</v>
      </c>
      <c r="AD34" s="15">
        <v>31</v>
      </c>
      <c r="AE34" s="15" t="s">
        <v>314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7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303</v>
      </c>
      <c r="B35" s="21">
        <f>4.65*1000</f>
        <v>4650</v>
      </c>
      <c r="C35" s="21">
        <v>3236</v>
      </c>
      <c r="D35" s="182">
        <f>B35/C35</f>
        <v>1.4369592088998764</v>
      </c>
      <c r="AA35" s="85"/>
      <c r="AB35" s="180">
        <f t="shared" si="8"/>
        <v>672000000</v>
      </c>
      <c r="AC35" s="15">
        <f t="shared" si="2"/>
        <v>32</v>
      </c>
      <c r="AD35" s="15">
        <v>32</v>
      </c>
      <c r="AE35" s="15" t="s">
        <v>314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7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304</v>
      </c>
      <c r="B36" s="21">
        <f>5.9*1000</f>
        <v>5900</v>
      </c>
      <c r="C36" s="21">
        <v>630</v>
      </c>
      <c r="D36" s="182">
        <f>B36/C36</f>
        <v>9.3650793650793656</v>
      </c>
      <c r="AA36" s="85"/>
      <c r="AB36" s="180">
        <f t="shared" si="8"/>
        <v>693000000</v>
      </c>
      <c r="AC36" s="15">
        <f t="shared" si="2"/>
        <v>33</v>
      </c>
      <c r="AD36" s="15">
        <v>33</v>
      </c>
      <c r="AE36" s="15" t="s">
        <v>314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7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313</v>
      </c>
      <c r="B37" s="21">
        <f>6.95*1000</f>
        <v>6950</v>
      </c>
      <c r="C37" s="21">
        <v>4425</v>
      </c>
      <c r="D37" s="182">
        <f>B37/C37</f>
        <v>1.5706214689265536</v>
      </c>
      <c r="AA37" s="85"/>
      <c r="AB37" s="180">
        <f t="shared" si="8"/>
        <v>714000000</v>
      </c>
      <c r="AC37" s="15">
        <f t="shared" si="2"/>
        <v>34</v>
      </c>
      <c r="AD37" s="15">
        <v>34</v>
      </c>
      <c r="AE37" s="15" t="s">
        <v>314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7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314</v>
      </c>
      <c r="B38" s="81">
        <f>4.8*1000</f>
        <v>4800</v>
      </c>
      <c r="C38" s="81">
        <v>44</v>
      </c>
      <c r="D38" s="187">
        <f>B38/C38</f>
        <v>109.09090909090909</v>
      </c>
      <c r="AA38" s="85"/>
      <c r="AB38" s="180">
        <f t="shared" si="8"/>
        <v>735000000</v>
      </c>
      <c r="AC38" s="15">
        <f t="shared" si="2"/>
        <v>35</v>
      </c>
      <c r="AD38" s="15">
        <v>35</v>
      </c>
      <c r="AE38" s="15" t="s">
        <v>314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7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80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314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7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9" t="s">
        <v>315</v>
      </c>
      <c r="D40" s="83">
        <f>SUM(D35:D37)/3</f>
        <v>4.1242200143019323</v>
      </c>
      <c r="AA40" s="74"/>
      <c r="AB40" s="180">
        <f t="shared" si="16"/>
        <v>777000000</v>
      </c>
      <c r="AC40" s="15">
        <f t="shared" si="2"/>
        <v>37</v>
      </c>
      <c r="AD40" s="15">
        <v>37</v>
      </c>
      <c r="AE40" s="15" t="s">
        <v>314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7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9" t="s">
        <v>316</v>
      </c>
      <c r="D41" s="83">
        <f>D38</f>
        <v>109.09090909090909</v>
      </c>
      <c r="AB41" s="180">
        <f t="shared" si="16"/>
        <v>798000000</v>
      </c>
      <c r="AC41" s="15">
        <f t="shared" si="2"/>
        <v>38</v>
      </c>
      <c r="AD41" s="15">
        <v>38</v>
      </c>
      <c r="AE41" s="15" t="s">
        <v>314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7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80">
        <f t="shared" si="16"/>
        <v>819000000</v>
      </c>
      <c r="AC42" s="15">
        <f t="shared" si="2"/>
        <v>39</v>
      </c>
      <c r="AD42" s="15">
        <v>39</v>
      </c>
      <c r="AE42" s="15" t="s">
        <v>314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7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493" t="s">
        <v>410</v>
      </c>
      <c r="B43" s="493"/>
      <c r="C43" s="493"/>
      <c r="D43" s="493"/>
      <c r="AB43" s="180">
        <f t="shared" si="16"/>
        <v>840000000</v>
      </c>
      <c r="AC43" s="15">
        <f t="shared" si="2"/>
        <v>40</v>
      </c>
      <c r="AD43" s="15">
        <v>40</v>
      </c>
      <c r="AE43" s="15" t="s">
        <v>314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7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4" t="s">
        <v>300</v>
      </c>
      <c r="B44" s="165" t="s">
        <v>270</v>
      </c>
      <c r="C44" s="165" t="s">
        <v>271</v>
      </c>
      <c r="D44" s="166" t="s">
        <v>319</v>
      </c>
      <c r="AB44" s="180">
        <f t="shared" si="16"/>
        <v>861000000</v>
      </c>
      <c r="AC44" s="15">
        <f t="shared" si="2"/>
        <v>41</v>
      </c>
      <c r="AD44" s="15">
        <v>41</v>
      </c>
      <c r="AE44" s="15" t="s">
        <v>314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7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303</v>
      </c>
      <c r="B45" s="21">
        <v>1200</v>
      </c>
      <c r="C45" s="21">
        <v>3236</v>
      </c>
      <c r="D45" s="182">
        <f>B45/C45</f>
        <v>0.37082818294190356</v>
      </c>
      <c r="AB45" s="180">
        <f t="shared" si="16"/>
        <v>882000000</v>
      </c>
      <c r="AC45" s="15">
        <f t="shared" si="2"/>
        <v>42</v>
      </c>
      <c r="AD45" s="15">
        <v>42</v>
      </c>
      <c r="AE45" s="15" t="s">
        <v>314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7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304</v>
      </c>
      <c r="B46" s="21">
        <v>528</v>
      </c>
      <c r="C46" s="21">
        <v>630</v>
      </c>
      <c r="D46" s="182">
        <f>B46/C46</f>
        <v>0.83809523809523812</v>
      </c>
      <c r="AB46" s="180">
        <f t="shared" si="16"/>
        <v>903000000</v>
      </c>
      <c r="AC46" s="15">
        <f t="shared" si="2"/>
        <v>43</v>
      </c>
      <c r="AD46" s="15">
        <v>43</v>
      </c>
      <c r="AE46" s="15" t="s">
        <v>314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7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363</v>
      </c>
      <c r="B47" s="21">
        <v>11000</v>
      </c>
      <c r="C47" s="21">
        <v>4425</v>
      </c>
      <c r="D47" s="182">
        <f>((B47)*0.1)/C47</f>
        <v>0.24858757062146894</v>
      </c>
      <c r="AB47" s="180">
        <f t="shared" si="16"/>
        <v>924000000</v>
      </c>
      <c r="AC47" s="15">
        <f t="shared" si="2"/>
        <v>44</v>
      </c>
      <c r="AD47" s="15">
        <v>44</v>
      </c>
      <c r="AE47" s="15" t="s">
        <v>314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7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314</v>
      </c>
      <c r="B48" s="81">
        <v>2000</v>
      </c>
      <c r="C48" s="81">
        <v>44</v>
      </c>
      <c r="D48" s="187">
        <f>B48/C48</f>
        <v>45.454545454545453</v>
      </c>
      <c r="AB48" s="180">
        <f t="shared" si="16"/>
        <v>945000000</v>
      </c>
      <c r="AC48" s="15">
        <f t="shared" si="2"/>
        <v>45</v>
      </c>
      <c r="AD48" s="15">
        <v>45</v>
      </c>
      <c r="AE48" s="15" t="s">
        <v>314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7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364</v>
      </c>
      <c r="B49" s="27"/>
      <c r="C49" s="27"/>
      <c r="D49" s="27"/>
      <c r="AB49" s="180">
        <f t="shared" si="16"/>
        <v>966000000</v>
      </c>
      <c r="AC49" s="15">
        <f t="shared" si="2"/>
        <v>46</v>
      </c>
      <c r="AD49" s="15">
        <v>46</v>
      </c>
      <c r="AE49" s="15" t="s">
        <v>314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7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9" t="s">
        <v>315</v>
      </c>
      <c r="D50" s="83">
        <f>SUM(D45:D47)/3</f>
        <v>0.48583699721953683</v>
      </c>
      <c r="AB50" s="180">
        <f t="shared" si="16"/>
        <v>987000000</v>
      </c>
      <c r="AC50" s="15">
        <f t="shared" si="2"/>
        <v>47</v>
      </c>
      <c r="AD50" s="15">
        <v>47</v>
      </c>
      <c r="AE50" s="15" t="s">
        <v>314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7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9" t="s">
        <v>316</v>
      </c>
      <c r="D51" s="83">
        <f>D48</f>
        <v>45.454545454545453</v>
      </c>
      <c r="AB51" s="180">
        <f t="shared" si="16"/>
        <v>1008000000</v>
      </c>
      <c r="AC51" s="15">
        <f t="shared" si="2"/>
        <v>48</v>
      </c>
      <c r="AD51" s="15">
        <v>48</v>
      </c>
      <c r="AE51" s="15" t="s">
        <v>314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7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80">
        <f t="shared" si="16"/>
        <v>1029000000</v>
      </c>
      <c r="AC52" s="15">
        <f t="shared" si="2"/>
        <v>49</v>
      </c>
      <c r="AD52" s="15">
        <v>49</v>
      </c>
      <c r="AE52" s="15" t="s">
        <v>314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7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325</v>
      </c>
      <c r="AB53" s="180">
        <f t="shared" si="16"/>
        <v>1050000000</v>
      </c>
      <c r="AC53" s="15">
        <f t="shared" si="2"/>
        <v>50</v>
      </c>
      <c r="AD53" s="15">
        <v>50</v>
      </c>
      <c r="AE53" s="15" t="s">
        <v>314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7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326</v>
      </c>
      <c r="AB54" s="180">
        <f t="shared" si="16"/>
        <v>1071000000</v>
      </c>
      <c r="AC54" s="15">
        <f t="shared" si="2"/>
        <v>51</v>
      </c>
      <c r="AD54" s="15">
        <v>51</v>
      </c>
      <c r="AE54" s="15" t="s">
        <v>314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7">
        <f t="shared" si="14"/>
        <v>20.663598879970301</v>
      </c>
      <c r="AM54"/>
      <c r="AN54" s="16"/>
    </row>
    <row r="55" spans="1:63" ht="15" thickBot="1">
      <c r="A55" s="28" t="s">
        <v>327</v>
      </c>
      <c r="AB55" s="188">
        <f t="shared" si="16"/>
        <v>1092000000</v>
      </c>
      <c r="AC55" s="95">
        <f t="shared" si="2"/>
        <v>52</v>
      </c>
      <c r="AD55" s="95">
        <v>52</v>
      </c>
      <c r="AE55" s="95" t="s">
        <v>314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8">
        <f t="shared" si="14"/>
        <v>20.663598879970301</v>
      </c>
      <c r="AM55"/>
      <c r="AN55" s="16"/>
    </row>
    <row r="56" spans="1:63" ht="14.4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491" t="s">
        <v>399</v>
      </c>
      <c r="AC60" s="491"/>
      <c r="AD60" s="491"/>
      <c r="AE60" s="491"/>
      <c r="AF60" s="491"/>
      <c r="AG60" s="491"/>
      <c r="AH60" s="491"/>
      <c r="AI60" s="491"/>
      <c r="AJ60" s="491"/>
      <c r="AK60" s="491"/>
      <c r="AL60" s="491"/>
      <c r="AM60"/>
    </row>
    <row r="61" spans="1:63" ht="14.4">
      <c r="AB61" s="240" t="s">
        <v>261</v>
      </c>
      <c r="AC61" s="88" t="s">
        <v>390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12" t="s">
        <v>278</v>
      </c>
      <c r="AJ61" s="88" t="s">
        <v>279</v>
      </c>
      <c r="AK61" s="117" t="s">
        <v>388</v>
      </c>
      <c r="AL61" s="89" t="s">
        <v>389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9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314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314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314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314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314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314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314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314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314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314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314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314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314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314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314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314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314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314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314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314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314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314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314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314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314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314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314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314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314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314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314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314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314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314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314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314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314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314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314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314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314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314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314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314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314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314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314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314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314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314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314</v>
      </c>
      <c r="AF114" s="95">
        <v>1</v>
      </c>
      <c r="AG114" s="95">
        <f t="shared" si="25"/>
        <v>1</v>
      </c>
      <c r="AH114" s="122">
        <v>0.2</v>
      </c>
      <c r="AI114" s="123">
        <f t="shared" si="23"/>
        <v>2</v>
      </c>
      <c r="AJ114" s="123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39"/>
      <c r="AI115" s="101"/>
      <c r="AJ115" s="101"/>
      <c r="AK115" s="99"/>
      <c r="AL115" s="101"/>
    </row>
    <row r="116" spans="28:60" ht="15" thickBot="1">
      <c r="AB116" s="492" t="s">
        <v>400</v>
      </c>
      <c r="AC116" s="492"/>
      <c r="AD116" s="492"/>
      <c r="AE116" s="492"/>
      <c r="AF116" s="492"/>
      <c r="AG116" s="492"/>
      <c r="AH116" s="492"/>
      <c r="AI116" s="492"/>
      <c r="AJ116" s="492"/>
      <c r="AK116" s="492"/>
      <c r="AL116" s="492"/>
      <c r="AM116" s="192"/>
      <c r="AN116" s="492" t="s">
        <v>401</v>
      </c>
      <c r="AO116" s="492"/>
      <c r="AP116" s="492"/>
      <c r="AQ116" s="492"/>
      <c r="AR116" s="492"/>
      <c r="AS116" s="492"/>
      <c r="AT116" s="492"/>
      <c r="AU116" s="492"/>
      <c r="AV116" s="492"/>
      <c r="AW116" s="492"/>
      <c r="AX116" s="492"/>
      <c r="AY116" s="492"/>
      <c r="AZ116" s="492"/>
      <c r="BA116" s="492"/>
      <c r="BB116" s="492"/>
      <c r="BC116" s="492"/>
      <c r="BD116" s="492"/>
      <c r="BE116" s="492"/>
      <c r="BF116" s="492"/>
      <c r="BG116" s="492"/>
      <c r="BH116" s="37"/>
    </row>
    <row r="117" spans="28:60">
      <c r="AB117" s="240" t="s">
        <v>261</v>
      </c>
      <c r="AC117" s="88" t="s">
        <v>390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12" t="s">
        <v>308</v>
      </c>
      <c r="AJ117" s="88" t="s">
        <v>309</v>
      </c>
      <c r="AK117" s="117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9">
        <v>0</v>
      </c>
      <c r="AN118" s="118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90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314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20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90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314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20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5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314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20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5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314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20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5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314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20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5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314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20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5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314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20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5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314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20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5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314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20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5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314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20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5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314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20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5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314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20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5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314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20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5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314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20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5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314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20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5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314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20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5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314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20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5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314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20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5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314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20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5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314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20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5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314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20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5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314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20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5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314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20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5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314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20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5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314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20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5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314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20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5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314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20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5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314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20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5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314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20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5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314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20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5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314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20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5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314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20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5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20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5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20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5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20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5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20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5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20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5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20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5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20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5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20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5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20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5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20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5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20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5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20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5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20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5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20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5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20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5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20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5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20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5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20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5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20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5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314</v>
      </c>
      <c r="AF170" s="95">
        <f t="shared" si="63"/>
        <v>200</v>
      </c>
      <c r="AG170" s="95">
        <f t="shared" si="64"/>
        <v>100</v>
      </c>
      <c r="AH170" s="122">
        <f t="shared" si="65"/>
        <v>0.1</v>
      </c>
      <c r="AI170" s="123">
        <f t="shared" si="66"/>
        <v>0.04</v>
      </c>
      <c r="AJ170" s="124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1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6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D98" sqref="D97:E98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4" bestFit="1" customWidth="1"/>
    <col min="6" max="6" width="8.88671875" style="27"/>
    <col min="7" max="7" width="15.5546875" style="27" bestFit="1" customWidth="1"/>
    <col min="8" max="8" width="25.44140625" style="274" bestFit="1" customWidth="1"/>
  </cols>
  <sheetData>
    <row r="1" spans="1:8">
      <c r="A1" s="497" t="s">
        <v>371</v>
      </c>
      <c r="B1" s="498"/>
      <c r="D1" s="497" t="s">
        <v>369</v>
      </c>
      <c r="E1" s="498"/>
      <c r="G1" s="497" t="s">
        <v>370</v>
      </c>
      <c r="H1" s="498"/>
    </row>
    <row r="2" spans="1:8">
      <c r="A2" s="180" t="str">
        <f>'Costs - DTE'!$AC$2</f>
        <v>Minutes</v>
      </c>
      <c r="B2" s="196" t="str">
        <f>'Costs - DTE'!$AH$2</f>
        <v>Average total cost ($/Min)</v>
      </c>
      <c r="D2" s="180" t="str">
        <f>'Costs - SR - LEO'!AA2</f>
        <v>Minutes</v>
      </c>
      <c r="E2" s="268" t="str">
        <f>'Costs - SR - LEO'!AH2</f>
        <v>Average total cost ($/Min)</v>
      </c>
      <c r="G2" s="180" t="str">
        <f>'Costs - SR - GEO'!AB2</f>
        <v>Minutes</v>
      </c>
      <c r="H2" s="268" t="str">
        <f>'Costs - SR - GEO'!AI2</f>
        <v>Average total cost ($/Min)</v>
      </c>
    </row>
    <row r="3" spans="1:8">
      <c r="A3" s="180">
        <f>'Costs - DTE'!AC3</f>
        <v>0</v>
      </c>
      <c r="B3" s="269">
        <v>0</v>
      </c>
      <c r="D3" s="180">
        <f>'Costs - SR - LEO'!AA4</f>
        <v>21000000</v>
      </c>
      <c r="E3" s="268">
        <f>'Costs - SR - LEO'!AH4</f>
        <v>31.306893713737452</v>
      </c>
      <c r="G3" s="180">
        <f>'Costs - SR - GEO'!AB4</f>
        <v>21000000</v>
      </c>
      <c r="H3" s="268">
        <f>'Costs - SR - GEO'!AI4</f>
        <v>72.30605683726462</v>
      </c>
    </row>
    <row r="4" spans="1:8">
      <c r="A4" s="180">
        <f>'Costs - DTE'!AC4</f>
        <v>525600</v>
      </c>
      <c r="B4" s="196">
        <f>'Costs - DTE'!AH4</f>
        <v>207.59483421051704</v>
      </c>
      <c r="D4" s="180">
        <f>'Costs - SR - LEO'!AA5</f>
        <v>42000000</v>
      </c>
      <c r="E4" s="268">
        <f>'Costs - SR - LEO'!AH5</f>
        <v>17.873442098055619</v>
      </c>
      <c r="G4" s="180">
        <f>'Costs - SR - GEO'!AB5</f>
        <v>42000000</v>
      </c>
      <c r="H4" s="268">
        <f>'Costs - SR - GEO'!AI5</f>
        <v>46.484827858617464</v>
      </c>
    </row>
    <row r="5" spans="1:8">
      <c r="A5" s="180">
        <f>'Costs - DTE'!AC5</f>
        <v>1051200</v>
      </c>
      <c r="B5" s="196">
        <f>'Costs - DTE'!AH5</f>
        <v>122.11442815005586</v>
      </c>
      <c r="D5" s="180">
        <f>'Costs - SR - LEO'!AA6</f>
        <v>63000000</v>
      </c>
      <c r="E5" s="268">
        <f>'Costs - SR - LEO'!AH6</f>
        <v>13.395624892828341</v>
      </c>
      <c r="G5" s="180">
        <f>'Costs - SR - GEO'!AB6</f>
        <v>63000000</v>
      </c>
      <c r="H5" s="268">
        <f>'Costs - SR - GEO'!AI6</f>
        <v>37.877751532401753</v>
      </c>
    </row>
    <row r="6" spans="1:8">
      <c r="A6" s="180">
        <f>'Costs - DTE'!AC6</f>
        <v>1576800</v>
      </c>
      <c r="B6" s="196">
        <f>'Costs - DTE'!AH6</f>
        <v>93.620959463235465</v>
      </c>
      <c r="D6" s="180">
        <f>'Costs - SR - LEO'!AA7</f>
        <v>84000000</v>
      </c>
      <c r="E6" s="268">
        <f>'Costs - SR - LEO'!AH7</f>
        <v>11.156716290214703</v>
      </c>
      <c r="G6" s="180">
        <f>'Costs - SR - GEO'!AB7</f>
        <v>84000000</v>
      </c>
      <c r="H6" s="268">
        <f>'Costs - SR - GEO'!AI7</f>
        <v>33.574213369293894</v>
      </c>
    </row>
    <row r="7" spans="1:8">
      <c r="A7" s="180">
        <f>'Costs - DTE'!AC7</f>
        <v>2102400</v>
      </c>
      <c r="B7" s="196">
        <f>'Costs - DTE'!AH7</f>
        <v>79.374225119825269</v>
      </c>
      <c r="D7" s="180">
        <f>'Costs - SR - LEO'!AA8</f>
        <v>105000000</v>
      </c>
      <c r="E7" s="268">
        <f>'Costs - SR - LEO'!AH8</f>
        <v>9.8133711286465193</v>
      </c>
      <c r="G7" s="180">
        <f>'Costs - SR - GEO'!AB8</f>
        <v>105000000</v>
      </c>
      <c r="H7" s="268">
        <f>'Costs - SR - GEO'!AI8</f>
        <v>30.992090471429179</v>
      </c>
    </row>
    <row r="8" spans="1:8">
      <c r="A8" s="180">
        <f>'Costs - DTE'!AC8</f>
        <v>2628000</v>
      </c>
      <c r="B8" s="196">
        <f>'Costs - DTE'!AH8</f>
        <v>70.82618451377914</v>
      </c>
      <c r="D8" s="180">
        <f>'Costs - SR - LEO'!AA9</f>
        <v>126000000</v>
      </c>
      <c r="E8" s="268">
        <f>'Costs - SR - LEO'!AH9</f>
        <v>8.9178076876010657</v>
      </c>
      <c r="G8" s="180">
        <f>'Costs - SR - GEO'!AB9</f>
        <v>126000000</v>
      </c>
      <c r="H8" s="268">
        <f>'Costs - SR - GEO'!AI9</f>
        <v>29.270675206186034</v>
      </c>
    </row>
    <row r="9" spans="1:8">
      <c r="A9" s="180">
        <f>'Costs - DTE'!AC9</f>
        <v>3153600</v>
      </c>
      <c r="B9" s="196">
        <f>'Costs - DTE'!AH9</f>
        <v>65.127490776415073</v>
      </c>
      <c r="D9" s="180">
        <f>'Costs - SR - LEO'!AA10</f>
        <v>147000000</v>
      </c>
      <c r="E9" s="268">
        <f>'Costs - SR - LEO'!AH10</f>
        <v>8.2781195154257396</v>
      </c>
      <c r="G9" s="180">
        <f>'Costs - SR - GEO'!AB10</f>
        <v>147000000</v>
      </c>
      <c r="H9" s="268">
        <f>'Costs - SR - GEO'!AI10</f>
        <v>28.041092873869502</v>
      </c>
    </row>
    <row r="10" spans="1:8">
      <c r="A10" s="180">
        <f>'Costs - DTE'!AC10</f>
        <v>3679200</v>
      </c>
      <c r="B10" s="196">
        <f>'Costs - DTE'!AH10</f>
        <v>61.056995249726441</v>
      </c>
      <c r="D10" s="180">
        <f>'Costs - SR - LEO'!AA11</f>
        <v>168000000</v>
      </c>
      <c r="E10" s="268">
        <f>'Costs - SR - LEO'!AH11</f>
        <v>7.7983533862942451</v>
      </c>
      <c r="G10" s="180">
        <f>'Costs - SR - GEO'!AB11</f>
        <v>168000000</v>
      </c>
      <c r="H10" s="268">
        <f>'Costs - SR - GEO'!AI11</f>
        <v>27.118906124632112</v>
      </c>
    </row>
    <row r="11" spans="1:8">
      <c r="A11" s="180">
        <f>'Costs - DTE'!AC11</f>
        <v>4204800</v>
      </c>
      <c r="B11" s="196">
        <f>'Costs - DTE'!AH11</f>
        <v>58.004123604709974</v>
      </c>
      <c r="D11" s="180">
        <f>'Costs - SR - LEO'!AA12</f>
        <v>189000000</v>
      </c>
      <c r="E11" s="268">
        <f>'Costs - SR - LEO'!AH12</f>
        <v>7.4252019525253061</v>
      </c>
      <c r="G11" s="180">
        <f>'Costs - SR - GEO'!AB12</f>
        <v>189000000</v>
      </c>
      <c r="H11" s="268">
        <f>'Costs - SR - GEO'!AI12</f>
        <v>26.401649764114133</v>
      </c>
    </row>
    <row r="12" spans="1:8">
      <c r="A12" s="180">
        <f>'Costs - DTE'!AC12</f>
        <v>4730400</v>
      </c>
      <c r="B12" s="196">
        <f>'Costs - DTE'!AH12</f>
        <v>55.62966788080827</v>
      </c>
      <c r="D12" s="180">
        <f>'Costs - SR - LEO'!AA13</f>
        <v>210000000</v>
      </c>
      <c r="E12" s="268">
        <f>'Costs - SR - LEO'!AH13</f>
        <v>7.126680805510154</v>
      </c>
      <c r="G12" s="180">
        <f>'Costs - SR - GEO'!AB13</f>
        <v>210000000</v>
      </c>
      <c r="H12" s="268">
        <f>'Costs - SR - GEO'!AI13</f>
        <v>25.827844675699751</v>
      </c>
    </row>
    <row r="13" spans="1:8">
      <c r="A13" s="180">
        <f>'Costs - DTE'!AC13</f>
        <v>5256000</v>
      </c>
      <c r="B13" s="196">
        <f>'Costs - DTE'!AH13</f>
        <v>53.73010330168691</v>
      </c>
      <c r="D13" s="180">
        <f>'Costs - SR - LEO'!AA14</f>
        <v>231000000</v>
      </c>
      <c r="E13" s="268">
        <f>'Costs - SR - LEO'!AH14</f>
        <v>6.8824362306795752</v>
      </c>
      <c r="G13" s="180">
        <f>'Costs - SR - GEO'!AB14</f>
        <v>231000000</v>
      </c>
      <c r="H13" s="268">
        <f>'Costs - SR - GEO'!AI14</f>
        <v>25.358367785178892</v>
      </c>
    </row>
    <row r="14" spans="1:8">
      <c r="A14" s="180">
        <f>'Costs - DTE'!AC14</f>
        <v>5781600</v>
      </c>
      <c r="B14" s="196">
        <f>'Costs - DTE'!AH14</f>
        <v>52.175914100587619</v>
      </c>
      <c r="D14" s="180">
        <f>'Costs - SR - LEO'!AA15</f>
        <v>252000000</v>
      </c>
      <c r="E14" s="268">
        <f>'Costs - SR - LEO'!AH15</f>
        <v>6.6788990849874263</v>
      </c>
      <c r="G14" s="180">
        <f>'Costs - SR - GEO'!AB15</f>
        <v>252000000</v>
      </c>
      <c r="H14" s="268">
        <f>'Costs - SR - GEO'!AI15</f>
        <v>24.967137043078178</v>
      </c>
    </row>
    <row r="15" spans="1:8">
      <c r="A15" s="180">
        <f>'Costs - DTE'!AC15</f>
        <v>6307200</v>
      </c>
      <c r="B15" s="196">
        <f>'Costs - DTE'!AH15</f>
        <v>50.880756433004869</v>
      </c>
      <c r="D15" s="180">
        <f>'Costs - SR - LEO'!AA16</f>
        <v>273000000</v>
      </c>
      <c r="E15" s="268">
        <f>'Costs - SR - LEO'!AH16</f>
        <v>6.5066753463248386</v>
      </c>
      <c r="G15" s="180">
        <f>'Costs - SR - GEO'!AB16</f>
        <v>273000000</v>
      </c>
      <c r="H15" s="268">
        <f>'Costs - SR - GEO'!AI16</f>
        <v>24.636095645916029</v>
      </c>
    </row>
    <row r="16" spans="1:8">
      <c r="A16" s="180">
        <f>'Costs - DTE'!AC16</f>
        <v>6832800</v>
      </c>
      <c r="B16" s="196">
        <f>'Costs - DTE'!AH16</f>
        <v>49.784853791204085</v>
      </c>
      <c r="D16" s="180">
        <f>'Costs - SR - LEO'!AA17</f>
        <v>294000000</v>
      </c>
      <c r="E16" s="268">
        <f>'Costs - SR - LEO'!AH17</f>
        <v>6.3590549988997633</v>
      </c>
      <c r="G16" s="180">
        <f>'Costs - SR - GEO'!AB17</f>
        <v>294000000</v>
      </c>
      <c r="H16" s="268">
        <f>'Costs - SR - GEO'!AI17</f>
        <v>24.352345876919905</v>
      </c>
    </row>
    <row r="17" spans="1:8">
      <c r="A17" s="180">
        <f>'Costs - DTE'!AC17</f>
        <v>7358400</v>
      </c>
      <c r="B17" s="196">
        <f>'Costs - DTE'!AH17</f>
        <v>48.84550866966056</v>
      </c>
      <c r="D17" s="180">
        <f>'Costs - SR - LEO'!AA18</f>
        <v>315000000</v>
      </c>
      <c r="E17" s="268">
        <f>'Costs - SR - LEO'!AH18</f>
        <v>6.2311173644646978</v>
      </c>
      <c r="G17" s="180">
        <f>'Costs - SR - GEO'!AB18</f>
        <v>315000000</v>
      </c>
      <c r="H17" s="268">
        <f>'Costs - SR - GEO'!AI18</f>
        <v>24.106429410456599</v>
      </c>
    </row>
    <row r="18" spans="1:8">
      <c r="A18" s="180">
        <f>'Costs - DTE'!AC18</f>
        <v>7884000</v>
      </c>
      <c r="B18" s="196">
        <f>'Costs - DTE'!AH18</f>
        <v>48.031409564322836</v>
      </c>
      <c r="D18" s="180">
        <f>'Costs - SR - LEO'!AA19</f>
        <v>336000000</v>
      </c>
      <c r="E18" s="268">
        <f>'Costs - SR - LEO'!AH19</f>
        <v>6.119171934334017</v>
      </c>
      <c r="G18" s="180">
        <f>'Costs - SR - GEO'!AB19</f>
        <v>336000000</v>
      </c>
      <c r="H18" s="268">
        <f>'Costs - SR - GEO'!AI19</f>
        <v>23.891252502301207</v>
      </c>
    </row>
    <row r="19" spans="1:8">
      <c r="A19" s="180">
        <f>'Costs - DTE'!AC19</f>
        <v>8409600</v>
      </c>
      <c r="B19" s="196">
        <f>'Costs - DTE'!AH19</f>
        <v>47.319072847152327</v>
      </c>
      <c r="D19" s="180">
        <f>'Costs - SR - LEO'!AA20</f>
        <v>357000000</v>
      </c>
      <c r="E19" s="268">
        <f>'Costs - SR - LEO'!AH20</f>
        <v>6.0203965548069451</v>
      </c>
      <c r="G19" s="180">
        <f>'Costs - SR - GEO'!AB20</f>
        <v>357000000</v>
      </c>
      <c r="H19" s="268">
        <f>'Costs - SR - GEO'!AI20</f>
        <v>23.701390524517034</v>
      </c>
    </row>
    <row r="20" spans="1:8">
      <c r="A20" s="180">
        <f>'Costs - DTE'!AC20</f>
        <v>8935200</v>
      </c>
      <c r="B20" s="196">
        <f>'Costs - DTE'!AH20</f>
        <v>46.690540449648935</v>
      </c>
      <c r="D20" s="180">
        <f>'Costs - SR - LEO'!AA21</f>
        <v>378000000</v>
      </c>
      <c r="E20" s="268">
        <f>'Costs - SR - LEO'!AH21</f>
        <v>5.9325962174495466</v>
      </c>
      <c r="G20" s="180">
        <f>'Costs - SR - GEO'!AB21</f>
        <v>378000000</v>
      </c>
      <c r="H20" s="268">
        <f>'Costs - SR - GEO'!AI21</f>
        <v>23.532624322042217</v>
      </c>
    </row>
    <row r="21" spans="1:8">
      <c r="A21" s="180">
        <f>'Costs - DTE'!AC21</f>
        <v>9460800</v>
      </c>
      <c r="B21" s="196">
        <f>'Costs - DTE'!AH21</f>
        <v>46.131844985201475</v>
      </c>
      <c r="D21" s="180">
        <f>'Costs - SR - LEO'!AA22</f>
        <v>399000000</v>
      </c>
      <c r="E21" s="268">
        <f>'Costs - SR - LEO'!AH22</f>
        <v>5.8540380208666125</v>
      </c>
      <c r="G21" s="180">
        <f>'Costs - SR - GEO'!AB22</f>
        <v>399000000</v>
      </c>
      <c r="H21" s="268">
        <f>'Costs - SR - GEO'!AI22</f>
        <v>23.3816229829858</v>
      </c>
    </row>
    <row r="22" spans="1:8">
      <c r="A22" s="180">
        <f>'Costs - DTE'!AC22</f>
        <v>9986400</v>
      </c>
      <c r="B22" s="196">
        <f>'Costs - DTE'!AH22</f>
        <v>45.631959569643222</v>
      </c>
      <c r="D22" s="180">
        <f>'Costs - SR - LEO'!AA23</f>
        <v>420000000</v>
      </c>
      <c r="E22" s="268">
        <f>'Costs - SR - LEO'!AH23</f>
        <v>5.7833356439419701</v>
      </c>
      <c r="G22" s="180">
        <f>'Costs - SR - GEO'!AB23</f>
        <v>420000000</v>
      </c>
      <c r="H22" s="268">
        <f>'Costs - SR - GEO'!AI23</f>
        <v>23.245721777835023</v>
      </c>
    </row>
    <row r="23" spans="1:8">
      <c r="A23" s="180">
        <f>'Costs - DTE'!AC23</f>
        <v>10512000</v>
      </c>
      <c r="B23" s="196">
        <f>'Costs - DTE'!AH23</f>
        <v>45.182062695640802</v>
      </c>
      <c r="D23" s="180">
        <f>'Costs - SR - LEO'!AA24</f>
        <v>441000000</v>
      </c>
      <c r="E23" s="268">
        <f>'Costs - SR - LEO'!AH24</f>
        <v>5.7193668267244382</v>
      </c>
      <c r="G23" s="180">
        <f>'Costs - SR - GEO'!AB24</f>
        <v>441000000</v>
      </c>
      <c r="H23" s="268">
        <f>'Costs - SR - GEO'!AI24</f>
        <v>23.122763544603373</v>
      </c>
    </row>
    <row r="24" spans="1:8">
      <c r="A24" s="180">
        <f>'Costs - DTE'!AC24</f>
        <v>11037600</v>
      </c>
      <c r="B24" s="196">
        <f>'Costs - DTE'!AH24</f>
        <v>44.775013142971943</v>
      </c>
      <c r="D24" s="180">
        <f>'Costs - SR - LEO'!AA25</f>
        <v>462000000</v>
      </c>
      <c r="E24" s="268">
        <f>'Costs - SR - LEO'!AH25</f>
        <v>5.6612133565266811</v>
      </c>
      <c r="G24" s="180">
        <f>'Costs - SR - GEO'!AB25</f>
        <v>462000000</v>
      </c>
      <c r="H24" s="268">
        <f>'Costs - SR - GEO'!AI25</f>
        <v>23.0109833325746</v>
      </c>
    </row>
    <row r="25" spans="1:8">
      <c r="A25" s="180">
        <f>'Costs - DTE'!AC25</f>
        <v>11563200</v>
      </c>
      <c r="B25" s="196">
        <f>'Costs - DTE'!AH25</f>
        <v>44.404968095091164</v>
      </c>
      <c r="D25" s="180">
        <f>'Costs - SR - LEO'!AA26</f>
        <v>483000000</v>
      </c>
      <c r="E25" s="268">
        <f>'Costs - SR - LEO'!AH26</f>
        <v>5.6081167098243823</v>
      </c>
      <c r="G25" s="180">
        <f>'Costs - SR - GEO'!AB26</f>
        <v>483000000</v>
      </c>
      <c r="H25" s="268">
        <f>'Costs - SR - GEO'!AI26</f>
        <v>22.908923138983106</v>
      </c>
    </row>
    <row r="26" spans="1:8">
      <c r="A26" s="180">
        <f>'Costs - DTE'!AC26</f>
        <v>12088800</v>
      </c>
      <c r="B26" s="196">
        <f>'Costs - DTE'!AH26</f>
        <v>44.067100877460888</v>
      </c>
      <c r="D26" s="180">
        <f>'Costs - SR - LEO'!AA27</f>
        <v>504000000</v>
      </c>
      <c r="E26" s="268">
        <f>'Costs - SR - LEO'!AH27</f>
        <v>5.5594447836806076</v>
      </c>
      <c r="G26" s="180">
        <f>'Costs - SR - GEO'!AB27</f>
        <v>504000000</v>
      </c>
      <c r="H26" s="268">
        <f>'Costs - SR - GEO'!AI27</f>
        <v>22.815367961524238</v>
      </c>
    </row>
    <row r="27" spans="1:8">
      <c r="A27" s="180">
        <f>'Costs - DTE'!AC27</f>
        <v>12614400</v>
      </c>
      <c r="B27" s="196">
        <f>'Costs - DTE'!AH27</f>
        <v>43.757389261299792</v>
      </c>
      <c r="D27" s="180">
        <f>'Costs - SR - LEO'!AA28</f>
        <v>525000000</v>
      </c>
      <c r="E27" s="268">
        <f>'Costs - SR - LEO'!AH28</f>
        <v>5.5146666116283356</v>
      </c>
      <c r="G27" s="180">
        <f>'Costs - SR - GEO'!AB28</f>
        <v>525000000</v>
      </c>
      <c r="H27" s="268">
        <f>'Costs - SR - GEO'!AI28</f>
        <v>22.729297198262078</v>
      </c>
    </row>
    <row r="28" spans="1:8" ht="15" thickBot="1">
      <c r="A28" s="188">
        <f>'Costs - DTE'!AC28</f>
        <v>13140000</v>
      </c>
      <c r="B28" s="270">
        <f>'Costs - DTE'!AH28</f>
        <v>43.472454574431595</v>
      </c>
      <c r="D28" s="180">
        <f>'Costs - SR - LEO'!AA29</f>
        <v>546000000</v>
      </c>
      <c r="E28" s="268">
        <f>'Costs - SR - LEO'!AH29</f>
        <v>5.4733329143493146</v>
      </c>
      <c r="G28" s="180">
        <f>'Costs - SR - GEO'!AB29</f>
        <v>546000000</v>
      </c>
      <c r="H28" s="268">
        <f>'Costs - SR - GEO'!AI29</f>
        <v>22.649847262943165</v>
      </c>
    </row>
    <row r="29" spans="1:8">
      <c r="A29" s="271"/>
      <c r="D29" s="180">
        <f>'Costs - SR - LEO'!AA30</f>
        <v>567000000</v>
      </c>
      <c r="E29" s="268">
        <f>'Costs - SR - LEO'!AH30</f>
        <v>5.4350609724242958</v>
      </c>
      <c r="G29" s="180">
        <f>'Costs - SR - GEO'!AB30</f>
        <v>567000000</v>
      </c>
      <c r="H29" s="268">
        <f>'Costs - SR - GEO'!AI30</f>
        <v>22.576282508018245</v>
      </c>
    </row>
    <row r="30" spans="1:8">
      <c r="A30" s="271"/>
      <c r="D30" s="180">
        <f>'Costs - SR - LEO'!AA31</f>
        <v>588000000</v>
      </c>
      <c r="E30" s="268">
        <f>'Costs - SR - LEO'!AH31</f>
        <v>5.3995227406367778</v>
      </c>
      <c r="G30" s="180">
        <f>'Costs - SR - GEO'!AB31</f>
        <v>588000000</v>
      </c>
      <c r="H30" s="268">
        <f>'Costs - SR - GEO'!AI31</f>
        <v>22.507972378445103</v>
      </c>
    </row>
    <row r="31" spans="1:8">
      <c r="A31" s="271"/>
      <c r="D31" s="180">
        <f>'Costs - SR - LEO'!AA32</f>
        <v>609000000</v>
      </c>
      <c r="E31" s="268">
        <f>'Costs - SR - LEO'!AH32</f>
        <v>5.3664354213863303</v>
      </c>
      <c r="G31" s="180">
        <f>'Costs - SR - GEO'!AB32</f>
        <v>609000000</v>
      </c>
      <c r="H31" s="268">
        <f>'Costs - SR - GEO'!AI32</f>
        <v>22.444373292290802</v>
      </c>
    </row>
    <row r="32" spans="1:8">
      <c r="A32" s="271"/>
      <c r="D32" s="180">
        <f>'Costs - SR - LEO'!AA33</f>
        <v>630000000</v>
      </c>
      <c r="E32" s="268">
        <f>'Costs - SR - LEO'!AH33</f>
        <v>5.3355539234192459</v>
      </c>
      <c r="G32" s="180">
        <f>'Costs - SR - GEO'!AB33</f>
        <v>630000000</v>
      </c>
      <c r="H32" s="268">
        <f>'Costs - SR - GEO'!AI33</f>
        <v>22.38501414521345</v>
      </c>
    </row>
    <row r="33" spans="1:8">
      <c r="A33" s="271"/>
      <c r="D33" s="180">
        <f>'Costs - SR - LEO'!AA34</f>
        <v>651000000</v>
      </c>
      <c r="E33" s="268">
        <f>'Costs - SR - LEO'!AH34</f>
        <v>5.3066647801597151</v>
      </c>
      <c r="G33" s="180">
        <f>'Costs - SR - GEO'!AB34</f>
        <v>651000000</v>
      </c>
      <c r="H33" s="268">
        <f>'Costs - SR - GEO'!AI34</f>
        <v>22.329484620528188</v>
      </c>
    </row>
    <row r="34" spans="1:8">
      <c r="A34" s="271"/>
      <c r="D34" s="180">
        <f>'Costs - SR - LEO'!AA35</f>
        <v>672000000</v>
      </c>
      <c r="E34" s="268">
        <f>'Costs - SR - LEO'!AH35</f>
        <v>5.2795812083539051</v>
      </c>
      <c r="G34" s="180">
        <f>'Costs - SR - GEO'!AB35</f>
        <v>672000000</v>
      </c>
      <c r="H34" s="268">
        <f>'Costs - SR - GEO'!AI35</f>
        <v>22.277425691135754</v>
      </c>
    </row>
    <row r="35" spans="1:8">
      <c r="A35" s="271"/>
      <c r="D35" s="180">
        <f>'Costs - SR - LEO'!AA36</f>
        <v>693000000</v>
      </c>
      <c r="E35" s="268">
        <f>'Costs - SR - LEO'!AH36</f>
        <v>5.254139065142386</v>
      </c>
      <c r="G35" s="180">
        <f>'Costs - SR - GEO'!AB36</f>
        <v>693000000</v>
      </c>
      <c r="H35" s="268">
        <f>'Costs - SR - GEO'!AI36</f>
        <v>22.228521848373166</v>
      </c>
    </row>
    <row r="36" spans="1:8">
      <c r="A36" s="271"/>
      <c r="D36" s="180">
        <f>'Costs - SR - LEO'!AA37</f>
        <v>714000000</v>
      </c>
      <c r="E36" s="268">
        <f>'Costs - SR - LEO'!AH37</f>
        <v>5.2301935185903696</v>
      </c>
      <c r="G36" s="180">
        <f>'Costs - SR - GEO'!AB37</f>
        <v>714000000</v>
      </c>
      <c r="H36" s="268">
        <f>'Costs - SR - GEO'!AI37</f>
        <v>22.182494702243666</v>
      </c>
    </row>
    <row r="37" spans="1:8">
      <c r="A37" s="271"/>
      <c r="D37" s="180">
        <f>'Costs - SR - LEO'!AA38</f>
        <v>735000000</v>
      </c>
      <c r="E37" s="268">
        <f>'Costs - SR - LEO'!AH38</f>
        <v>5.2076162889841822</v>
      </c>
      <c r="G37" s="180">
        <f>'Costs - SR - GEO'!AB38</f>
        <v>735000000</v>
      </c>
      <c r="H37" s="268">
        <f>'Costs - SR - GEO'!AI38</f>
        <v>22.139097678750144</v>
      </c>
    </row>
    <row r="38" spans="1:8">
      <c r="A38" s="271"/>
      <c r="D38" s="180">
        <f>'Costs - SR - LEO'!AA39</f>
        <v>756000000</v>
      </c>
      <c r="E38" s="268">
        <f>'Costs - SR - LEO'!AH39</f>
        <v>5.1862933499116712</v>
      </c>
      <c r="G38" s="180">
        <f>'Costs - SR - GEO'!AB39</f>
        <v>756000000</v>
      </c>
      <c r="H38" s="268">
        <f>'Costs - SR - GEO'!AI39</f>
        <v>22.098111601006259</v>
      </c>
    </row>
    <row r="39" spans="1:8">
      <c r="A39" s="271"/>
      <c r="D39" s="180">
        <f>'Costs - SR - LEO'!AA40</f>
        <v>777000000</v>
      </c>
      <c r="E39" s="268">
        <f>'Costs - SR - LEO'!AH40</f>
        <v>5.1661230021403775</v>
      </c>
      <c r="G39" s="180">
        <f>'Costs - SR - GEO'!AB40</f>
        <v>777000000</v>
      </c>
      <c r="H39" s="268">
        <f>'Costs - SR - GEO'!AI40</f>
        <v>22.059340986924209</v>
      </c>
    </row>
    <row r="40" spans="1:8">
      <c r="A40" s="271"/>
      <c r="D40" s="180">
        <f>'Costs - SR - LEO'!AA41</f>
        <v>798000000</v>
      </c>
      <c r="E40" s="268">
        <f>'Costs - SR - LEO'!AH41</f>
        <v>5.1470142516202042</v>
      </c>
      <c r="G40" s="180">
        <f>'Costs - SR - GEO'!AB41</f>
        <v>798000000</v>
      </c>
      <c r="H40" s="268">
        <f>'Costs - SR - GEO'!AI41</f>
        <v>22.022610931478052</v>
      </c>
    </row>
    <row r="41" spans="1:8">
      <c r="A41" s="271"/>
      <c r="D41" s="180">
        <f>'Costs - SR - LEO'!AA42</f>
        <v>819000000</v>
      </c>
      <c r="E41" s="268">
        <f>'Costs - SR - LEO'!AH42</f>
        <v>5.1288854370241426</v>
      </c>
      <c r="G41" s="180">
        <f>'Costs - SR - GEO'!AB42</f>
        <v>819000000</v>
      </c>
      <c r="H41" s="268">
        <f>'Costs - SR - GEO'!AI42</f>
        <v>21.987764468618877</v>
      </c>
    </row>
    <row r="42" spans="1:8">
      <c r="A42" s="271"/>
      <c r="D42" s="180">
        <f>'Costs - SR - LEO'!AA43</f>
        <v>840000000</v>
      </c>
      <c r="E42" s="268">
        <f>'Costs - SR - LEO'!AH43</f>
        <v>5.1116630631578834</v>
      </c>
      <c r="G42" s="180">
        <f>'Costs - SR - GEO'!AB43</f>
        <v>840000000</v>
      </c>
      <c r="H42" s="268">
        <f>'Costs - SR - GEO'!AI43</f>
        <v>21.954660328902666</v>
      </c>
    </row>
    <row r="43" spans="1:8">
      <c r="A43" s="271"/>
      <c r="D43" s="180">
        <f>'Costs - SR - LEO'!AA44</f>
        <v>861000000</v>
      </c>
      <c r="E43" s="268">
        <f>'Costs - SR - LEO'!AH44</f>
        <v>5.0952808050899785</v>
      </c>
      <c r="G43" s="180">
        <f>'Costs - SR - GEO'!AB44</f>
        <v>861000000</v>
      </c>
      <c r="H43" s="268">
        <f>'Costs - SR - GEO'!AI44</f>
        <v>21.923171025270168</v>
      </c>
    </row>
    <row r="44" spans="1:8">
      <c r="A44" s="271"/>
      <c r="D44" s="180">
        <f>'Costs - SR - LEO'!AA45</f>
        <v>882000000</v>
      </c>
      <c r="E44" s="268">
        <f>'Costs - SR - LEO'!AH45</f>
        <v>5.0796786545491184</v>
      </c>
      <c r="G44" s="180">
        <f>'Costs - SR - GEO'!AB45</f>
        <v>882000000</v>
      </c>
      <c r="H44" s="268">
        <f>'Costs - SR - GEO'!AI45</f>
        <v>21.893181212286837</v>
      </c>
    </row>
    <row r="45" spans="1:8">
      <c r="A45" s="271"/>
      <c r="D45" s="180">
        <f>'Costs - SR - LEO'!AA46</f>
        <v>903000000</v>
      </c>
      <c r="E45" s="268">
        <f>'Costs - SR - LEO'!AH46</f>
        <v>5.0648021854287615</v>
      </c>
      <c r="G45" s="180">
        <f>'Costs - SR - GEO'!AB46</f>
        <v>903000000</v>
      </c>
      <c r="H45" s="268">
        <f>'Costs - SR - GEO'!AI46</f>
        <v>21.86458627432599</v>
      </c>
    </row>
    <row r="46" spans="1:8">
      <c r="A46" s="271"/>
      <c r="D46" s="180">
        <f>'Costs - SR - LEO'!AA47</f>
        <v>924000000</v>
      </c>
      <c r="E46" s="268">
        <f>'Costs - SR - LEO'!AH47</f>
        <v>5.0506019194502398</v>
      </c>
      <c r="G46" s="180">
        <f>'Costs - SR - GEO'!AB47</f>
        <v>924000000</v>
      </c>
      <c r="H46" s="268">
        <f>'Costs - SR - GEO'!AI47</f>
        <v>21.837291106272449</v>
      </c>
    </row>
    <row r="47" spans="1:8">
      <c r="D47" s="180">
        <f>'Costs - SR - LEO'!AA48</f>
        <v>945000000</v>
      </c>
      <c r="E47" s="268">
        <f>'Costs - SR - LEO'!AH48</f>
        <v>5.0370327764040956</v>
      </c>
      <c r="G47" s="180">
        <f>'Costs - SR - GEO'!AB48</f>
        <v>945000000</v>
      </c>
      <c r="H47" s="268">
        <f>'Costs - SR - GEO'!AI48</f>
        <v>21.811209056799068</v>
      </c>
    </row>
    <row r="48" spans="1:8">
      <c r="D48" s="180">
        <f>'Costs - SR - LEO'!AA49</f>
        <v>966000000</v>
      </c>
      <c r="E48" s="268">
        <f>'Costs - SR - LEO'!AH49</f>
        <v>5.0240535960990904</v>
      </c>
      <c r="G48" s="180">
        <f>'Costs - SR - GEO'!AB49</f>
        <v>966000000</v>
      </c>
      <c r="H48" s="268">
        <f>'Costs - SR - GEO'!AI49</f>
        <v>21.786261009476704</v>
      </c>
    </row>
    <row r="49" spans="4:8">
      <c r="D49" s="180">
        <f>'Costs - SR - LEO'!AA50</f>
        <v>987000000</v>
      </c>
      <c r="E49" s="268">
        <f>'Costs - SR - LEO'!AH50</f>
        <v>5.0116267213389776</v>
      </c>
      <c r="G49" s="180">
        <f>'Costs - SR - GEO'!AB50</f>
        <v>987000000</v>
      </c>
      <c r="H49" s="268">
        <f>'Costs - SR - GEO'!AI50</f>
        <v>21.762374581189331</v>
      </c>
    </row>
    <row r="50" spans="4:8">
      <c r="D50" s="180">
        <f>'Costs - SR - LEO'!AA51</f>
        <v>1008000000</v>
      </c>
      <c r="E50" s="268">
        <f>'Costs - SR - LEO'!AH51</f>
        <v>4.9997176330272026</v>
      </c>
      <c r="G50" s="180">
        <f>'Costs - SR - GEO'!AB51</f>
        <v>1008000000</v>
      </c>
      <c r="H50" s="268">
        <f>'Costs - SR - GEO'!AI51</f>
        <v>21.73948342074727</v>
      </c>
    </row>
    <row r="51" spans="4:8">
      <c r="D51" s="180">
        <f>'Costs - SR - LEO'!AA52</f>
        <v>1029000000</v>
      </c>
      <c r="E51" s="268">
        <f>'Costs - SR - LEO'!AH52</f>
        <v>4.9882946299526436</v>
      </c>
      <c r="G51" s="180">
        <f>'Costs - SR - GEO'!AB52</f>
        <v>1029000000</v>
      </c>
      <c r="H51" s="268">
        <f>'Costs - SR - GEO'!AI52</f>
        <v>21.717526593384473</v>
      </c>
    </row>
    <row r="52" spans="4:8">
      <c r="D52" s="180">
        <f>'Costs - SR - LEO'!AA53</f>
        <v>1050000000</v>
      </c>
      <c r="E52" s="268">
        <f>'Costs - SR - LEO'!AH53</f>
        <v>4.9773285470010666</v>
      </c>
      <c r="G52" s="180">
        <f>'Costs - SR - GEO'!AB53</f>
        <v>1050000000</v>
      </c>
      <c r="H52" s="268">
        <f>'Costs - SR - GEO'!AI53</f>
        <v>21.696448039116195</v>
      </c>
    </row>
    <row r="53" spans="4:8">
      <c r="D53" s="180">
        <f>'Costs - SR - LEO'!AA54</f>
        <v>1071000000</v>
      </c>
      <c r="E53" s="268">
        <f>'Costs - SR - LEO'!AH54</f>
        <v>4.9667925065181793</v>
      </c>
      <c r="G53" s="180">
        <f>'Costs - SR - GEO'!AB54</f>
        <v>1071000000</v>
      </c>
      <c r="H53" s="268">
        <f>'Costs - SR - GEO'!AI54</f>
        <v>21.676196094819215</v>
      </c>
    </row>
    <row r="54" spans="4:8" ht="15" thickBot="1">
      <c r="D54" s="180">
        <f>'Costs - SR - LEO'!AA55</f>
        <v>1092000000</v>
      </c>
      <c r="E54" s="268">
        <f>'Costs - SR - LEO'!AH55</f>
        <v>4.9566616983615557</v>
      </c>
      <c r="G54" s="188">
        <f>'Costs - SR - GEO'!AB55</f>
        <v>1092000000</v>
      </c>
      <c r="H54" s="272">
        <f>'Costs - SR - GEO'!AI55</f>
        <v>21.656723071456732</v>
      </c>
    </row>
    <row r="55" spans="4:8">
      <c r="D55" s="180">
        <f>'Costs - SR - LEO'!AA56</f>
        <v>1113000000</v>
      </c>
      <c r="E55" s="268">
        <f>'Costs - SR - LEO'!AH56</f>
        <v>4.9469131848523533</v>
      </c>
      <c r="G55" s="271"/>
      <c r="H55" s="271"/>
    </row>
    <row r="56" spans="4:8">
      <c r="D56" s="180">
        <f>'Costs - SR - LEO'!AA57</f>
        <v>1134000000</v>
      </c>
      <c r="E56" s="268">
        <f>'Costs - SR - LEO'!AH57</f>
        <v>4.9375257273990467</v>
      </c>
      <c r="G56" s="271"/>
      <c r="H56" s="271"/>
    </row>
    <row r="57" spans="4:8">
      <c r="D57" s="180">
        <f>'Costs - SR - LEO'!AA58</f>
        <v>1155000000</v>
      </c>
      <c r="E57" s="268">
        <f>'Costs - SR - LEO'!AH58</f>
        <v>4.9284796320349509</v>
      </c>
      <c r="G57" s="271"/>
      <c r="H57" s="271"/>
    </row>
    <row r="58" spans="4:8">
      <c r="D58" s="180">
        <f>'Costs - SR - LEO'!AA59</f>
        <v>1176000000</v>
      </c>
      <c r="E58" s="268">
        <f>'Costs - SR - LEO'!AH59</f>
        <v>4.9197566115052878</v>
      </c>
      <c r="G58" s="271"/>
      <c r="H58" s="271"/>
    </row>
    <row r="59" spans="4:8">
      <c r="D59" s="180">
        <f>'Costs - SR - LEO'!AA60</f>
        <v>1197000000</v>
      </c>
      <c r="E59" s="268">
        <f>'Costs - SR - LEO'!AH60</f>
        <v>4.911339661871402</v>
      </c>
      <c r="G59" s="271"/>
      <c r="H59" s="271"/>
    </row>
    <row r="60" spans="4:8">
      <c r="D60" s="180">
        <f>'Costs - SR - LEO'!AA61</f>
        <v>1218000000</v>
      </c>
      <c r="E60" s="268">
        <f>'Costs - SR - LEO'!AH61</f>
        <v>4.9032129518800645</v>
      </c>
      <c r="G60" s="271"/>
      <c r="H60" s="271"/>
    </row>
    <row r="61" spans="4:8">
      <c r="D61" s="180">
        <f>'Costs - SR - LEO'!AA62</f>
        <v>1239000000</v>
      </c>
      <c r="E61" s="268">
        <f>'Costs - SR - LEO'!AH62</f>
        <v>4.8953617235833482</v>
      </c>
      <c r="G61" s="271"/>
      <c r="H61" s="271"/>
    </row>
    <row r="62" spans="4:8">
      <c r="D62" s="180">
        <f>'Costs - SR - LEO'!AA63</f>
        <v>1260000000</v>
      </c>
      <c r="E62" s="268">
        <f>'Costs - SR - LEO'!AH63</f>
        <v>4.8877722028965218</v>
      </c>
      <c r="G62" s="271"/>
      <c r="H62" s="271"/>
    </row>
    <row r="63" spans="4:8">
      <c r="D63" s="180">
        <f>'Costs - SR - LEO'!AA64</f>
        <v>1281000000</v>
      </c>
      <c r="E63" s="268">
        <f>'Costs - SR - LEO'!AH64</f>
        <v>4.880431518953527</v>
      </c>
      <c r="G63" s="271"/>
      <c r="H63" s="271"/>
    </row>
    <row r="64" spans="4:8">
      <c r="D64" s="180">
        <f>'Costs - SR - LEO'!AA65</f>
        <v>1302000000</v>
      </c>
      <c r="E64" s="268">
        <f>'Costs - SR - LEO'!AH65</f>
        <v>4.8733276312667568</v>
      </c>
      <c r="G64" s="271"/>
      <c r="H64" s="271"/>
    </row>
    <row r="65" spans="4:8">
      <c r="D65" s="180">
        <f>'Costs - SR - LEO'!AA66</f>
        <v>1323000000</v>
      </c>
      <c r="E65" s="268">
        <f>'Costs - SR - LEO'!AH66</f>
        <v>4.8664492638240109</v>
      </c>
      <c r="G65" s="271"/>
      <c r="H65" s="271"/>
    </row>
    <row r="66" spans="4:8">
      <c r="D66" s="180">
        <f>'Costs - SR - LEO'!AA67</f>
        <v>1344000000</v>
      </c>
      <c r="E66" s="268">
        <f>'Costs - SR - LEO'!AH67</f>
        <v>4.8597858453638514</v>
      </c>
      <c r="G66" s="271"/>
      <c r="H66" s="271"/>
    </row>
    <row r="67" spans="4:8">
      <c r="D67" s="180">
        <f>'Costs - SR - LEO'!AA68</f>
        <v>1365000000</v>
      </c>
      <c r="E67" s="268">
        <f>'Costs - SR - LEO'!AH68</f>
        <v>4.8533274551640044</v>
      </c>
      <c r="G67" s="271"/>
      <c r="H67" s="271"/>
    </row>
    <row r="68" spans="4:8">
      <c r="D68" s="180">
        <f>'Costs - SR - LEO'!AA69</f>
        <v>1386000000</v>
      </c>
      <c r="E68" s="268">
        <f>'Costs - SR - LEO'!AH69</f>
        <v>4.8470647737580927</v>
      </c>
      <c r="G68" s="271"/>
      <c r="H68" s="271"/>
    </row>
    <row r="69" spans="4:8">
      <c r="D69" s="180">
        <f>'Costs - SR - LEO'!AA70</f>
        <v>1407000000</v>
      </c>
      <c r="E69" s="268">
        <f>'Costs - SR - LEO'!AH70</f>
        <v>4.8409890380657892</v>
      </c>
      <c r="G69" s="271"/>
      <c r="H69" s="271"/>
    </row>
    <row r="70" spans="4:8">
      <c r="D70" s="180">
        <f>'Costs - SR - LEO'!AA71</f>
        <v>1428000000</v>
      </c>
      <c r="E70" s="268">
        <f>'Costs - SR - LEO'!AH71</f>
        <v>4.8350920004820841</v>
      </c>
      <c r="G70" s="271"/>
      <c r="H70" s="271"/>
    </row>
    <row r="71" spans="4:8">
      <c r="D71" s="180">
        <f>'Costs - SR - LEO'!AA72</f>
        <v>1449000000</v>
      </c>
      <c r="E71" s="268">
        <f>'Costs - SR - LEO'!AH72</f>
        <v>4.8293658915239925</v>
      </c>
      <c r="G71" s="271"/>
      <c r="H71" s="271"/>
    </row>
    <row r="72" spans="4:8">
      <c r="D72" s="180">
        <f>'Costs - SR - LEO'!AA73</f>
        <v>1470000000</v>
      </c>
      <c r="E72" s="268">
        <f>'Costs - SR - LEO'!AH73</f>
        <v>4.8238033856789899</v>
      </c>
      <c r="G72" s="271"/>
      <c r="H72" s="271"/>
    </row>
    <row r="73" spans="4:8">
      <c r="D73" s="180">
        <f>'Costs - SR - LEO'!AA74</f>
        <v>1491000000</v>
      </c>
      <c r="E73" s="268">
        <f>'Costs - SR - LEO'!AH74</f>
        <v>4.8183975701394806</v>
      </c>
      <c r="G73" s="271"/>
      <c r="H73" s="271"/>
    </row>
    <row r="74" spans="4:8">
      <c r="D74" s="180">
        <f>'Costs - SR - LEO'!AA75</f>
        <v>1512000000</v>
      </c>
      <c r="E74" s="268">
        <f>'Costs - SR - LEO'!AH75</f>
        <v>4.813141916142734</v>
      </c>
      <c r="G74" s="271"/>
      <c r="H74" s="271"/>
    </row>
    <row r="75" spans="4:8">
      <c r="D75" s="180">
        <f>'Costs - SR - LEO'!AA76</f>
        <v>1533000000</v>
      </c>
      <c r="E75" s="268">
        <f>'Costs - SR - LEO'!AH76</f>
        <v>4.8080302526664482</v>
      </c>
      <c r="G75" s="271"/>
      <c r="H75" s="271"/>
    </row>
    <row r="76" spans="4:8">
      <c r="D76" s="180">
        <f>'Costs - SR - LEO'!AA77</f>
        <v>1554000000</v>
      </c>
      <c r="E76" s="268">
        <f>'Costs - SR - LEO'!AH77</f>
        <v>4.8030567422570876</v>
      </c>
      <c r="G76" s="271"/>
      <c r="H76" s="271"/>
    </row>
    <row r="77" spans="4:8">
      <c r="D77" s="180">
        <f>'Costs - SR - LEO'!AA78</f>
        <v>1575000000</v>
      </c>
      <c r="E77" s="268">
        <f>'Costs - SR - LEO'!AH78</f>
        <v>4.798215858791977</v>
      </c>
      <c r="G77" s="271"/>
      <c r="H77" s="271"/>
    </row>
    <row r="78" spans="4:8">
      <c r="D78" s="180">
        <f>'Costs - SR - LEO'!AA79</f>
        <v>1596000000</v>
      </c>
      <c r="E78" s="268">
        <f>'Costs - SR - LEO'!AH79</f>
        <v>4.7935023669970001</v>
      </c>
      <c r="G78" s="271"/>
      <c r="H78" s="271"/>
    </row>
    <row r="79" spans="4:8">
      <c r="D79" s="180">
        <f>'Costs - SR - LEO'!AA80</f>
        <v>1617000000</v>
      </c>
      <c r="E79" s="268">
        <f>'Costs - SR - LEO'!AH80</f>
        <v>4.7889113035603366</v>
      </c>
      <c r="G79" s="271"/>
      <c r="H79" s="271"/>
    </row>
    <row r="80" spans="4:8">
      <c r="D80" s="180">
        <f>'Costs - SR - LEO'!AA81</f>
        <v>1638000000</v>
      </c>
      <c r="E80" s="268">
        <f>'Costs - SR - LEO'!AH81</f>
        <v>4.7844379596989706</v>
      </c>
      <c r="G80" s="271"/>
      <c r="H80" s="271"/>
    </row>
    <row r="81" spans="4:8">
      <c r="D81" s="180">
        <f>'Costs - SR - LEO'!AA82</f>
        <v>1659000000</v>
      </c>
      <c r="E81" s="268">
        <f>'Costs - SR - LEO'!AH82</f>
        <v>4.7800778650492841</v>
      </c>
      <c r="G81" s="271"/>
      <c r="H81" s="271"/>
    </row>
    <row r="82" spans="4:8">
      <c r="D82" s="180">
        <f>'Costs - SR - LEO'!AA83</f>
        <v>1680000000</v>
      </c>
      <c r="E82" s="268">
        <f>'Costs - SR - LEO'!AH83</f>
        <v>4.775826772765841</v>
      </c>
      <c r="G82" s="271"/>
      <c r="H82" s="271"/>
    </row>
    <row r="83" spans="4:8">
      <c r="D83" s="180">
        <f>'Costs - SR - LEO'!AA84</f>
        <v>1701000000</v>
      </c>
      <c r="E83" s="268">
        <f>'Costs - SR - LEO'!AH84</f>
        <v>4.771680645723964</v>
      </c>
      <c r="G83" s="271"/>
      <c r="H83" s="271"/>
    </row>
    <row r="84" spans="4:8">
      <c r="D84" s="180">
        <f>'Costs - SR - LEO'!AA85</f>
        <v>1722000000</v>
      </c>
      <c r="E84" s="268">
        <f>'Costs - SR - LEO'!AH85</f>
        <v>4.7676356437318894</v>
      </c>
      <c r="G84" s="271"/>
      <c r="H84" s="271"/>
    </row>
    <row r="85" spans="4:8">
      <c r="D85" s="180">
        <f>'Costs - SR - LEO'!AA86</f>
        <v>1743000000</v>
      </c>
      <c r="E85" s="268">
        <f>'Costs - SR - LEO'!AH86</f>
        <v>4.7636881116673333</v>
      </c>
      <c r="G85" s="271"/>
      <c r="H85" s="271"/>
    </row>
    <row r="86" spans="4:8">
      <c r="D86" s="180">
        <f>'Costs - SR - LEO'!AA87</f>
        <v>1764000000</v>
      </c>
      <c r="E86" s="268">
        <f>'Costs - SR - LEO'!AH87</f>
        <v>4.7598345684614571</v>
      </c>
      <c r="G86" s="271"/>
      <c r="H86" s="271"/>
    </row>
    <row r="87" spans="4:8">
      <c r="D87" s="180">
        <f>'Costs - SR - LEO'!AA88</f>
        <v>1785000000</v>
      </c>
      <c r="E87" s="268">
        <f>'Costs - SR - LEO'!AH88</f>
        <v>4.7560716968604266</v>
      </c>
      <c r="G87" s="271"/>
      <c r="H87" s="271"/>
    </row>
    <row r="88" spans="4:8">
      <c r="D88" s="180">
        <f>'Costs - SR - LEO'!AA89</f>
        <v>1806000000</v>
      </c>
      <c r="E88" s="268">
        <f>'Costs - SR - LEO'!AH89</f>
        <v>4.7523963339012791</v>
      </c>
      <c r="G88" s="271"/>
      <c r="H88" s="271"/>
    </row>
    <row r="89" spans="4:8">
      <c r="D89" s="180">
        <f>'Costs - SR - LEO'!AA90</f>
        <v>1827000000</v>
      </c>
      <c r="E89" s="268">
        <f>'Costs - SR - LEO'!AH90</f>
        <v>4.7488054620446425</v>
      </c>
      <c r="G89" s="271"/>
      <c r="H89" s="271"/>
    </row>
    <row r="90" spans="4:8">
      <c r="D90" s="180">
        <f>'Costs - SR - LEO'!AA91</f>
        <v>1848000000</v>
      </c>
      <c r="E90" s="268">
        <f>'Costs - SR - LEO'!AH91</f>
        <v>4.7452962009120183</v>
      </c>
      <c r="G90" s="271"/>
      <c r="H90" s="271"/>
    </row>
    <row r="91" spans="4:8">
      <c r="D91" s="180">
        <f>'Costs - SR - LEO'!AA92</f>
        <v>1869000000</v>
      </c>
      <c r="E91" s="268">
        <f>'Costs - SR - LEO'!AH92</f>
        <v>4.7418657995801272</v>
      </c>
      <c r="G91" s="271"/>
      <c r="H91" s="271"/>
    </row>
    <row r="92" spans="4:8">
      <c r="D92" s="180">
        <f>'Costs - SR - LEO'!AA93</f>
        <v>1890000000</v>
      </c>
      <c r="E92" s="268">
        <f>'Costs - SR - LEO'!AH93</f>
        <v>4.7385116293889462</v>
      </c>
      <c r="G92" s="271"/>
      <c r="H92" s="271"/>
    </row>
    <row r="93" spans="4:8">
      <c r="D93" s="180">
        <f>'Costs - SR - LEO'!AA94</f>
        <v>1911000000</v>
      </c>
      <c r="E93" s="268">
        <f>'Costs - SR - LEO'!AH94</f>
        <v>4.7352311772239455</v>
      </c>
      <c r="G93" s="271"/>
      <c r="H93" s="271"/>
    </row>
    <row r="94" spans="4:8">
      <c r="D94" s="180">
        <f>'Costs - SR - LEO'!AA95</f>
        <v>1932000000</v>
      </c>
      <c r="E94" s="268">
        <f>'Costs - SR - LEO'!AH95</f>
        <v>4.732022039236444</v>
      </c>
      <c r="G94" s="271"/>
      <c r="H94" s="271"/>
    </row>
    <row r="95" spans="4:8">
      <c r="D95" s="180">
        <f>'Costs - SR - LEO'!AA96</f>
        <v>1953000000</v>
      </c>
      <c r="E95" s="268">
        <f>'Costs - SR - LEO'!AH96</f>
        <v>4.7288819149691026</v>
      </c>
      <c r="G95" s="271"/>
      <c r="H95" s="271"/>
    </row>
    <row r="96" spans="4:8">
      <c r="D96" s="180">
        <f>'Costs - SR - LEO'!AA97</f>
        <v>1974000000</v>
      </c>
      <c r="E96" s="268">
        <f>'Costs - SR - LEO'!AH97</f>
        <v>4.7258086018563876</v>
      </c>
      <c r="G96" s="271"/>
      <c r="H96" s="271"/>
    </row>
    <row r="97" spans="4:8">
      <c r="D97" s="180">
        <f>'Costs - SR - LEO'!AA98</f>
        <v>1995000000</v>
      </c>
      <c r="E97" s="268">
        <f>'Costs - SR - LEO'!AH98</f>
        <v>4.7227999900723603</v>
      </c>
      <c r="G97" s="271"/>
      <c r="H97" s="271"/>
    </row>
    <row r="98" spans="4:8">
      <c r="D98" s="180">
        <f>'Costs - SR - LEO'!AA99</f>
        <v>2016000000</v>
      </c>
      <c r="E98" s="268">
        <f>'Costs - SR - LEO'!AH99</f>
        <v>4.7198540577004993</v>
      </c>
      <c r="G98" s="271"/>
      <c r="H98" s="271"/>
    </row>
    <row r="99" spans="4:8">
      <c r="D99" s="180">
        <f>'Costs - SR - LEO'!AA100</f>
        <v>2037000000</v>
      </c>
      <c r="E99" s="268">
        <f>'Costs - SR - LEO'!AH100</f>
        <v>4.7169688662022864</v>
      </c>
      <c r="G99" s="271"/>
      <c r="H99" s="271"/>
    </row>
    <row r="100" spans="4:8">
      <c r="D100" s="180">
        <f>'Costs - SR - LEO'!AA101</f>
        <v>2058000000</v>
      </c>
      <c r="E100" s="268">
        <f>'Costs - SR - LEO'!AH101</f>
        <v>4.7141425561632211</v>
      </c>
      <c r="G100" s="271"/>
      <c r="H100" s="271"/>
    </row>
    <row r="101" spans="4:8">
      <c r="D101" s="180">
        <f>'Costs - SR - LEO'!AA102</f>
        <v>2079000000</v>
      </c>
      <c r="E101" s="268">
        <f>'Costs - SR - LEO'!AH102</f>
        <v>4.7113733432966605</v>
      </c>
      <c r="G101" s="271"/>
      <c r="H101" s="271"/>
    </row>
    <row r="102" spans="4:8">
      <c r="D102" s="180">
        <f>'Costs - SR - LEO'!AA103</f>
        <v>2100000000</v>
      </c>
      <c r="E102" s="268">
        <f>'Costs - SR - LEO'!AH103</f>
        <v>4.7086595146874313</v>
      </c>
      <c r="G102" s="271"/>
      <c r="H102" s="271"/>
    </row>
    <row r="103" spans="4:8">
      <c r="D103" s="180">
        <f>'Costs - SR - LEO'!AA104</f>
        <v>2121000000</v>
      </c>
      <c r="E103" s="268">
        <f>'Costs - SR - LEO'!AH104</f>
        <v>4.7059994252585833</v>
      </c>
      <c r="G103" s="271"/>
      <c r="H103" s="271"/>
    </row>
    <row r="104" spans="4:8">
      <c r="D104" s="180">
        <f>'Costs - SR - LEO'!AA105</f>
        <v>2142000000</v>
      </c>
      <c r="E104" s="268">
        <f>'Costs - SR - LEO'!AH105</f>
        <v>4.7033914944459871</v>
      </c>
      <c r="G104" s="271"/>
      <c r="H104" s="271"/>
    </row>
    <row r="105" spans="4:8">
      <c r="D105" s="180">
        <f>'Costs - SR - LEO'!AA106</f>
        <v>2163000000</v>
      </c>
      <c r="E105" s="268">
        <f>'Costs - SR - LEO'!AH106</f>
        <v>4.7008342030666466</v>
      </c>
      <c r="G105" s="271"/>
      <c r="H105" s="271"/>
    </row>
    <row r="106" spans="4:8">
      <c r="D106" s="180">
        <f>'Costs - SR - LEO'!AA107</f>
        <v>2184000000</v>
      </c>
      <c r="E106" s="268">
        <f>'Costs - SR - LEO'!AH107</f>
        <v>4.6983260903676776</v>
      </c>
      <c r="G106" s="271"/>
      <c r="H106" s="271"/>
    </row>
    <row r="107" spans="4:8">
      <c r="D107" s="180">
        <f>'Costs - SR - LEO'!AA108</f>
        <v>2205000000</v>
      </c>
      <c r="E107" s="268">
        <f>'Costs - SR - LEO'!AH108</f>
        <v>4.6958657512439261</v>
      </c>
      <c r="G107" s="271"/>
      <c r="H107" s="271"/>
    </row>
    <row r="108" spans="4:8">
      <c r="D108" s="180">
        <f>'Costs - SR - LEO'!AA109</f>
        <v>2226000000</v>
      </c>
      <c r="E108" s="268">
        <f>'Costs - SR - LEO'!AH109</f>
        <v>4.6934518336130751</v>
      </c>
      <c r="G108" s="271"/>
      <c r="H108" s="271"/>
    </row>
    <row r="109" spans="4:8">
      <c r="D109" s="180">
        <f>'Costs - SR - LEO'!AA110</f>
        <v>2247000000</v>
      </c>
      <c r="E109" s="268">
        <f>'Costs - SR - LEO'!AH110</f>
        <v>4.6910830359379414</v>
      </c>
      <c r="G109" s="271"/>
      <c r="H109" s="271"/>
    </row>
    <row r="110" spans="4:8">
      <c r="D110" s="180">
        <f>'Costs - SR - LEO'!AA111</f>
        <v>2268000000</v>
      </c>
      <c r="E110" s="268">
        <f>'Costs - SR - LEO'!AH111</f>
        <v>4.6887581048864222</v>
      </c>
      <c r="G110" s="271"/>
      <c r="H110" s="271"/>
    </row>
    <row r="111" spans="4:8">
      <c r="D111" s="180">
        <f>'Costs - SR - LEO'!AA112</f>
        <v>2289000000</v>
      </c>
      <c r="E111" s="268">
        <f>'Costs - SR - LEO'!AH112</f>
        <v>4.6864758331202507</v>
      </c>
      <c r="G111" s="271"/>
      <c r="H111" s="271"/>
    </row>
    <row r="112" spans="4:8">
      <c r="D112" s="180">
        <f>'Costs - SR - LEO'!AA113</f>
        <v>2310000000</v>
      </c>
      <c r="E112" s="268">
        <f>'Costs - SR - LEO'!AH113</f>
        <v>4.6842350572043738</v>
      </c>
      <c r="G112" s="271"/>
      <c r="H112" s="271"/>
    </row>
    <row r="113" spans="4:8">
      <c r="D113" s="180">
        <f>'Costs - SR - LEO'!AA114</f>
        <v>2331000000</v>
      </c>
      <c r="E113" s="268">
        <f>'Costs - SR - LEO'!AH114</f>
        <v>4.682034655629324</v>
      </c>
      <c r="G113" s="271"/>
      <c r="H113" s="273"/>
    </row>
    <row r="114" spans="4:8">
      <c r="D114" s="180">
        <f>'Costs - SR - LEO'!AA115</f>
        <v>2352000000</v>
      </c>
      <c r="E114" s="268">
        <f>'Costs - SR - LEO'!AH115</f>
        <v>4.6798735469395423</v>
      </c>
      <c r="G114" s="271"/>
      <c r="H114" s="273"/>
    </row>
    <row r="115" spans="4:8">
      <c r="D115" s="180">
        <f>'Costs - SR - LEO'!AA116</f>
        <v>2373000000</v>
      </c>
      <c r="E115" s="268">
        <f>'Costs - SR - LEO'!AH116</f>
        <v>4.6777506879610851</v>
      </c>
      <c r="G115" s="271"/>
      <c r="H115" s="273"/>
    </row>
    <row r="116" spans="4:8">
      <c r="D116" s="180">
        <f>'Costs - SR - LEO'!AA117</f>
        <v>2394000000</v>
      </c>
      <c r="E116" s="268">
        <f>'Costs - SR - LEO'!AH117</f>
        <v>4.6756650721225999</v>
      </c>
      <c r="G116" s="271"/>
      <c r="H116" s="273"/>
    </row>
    <row r="117" spans="4:8">
      <c r="D117" s="180">
        <f>'Costs - SR - LEO'!AA118</f>
        <v>2415000000</v>
      </c>
      <c r="E117" s="268">
        <f>'Costs - SR - LEO'!AH118</f>
        <v>4.6736157278639148</v>
      </c>
      <c r="G117" s="271"/>
      <c r="H117" s="273"/>
    </row>
    <row r="118" spans="4:8">
      <c r="D118" s="180">
        <f>'Costs - SR - LEO'!AA119</f>
        <v>2436000000</v>
      </c>
      <c r="E118" s="268">
        <f>'Costs - SR - LEO'!AH119</f>
        <v>4.6716017171269311</v>
      </c>
      <c r="G118" s="271"/>
      <c r="H118" s="273"/>
    </row>
    <row r="119" spans="4:8">
      <c r="D119" s="180">
        <f>'Costs - SR - LEO'!AA120</f>
        <v>2457000000</v>
      </c>
      <c r="E119" s="268">
        <f>'Costs - SR - LEO'!AH120</f>
        <v>4.6696221339239115</v>
      </c>
      <c r="G119" s="271"/>
      <c r="H119" s="273"/>
    </row>
    <row r="120" spans="4:8">
      <c r="D120" s="180">
        <f>'Costs - SR - LEO'!AA121</f>
        <v>2478000000</v>
      </c>
      <c r="E120" s="268">
        <f>'Costs - SR - LEO'!AH121</f>
        <v>4.6676761029785734</v>
      </c>
      <c r="G120" s="271"/>
      <c r="H120" s="273"/>
    </row>
    <row r="121" spans="4:8">
      <c r="D121" s="180">
        <f>'Costs - SR - LEO'!AA122</f>
        <v>2499000000</v>
      </c>
      <c r="E121" s="268">
        <f>'Costs - SR - LEO'!AH122</f>
        <v>4.6657627784356741</v>
      </c>
      <c r="G121" s="271"/>
      <c r="H121" s="273"/>
    </row>
    <row r="122" spans="4:8">
      <c r="D122" s="180">
        <f>'Costs - SR - LEO'!AA123</f>
        <v>2520000000</v>
      </c>
      <c r="E122" s="268">
        <f>'Costs - SR - LEO'!AH123</f>
        <v>4.6638813426351602</v>
      </c>
      <c r="G122" s="271"/>
      <c r="H122" s="273"/>
    </row>
    <row r="123" spans="4:8">
      <c r="D123" s="180">
        <f>'Costs - SR - LEO'!AA124</f>
        <v>2541000000</v>
      </c>
      <c r="E123" s="268">
        <f>'Costs - SR - LEO'!AH124</f>
        <v>4.6620310049470488</v>
      </c>
      <c r="G123" s="271"/>
      <c r="H123" s="273"/>
    </row>
    <row r="124" spans="4:8">
      <c r="D124" s="180">
        <f>'Costs - SR - LEO'!AA125</f>
        <v>2562000000</v>
      </c>
      <c r="E124" s="268">
        <f>'Costs - SR - LEO'!AH125</f>
        <v>4.6602110006636623</v>
      </c>
      <c r="G124" s="271"/>
      <c r="H124" s="273"/>
    </row>
    <row r="125" spans="4:8">
      <c r="D125" s="180">
        <f>'Costs - SR - LEO'!AA126</f>
        <v>2583000000</v>
      </c>
      <c r="E125" s="268">
        <f>'Costs - SR - LEO'!AH126</f>
        <v>4.6584205899458579</v>
      </c>
      <c r="G125" s="271"/>
      <c r="H125" s="273"/>
    </row>
    <row r="126" spans="4:8">
      <c r="D126" s="180">
        <f>'Costs - SR - LEO'!AA127</f>
        <v>2604000000</v>
      </c>
      <c r="E126" s="268">
        <f>'Costs - SR - LEO'!AH127</f>
        <v>4.6566590568202768</v>
      </c>
      <c r="G126" s="271"/>
      <c r="H126" s="273"/>
    </row>
    <row r="127" spans="4:8">
      <c r="D127" s="180">
        <f>'Costs - SR - LEO'!AA128</f>
        <v>2625000000</v>
      </c>
      <c r="E127" s="268">
        <f>'Costs - SR - LEO'!AH128</f>
        <v>4.6549257082247051</v>
      </c>
      <c r="G127" s="271"/>
      <c r="H127" s="273"/>
    </row>
    <row r="128" spans="4:8">
      <c r="D128" s="180">
        <f>'Costs - SR - LEO'!AA129</f>
        <v>2646000000</v>
      </c>
      <c r="E128" s="268">
        <f>'Costs - SR - LEO'!AH129</f>
        <v>4.6532198730989034</v>
      </c>
      <c r="G128" s="271"/>
      <c r="H128" s="273"/>
    </row>
    <row r="129" spans="4:8">
      <c r="D129" s="180">
        <f>'Costs - SR - LEO'!AA130</f>
        <v>2667000000</v>
      </c>
      <c r="E129" s="268">
        <f>'Costs - SR - LEO'!AH130</f>
        <v>4.6515409015183913</v>
      </c>
      <c r="G129" s="271"/>
      <c r="H129" s="273"/>
    </row>
    <row r="130" spans="4:8">
      <c r="D130" s="180">
        <f>'Costs - SR - LEO'!AA131</f>
        <v>2688000000</v>
      </c>
      <c r="E130" s="268">
        <f>'Costs - SR - LEO'!AH131</f>
        <v>4.649888163868825</v>
      </c>
      <c r="G130" s="271"/>
      <c r="H130" s="273"/>
    </row>
    <row r="131" spans="4:8">
      <c r="D131" s="180">
        <f>'Costs - SR - LEO'!AA132</f>
        <v>2709000000</v>
      </c>
      <c r="E131" s="268">
        <f>'Costs - SR - LEO'!AH132</f>
        <v>4.6482610500587853</v>
      </c>
      <c r="G131" s="271"/>
      <c r="H131" s="273"/>
    </row>
    <row r="132" spans="4:8">
      <c r="D132" s="180">
        <f>'Costs - SR - LEO'!AA133</f>
        <v>2730000000</v>
      </c>
      <c r="E132" s="268">
        <f>'Costs - SR - LEO'!AH133</f>
        <v>4.6466589687689011</v>
      </c>
      <c r="G132" s="271"/>
      <c r="H132" s="273"/>
    </row>
    <row r="133" spans="4:8">
      <c r="D133" s="180">
        <f>'Costs - SR - LEO'!AA134</f>
        <v>2751000000</v>
      </c>
      <c r="E133" s="268">
        <f>'Costs - SR - LEO'!AH134</f>
        <v>4.6450813467353509</v>
      </c>
      <c r="G133" s="271"/>
      <c r="H133" s="273"/>
    </row>
    <row r="134" spans="4:8">
      <c r="D134" s="180">
        <f>'Costs - SR - LEO'!AA135</f>
        <v>2772000000</v>
      </c>
      <c r="E134" s="268">
        <f>'Costs - SR - LEO'!AH135</f>
        <v>4.6435276280659448</v>
      </c>
      <c r="G134" s="271"/>
      <c r="H134" s="273"/>
    </row>
    <row r="135" spans="4:8">
      <c r="D135" s="180">
        <f>'Costs - SR - LEO'!AA136</f>
        <v>2793000000</v>
      </c>
      <c r="E135" s="268">
        <f>'Costs - SR - LEO'!AH136</f>
        <v>4.6419972735870569</v>
      </c>
      <c r="G135" s="271"/>
      <c r="H135" s="273"/>
    </row>
    <row r="136" spans="4:8">
      <c r="D136" s="180">
        <f>'Costs - SR - LEO'!AA137</f>
        <v>2814000000</v>
      </c>
      <c r="E136" s="268">
        <f>'Costs - SR - LEO'!AH137</f>
        <v>4.6404897602197934</v>
      </c>
      <c r="G136" s="271"/>
      <c r="H136" s="273"/>
    </row>
    <row r="137" spans="4:8">
      <c r="D137" s="180">
        <f>'Costs - SR - LEO'!AA138</f>
        <v>2835000000</v>
      </c>
      <c r="E137" s="268">
        <f>'Costs - SR - LEO'!AH138</f>
        <v>4.6390045803838964</v>
      </c>
    </row>
    <row r="138" spans="4:8">
      <c r="D138" s="180">
        <f>'Costs - SR - LEO'!AA139</f>
        <v>2856000000</v>
      </c>
      <c r="E138" s="268">
        <f>'Costs - SR - LEO'!AH139</f>
        <v>4.6375412414279404</v>
      </c>
    </row>
    <row r="139" spans="4:8">
      <c r="D139" s="180">
        <f>'Costs - SR - LEO'!AA140</f>
        <v>2877000000</v>
      </c>
      <c r="E139" s="268">
        <f>'Costs - SR - LEO'!AH140</f>
        <v>4.6360992650844794</v>
      </c>
    </row>
    <row r="140" spans="4:8">
      <c r="D140" s="180">
        <f>'Costs - SR - LEO'!AA141</f>
        <v>2898000000</v>
      </c>
      <c r="E140" s="268">
        <f>'Costs - SR - LEO'!AH141</f>
        <v>4.6346781869488947</v>
      </c>
    </row>
    <row r="141" spans="4:8">
      <c r="D141" s="180">
        <f>'Costs - SR - LEO'!AA142</f>
        <v>2919000000</v>
      </c>
      <c r="E141" s="268">
        <f>'Costs - SR - LEO'!AH142</f>
        <v>4.6332775559807287</v>
      </c>
    </row>
    <row r="142" spans="4:8">
      <c r="D142" s="180">
        <f>'Costs - SR - LEO'!AA143</f>
        <v>2940000000</v>
      </c>
      <c r="E142" s="268">
        <f>'Costs - SR - LEO'!AH143</f>
        <v>4.6318969340263925</v>
      </c>
    </row>
    <row r="143" spans="4:8">
      <c r="D143" s="180">
        <f>'Costs - SR - LEO'!AA144</f>
        <v>2961000000</v>
      </c>
      <c r="E143" s="268">
        <f>'Costs - SR - LEO'!AH144</f>
        <v>4.6305358953621907</v>
      </c>
    </row>
    <row r="144" spans="4:8">
      <c r="D144" s="180">
        <f>'Costs - SR - LEO'!AA145</f>
        <v>2982000000</v>
      </c>
      <c r="E144" s="268">
        <f>'Costs - SR - LEO'!AH145</f>
        <v>4.6291940262566387</v>
      </c>
    </row>
    <row r="145" spans="4:5">
      <c r="D145" s="180">
        <f>'Costs - SR - LEO'!AA146</f>
        <v>3003000000</v>
      </c>
      <c r="E145" s="268">
        <f>'Costs - SR - LEO'!AH146</f>
        <v>4.6278709245511642</v>
      </c>
    </row>
    <row r="146" spans="4:5">
      <c r="D146" s="180">
        <f>'Costs - SR - LEO'!AA147</f>
        <v>3024000000</v>
      </c>
      <c r="E146" s="268">
        <f>'Costs - SR - LEO'!AH147</f>
        <v>4.6265661992582663</v>
      </c>
    </row>
    <row r="147" spans="4:5">
      <c r="D147" s="180">
        <f>'Costs - SR - LEO'!AA148</f>
        <v>3045000000</v>
      </c>
      <c r="E147" s="268">
        <f>'Costs - SR - LEO'!AH148</f>
        <v>4.625279470176304</v>
      </c>
    </row>
    <row r="148" spans="4:5">
      <c r="D148" s="180">
        <f>'Costs - SR - LEO'!AA149</f>
        <v>3066000000</v>
      </c>
      <c r="E148" s="268">
        <f>'Costs - SR - LEO'!AH149</f>
        <v>4.624010367520123</v>
      </c>
    </row>
    <row r="149" spans="4:5">
      <c r="D149" s="180">
        <f>'Costs - SR - LEO'!AA150</f>
        <v>3087000000</v>
      </c>
      <c r="E149" s="268">
        <f>'Costs - SR - LEO'!AH150</f>
        <v>4.6227585315667454</v>
      </c>
    </row>
    <row r="150" spans="4:5">
      <c r="D150" s="180">
        <f>'Costs - SR - LEO'!AA151</f>
        <v>3108000000</v>
      </c>
      <c r="E150" s="268">
        <f>'Costs - SR - LEO'!AH151</f>
        <v>4.6215236123154426</v>
      </c>
    </row>
    <row r="151" spans="4:5">
      <c r="D151" s="180">
        <f>'Costs - SR - LEO'!AA152</f>
        <v>3129000000</v>
      </c>
      <c r="E151" s="268">
        <f>'Costs - SR - LEO'!AH152</f>
        <v>4.620305269161471</v>
      </c>
    </row>
    <row r="152" spans="4:5">
      <c r="D152" s="180">
        <f>'Costs - SR - LEO'!AA153</f>
        <v>3150000000</v>
      </c>
      <c r="E152" s="268">
        <f>'Costs - SR - LEO'!AH153</f>
        <v>4.6191031705828873</v>
      </c>
    </row>
    <row r="153" spans="4:5">
      <c r="D153" s="180">
        <f>'Costs - SR - LEO'!AA154</f>
        <v>3171000000</v>
      </c>
      <c r="E153" s="268">
        <f>'Costs - SR - LEO'!AH154</f>
        <v>4.6179169938397804</v>
      </c>
    </row>
    <row r="154" spans="4:5">
      <c r="D154" s="180">
        <f>'Costs - SR - LEO'!AA155</f>
        <v>3192000000</v>
      </c>
      <c r="E154" s="268">
        <f>'Costs - SR - LEO'!AH155</f>
        <v>4.6167464246853989</v>
      </c>
    </row>
    <row r="155" spans="4:5">
      <c r="D155" s="180">
        <f>'Costs - SR - LEO'!AA156</f>
        <v>3213000000</v>
      </c>
      <c r="E155" s="268">
        <f>'Costs - SR - LEO'!AH156</f>
        <v>4.6155911570885912</v>
      </c>
    </row>
    <row r="156" spans="4:5">
      <c r="D156" s="180">
        <f>'Costs - SR - LEO'!AA157</f>
        <v>3234000000</v>
      </c>
      <c r="E156" s="268">
        <f>'Costs - SR - LEO'!AH157</f>
        <v>4.6144508929670662</v>
      </c>
    </row>
    <row r="157" spans="4:5">
      <c r="D157" s="180">
        <f>'Costs - SR - LEO'!AA158</f>
        <v>3255000000</v>
      </c>
      <c r="E157" s="268">
        <f>'Costs - SR - LEO'!AH158</f>
        <v>4.613325341930981</v>
      </c>
    </row>
    <row r="158" spans="4:5">
      <c r="D158" s="180">
        <f>'Costs - SR - LEO'!AA159</f>
        <v>3276000000</v>
      </c>
      <c r="E158" s="268">
        <f>'Costs - SR - LEO'!AH159</f>
        <v>4.6122142210363837</v>
      </c>
    </row>
    <row r="159" spans="4:5">
      <c r="D159" s="180">
        <f>'Costs - SR - LEO'!AA160</f>
        <v>3297000000</v>
      </c>
      <c r="E159" s="268">
        <f>'Costs - SR - LEO'!AH160</f>
        <v>4.6111172545480876</v>
      </c>
    </row>
    <row r="160" spans="4:5">
      <c r="D160" s="180">
        <f>'Costs - SR - LEO'!AA161</f>
        <v>3318000000</v>
      </c>
      <c r="E160" s="268">
        <f>'Costs - SR - LEO'!AH161</f>
        <v>4.61003417371154</v>
      </c>
    </row>
    <row r="161" spans="4:5">
      <c r="D161" s="180">
        <f>'Costs - SR - LEO'!AA162</f>
        <v>3339000000</v>
      </c>
      <c r="E161" s="268">
        <f>'Costs - SR - LEO'!AH162</f>
        <v>4.6089647165333165</v>
      </c>
    </row>
    <row r="162" spans="4:5">
      <c r="D162" s="180">
        <f>'Costs - SR - LEO'!AA163</f>
        <v>3360000000</v>
      </c>
      <c r="E162" s="268">
        <f>'Costs - SR - LEO'!AH163</f>
        <v>4.6079086275698193</v>
      </c>
    </row>
    <row r="163" spans="4:5">
      <c r="D163" s="180">
        <f>'Costs - SR - LEO'!AA164</f>
        <v>3381000000</v>
      </c>
      <c r="E163" s="268">
        <f>'Costs - SR - LEO'!AH164</f>
        <v>4.6068656577238807</v>
      </c>
    </row>
    <row r="164" spans="4:5">
      <c r="D164" s="180">
        <f>'Costs - SR - LEO'!AA165</f>
        <v>3402000000</v>
      </c>
      <c r="E164" s="268">
        <f>'Costs - SR - LEO'!AH165</f>
        <v>4.6058355640488804</v>
      </c>
    </row>
    <row r="165" spans="4:5">
      <c r="D165" s="180">
        <f>'Costs - SR - LEO'!AA166</f>
        <v>3423000000</v>
      </c>
      <c r="E165" s="268">
        <f>'Costs - SR - LEO'!AH166</f>
        <v>4.6048181095600764</v>
      </c>
    </row>
    <row r="166" spans="4:5">
      <c r="D166" s="180">
        <f>'Costs - SR - LEO'!AA167</f>
        <v>3444000000</v>
      </c>
      <c r="E166" s="268">
        <f>'Costs - SR - LEO'!AH167</f>
        <v>4.6038130630528435</v>
      </c>
    </row>
    <row r="167" spans="4:5">
      <c r="D167" s="180">
        <f>'Costs - SR - LEO'!AA168</f>
        <v>3465000000</v>
      </c>
      <c r="E167" s="268">
        <f>'Costs - SR - LEO'!AH168</f>
        <v>4.6028201989275157</v>
      </c>
    </row>
    <row r="168" spans="4:5">
      <c r="D168" s="180">
        <f>'Costs - SR - LEO'!AA169</f>
        <v>3486000000</v>
      </c>
      <c r="E168" s="268">
        <f>'Costs - SR - LEO'!AH169</f>
        <v>4.6018392970205655</v>
      </c>
    </row>
    <row r="169" spans="4:5">
      <c r="D169" s="180">
        <f>'Costs - SR - LEO'!AA170</f>
        <v>3507000000</v>
      </c>
      <c r="E169" s="268">
        <f>'Costs - SR - LEO'!AH170</f>
        <v>4.6008701424418419</v>
      </c>
    </row>
    <row r="170" spans="4:5">
      <c r="D170" s="180">
        <f>'Costs - SR - LEO'!AA171</f>
        <v>3528000000</v>
      </c>
      <c r="E170" s="268">
        <f>'Costs - SR - LEO'!AH171</f>
        <v>4.5999125254176274</v>
      </c>
    </row>
    <row r="171" spans="4:5">
      <c r="D171" s="180">
        <f>'Costs - SR - LEO'!AA172</f>
        <v>3549000000</v>
      </c>
      <c r="E171" s="268">
        <f>'Costs - SR - LEO'!AH172</f>
        <v>4.5989662411392622</v>
      </c>
    </row>
    <row r="172" spans="4:5">
      <c r="D172" s="180">
        <f>'Costs - SR - LEO'!AA173</f>
        <v>3570000000</v>
      </c>
      <c r="E172" s="268">
        <f>'Costs - SR - LEO'!AH173</f>
        <v>4.5980310896171117</v>
      </c>
    </row>
    <row r="173" spans="4:5">
      <c r="D173" s="180">
        <f>'Costs - SR - LEO'!AA174</f>
        <v>3591000000</v>
      </c>
      <c r="E173" s="268">
        <f>'Costs - SR - LEO'!AH174</f>
        <v>4.5971068755396658</v>
      </c>
    </row>
    <row r="174" spans="4:5">
      <c r="D174" s="180">
        <f>'Costs - SR - LEO'!AA175</f>
        <v>3612000000</v>
      </c>
      <c r="E174" s="268">
        <f>'Costs - SR - LEO'!AH175</f>
        <v>4.5961934081375393</v>
      </c>
    </row>
    <row r="175" spans="4:5">
      <c r="D175" s="180">
        <f>'Costs - SR - LEO'!AA176</f>
        <v>3633000000</v>
      </c>
      <c r="E175" s="268">
        <f>'Costs - SR - LEO'!AH176</f>
        <v>4.5952905010521992</v>
      </c>
    </row>
    <row r="176" spans="4:5">
      <c r="D176" s="180">
        <f>'Costs - SR - LEO'!AA177</f>
        <v>3654000000</v>
      </c>
      <c r="E176" s="268">
        <f>'Costs - SR - LEO'!AH177</f>
        <v>4.5943979722092188</v>
      </c>
    </row>
    <row r="177" spans="4:5">
      <c r="D177" s="180">
        <f>'Costs - SR - LEO'!AA178</f>
        <v>3675000000</v>
      </c>
      <c r="E177" s="268">
        <f>'Costs - SR - LEO'!AH178</f>
        <v>4.5935156436958744</v>
      </c>
    </row>
    <row r="178" spans="4:5">
      <c r="D178" s="180">
        <f>'Costs - SR - LEO'!AA179</f>
        <v>3696000000</v>
      </c>
      <c r="E178" s="268">
        <f>'Costs - SR - LEO'!AH179</f>
        <v>4.5926433416429084</v>
      </c>
    </row>
    <row r="179" spans="4:5" ht="15" thickBot="1">
      <c r="D179" s="188">
        <f>'Costs - SR - LEO'!AA180</f>
        <v>3717000000</v>
      </c>
      <c r="E179" s="272">
        <f>'Costs - SR - LEO'!AH180</f>
        <v>4.591780896110313</v>
      </c>
    </row>
    <row r="180" spans="4:5">
      <c r="D180" s="271"/>
      <c r="E180" s="271"/>
    </row>
    <row r="181" spans="4:5">
      <c r="D181" s="275"/>
      <c r="E181" s="273"/>
    </row>
    <row r="182" spans="4:5">
      <c r="D182" s="275"/>
      <c r="E182" s="273"/>
    </row>
    <row r="183" spans="4:5">
      <c r="D183" s="275"/>
      <c r="E183" s="273"/>
    </row>
    <row r="184" spans="4:5">
      <c r="D184" s="275"/>
      <c r="E184" s="273"/>
    </row>
    <row r="185" spans="4:5">
      <c r="D185" s="275"/>
      <c r="E185" s="273"/>
    </row>
    <row r="186" spans="4:5">
      <c r="D186" s="275"/>
      <c r="E186" s="273"/>
    </row>
    <row r="187" spans="4:5">
      <c r="D187" s="275"/>
      <c r="E187" s="273"/>
    </row>
    <row r="188" spans="4:5">
      <c r="D188" s="275"/>
      <c r="E188" s="273"/>
    </row>
    <row r="189" spans="4:5">
      <c r="D189" s="275"/>
      <c r="E189" s="273"/>
    </row>
    <row r="190" spans="4:5">
      <c r="D190" s="275"/>
      <c r="E190" s="273"/>
    </row>
    <row r="191" spans="4:5">
      <c r="D191" s="275"/>
      <c r="E191" s="273"/>
    </row>
    <row r="192" spans="4:5">
      <c r="D192" s="275"/>
      <c r="E192" s="273"/>
    </row>
    <row r="193" spans="4:5">
      <c r="D193" s="275"/>
      <c r="E193" s="273"/>
    </row>
    <row r="194" spans="4:5">
      <c r="D194" s="275"/>
      <c r="E194" s="273"/>
    </row>
    <row r="195" spans="4:5">
      <c r="D195" s="275"/>
      <c r="E195" s="273"/>
    </row>
    <row r="196" spans="4:5">
      <c r="D196" s="275"/>
      <c r="E196" s="273"/>
    </row>
    <row r="197" spans="4:5">
      <c r="D197" s="275"/>
      <c r="E197" s="273"/>
    </row>
    <row r="198" spans="4:5">
      <c r="D198" s="275"/>
      <c r="E198" s="273"/>
    </row>
    <row r="199" spans="4:5">
      <c r="D199" s="275"/>
      <c r="E199" s="273"/>
    </row>
    <row r="200" spans="4:5">
      <c r="D200" s="275"/>
      <c r="E200" s="273"/>
    </row>
    <row r="201" spans="4:5">
      <c r="D201" s="275"/>
      <c r="E201" s="273"/>
    </row>
    <row r="202" spans="4:5">
      <c r="D202" s="275"/>
      <c r="E202" s="273"/>
    </row>
    <row r="203" spans="4:5">
      <c r="D203" s="275"/>
      <c r="E203" s="273"/>
    </row>
    <row r="204" spans="4:5">
      <c r="D204" s="275"/>
      <c r="E204" s="273"/>
    </row>
    <row r="205" spans="4:5">
      <c r="D205" s="275"/>
      <c r="E205" s="273"/>
    </row>
    <row r="206" spans="4:5">
      <c r="D206" s="275"/>
      <c r="E206" s="273"/>
    </row>
    <row r="207" spans="4:5">
      <c r="D207" s="275"/>
      <c r="E207" s="273"/>
    </row>
    <row r="208" spans="4:5">
      <c r="D208" s="275"/>
      <c r="E208" s="273"/>
    </row>
    <row r="209" spans="4:5">
      <c r="D209" s="275"/>
      <c r="E209" s="273"/>
    </row>
    <row r="210" spans="4:5">
      <c r="D210" s="275"/>
      <c r="E210" s="273"/>
    </row>
    <row r="211" spans="4:5">
      <c r="D211" s="275"/>
      <c r="E211" s="273"/>
    </row>
    <row r="212" spans="4:5">
      <c r="D212" s="275"/>
      <c r="E212" s="273"/>
    </row>
    <row r="213" spans="4:5">
      <c r="D213" s="275"/>
      <c r="E213" s="273"/>
    </row>
    <row r="214" spans="4:5">
      <c r="D214" s="275"/>
      <c r="E214" s="273"/>
    </row>
    <row r="215" spans="4:5">
      <c r="D215" s="275"/>
      <c r="E215" s="273"/>
    </row>
    <row r="216" spans="4:5">
      <c r="D216" s="275"/>
      <c r="E216" s="273"/>
    </row>
    <row r="217" spans="4:5">
      <c r="D217" s="275"/>
      <c r="E217" s="273"/>
    </row>
    <row r="218" spans="4:5">
      <c r="D218" s="275"/>
      <c r="E218" s="273"/>
    </row>
    <row r="219" spans="4:5">
      <c r="D219" s="275"/>
      <c r="E219" s="273"/>
    </row>
    <row r="220" spans="4:5">
      <c r="D220" s="275"/>
      <c r="E220" s="273"/>
    </row>
    <row r="221" spans="4:5">
      <c r="D221" s="275"/>
      <c r="E221" s="273"/>
    </row>
    <row r="222" spans="4:5">
      <c r="D222" s="275"/>
      <c r="E222" s="273"/>
    </row>
    <row r="223" spans="4:5">
      <c r="D223" s="275"/>
      <c r="E223" s="273"/>
    </row>
    <row r="224" spans="4:5">
      <c r="D224" s="275"/>
      <c r="E224" s="273"/>
    </row>
    <row r="225" spans="4:5">
      <c r="D225" s="275"/>
      <c r="E225" s="273"/>
    </row>
    <row r="226" spans="4:5">
      <c r="D226" s="275"/>
      <c r="E226" s="273"/>
    </row>
    <row r="227" spans="4:5">
      <c r="D227" s="275"/>
      <c r="E227" s="273"/>
    </row>
    <row r="228" spans="4:5">
      <c r="D228" s="275"/>
      <c r="E228" s="273"/>
    </row>
    <row r="229" spans="4:5">
      <c r="D229" s="275"/>
      <c r="E229" s="273"/>
    </row>
    <row r="230" spans="4:5">
      <c r="D230" s="275"/>
      <c r="E230" s="273"/>
    </row>
    <row r="231" spans="4:5">
      <c r="D231" s="275"/>
      <c r="E231" s="273"/>
    </row>
    <row r="232" spans="4:5">
      <c r="D232" s="275"/>
      <c r="E232" s="273"/>
    </row>
    <row r="233" spans="4:5">
      <c r="D233" s="275"/>
      <c r="E233" s="273"/>
    </row>
    <row r="234" spans="4:5">
      <c r="D234" s="275"/>
      <c r="E234" s="273"/>
    </row>
    <row r="235" spans="4:5">
      <c r="D235" s="275"/>
      <c r="E235" s="273"/>
    </row>
    <row r="236" spans="4:5">
      <c r="D236" s="275"/>
      <c r="E236" s="273"/>
    </row>
    <row r="237" spans="4:5">
      <c r="D237" s="275"/>
      <c r="E237" s="273"/>
    </row>
    <row r="238" spans="4:5">
      <c r="D238" s="275"/>
      <c r="E238" s="273"/>
    </row>
    <row r="239" spans="4:5">
      <c r="D239" s="275"/>
      <c r="E239" s="273"/>
    </row>
    <row r="240" spans="4:5">
      <c r="D240" s="275"/>
      <c r="E240" s="273"/>
    </row>
    <row r="241" spans="4:5">
      <c r="D241" s="275"/>
      <c r="E241" s="273"/>
    </row>
    <row r="242" spans="4:5">
      <c r="D242" s="275"/>
      <c r="E242" s="273"/>
    </row>
    <row r="243" spans="4:5">
      <c r="D243" s="275"/>
      <c r="E243" s="273"/>
    </row>
    <row r="244" spans="4:5">
      <c r="D244" s="275"/>
      <c r="E244" s="273"/>
    </row>
    <row r="245" spans="4:5">
      <c r="D245" s="275"/>
      <c r="E245" s="273"/>
    </row>
    <row r="246" spans="4:5">
      <c r="D246" s="275"/>
      <c r="E246" s="273"/>
    </row>
    <row r="247" spans="4:5">
      <c r="D247" s="275"/>
      <c r="E247" s="273"/>
    </row>
    <row r="248" spans="4:5">
      <c r="D248" s="275"/>
      <c r="E248" s="273"/>
    </row>
    <row r="249" spans="4:5">
      <c r="D249" s="275"/>
      <c r="E249" s="273"/>
    </row>
    <row r="250" spans="4:5">
      <c r="D250" s="275"/>
      <c r="E250" s="273"/>
    </row>
    <row r="251" spans="4:5">
      <c r="D251" s="275"/>
      <c r="E251" s="273"/>
    </row>
    <row r="252" spans="4:5">
      <c r="D252" s="275"/>
      <c r="E252" s="273"/>
    </row>
    <row r="253" spans="4:5">
      <c r="D253" s="275"/>
      <c r="E253" s="273"/>
    </row>
    <row r="254" spans="4:5">
      <c r="D254" s="275"/>
      <c r="E254" s="273"/>
    </row>
    <row r="255" spans="4:5">
      <c r="D255" s="275"/>
      <c r="E255" s="273"/>
    </row>
    <row r="256" spans="4:5">
      <c r="D256" s="275"/>
      <c r="E256" s="273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L11" sqref="L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499" t="s">
        <v>506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500" t="s">
        <v>415</v>
      </c>
      <c r="B3" s="500"/>
      <c r="C3" s="500"/>
      <c r="D3" s="500"/>
      <c r="E3" s="500"/>
      <c r="G3" s="492" t="s">
        <v>415</v>
      </c>
      <c r="H3" s="492"/>
      <c r="I3" s="492"/>
      <c r="J3" s="492"/>
    </row>
    <row r="4" spans="1:32" ht="27.6">
      <c r="A4" s="172" t="s">
        <v>237</v>
      </c>
      <c r="B4" s="173" t="s">
        <v>238</v>
      </c>
      <c r="C4" s="173" t="s">
        <v>239</v>
      </c>
      <c r="D4" s="173" t="s">
        <v>240</v>
      </c>
      <c r="E4" s="174" t="s">
        <v>241</v>
      </c>
      <c r="G4" s="408" t="s">
        <v>236</v>
      </c>
      <c r="H4" s="225" t="s">
        <v>7</v>
      </c>
      <c r="I4" s="225" t="s">
        <v>55</v>
      </c>
      <c r="J4" s="228" t="s">
        <v>6</v>
      </c>
    </row>
    <row r="5" spans="1:32" ht="15" thickBot="1">
      <c r="A5" s="102">
        <f>Current_Cost!B56</f>
        <v>742470.54166666663</v>
      </c>
      <c r="B5" s="94">
        <f>Current_Cost!B57</f>
        <v>3581065</v>
      </c>
      <c r="C5" s="94">
        <f>Current_Cost!B58</f>
        <v>1672</v>
      </c>
      <c r="D5" s="94">
        <f>Current_Cost!B59</f>
        <v>742470.54166666663</v>
      </c>
      <c r="E5" s="128">
        <f>Current_Cost!B60</f>
        <v>3581065</v>
      </c>
      <c r="G5" s="409" t="s">
        <v>243</v>
      </c>
      <c r="H5" s="67">
        <f>SUM(C6,C9)</f>
        <v>0</v>
      </c>
      <c r="I5" s="67">
        <f>SUM($A$5,$D$5)+Current_Cost!$B$34</f>
        <v>1484941.0833333333</v>
      </c>
      <c r="J5" s="127">
        <f>SUM(E6,F9)</f>
        <v>0</v>
      </c>
    </row>
    <row r="6" spans="1:32">
      <c r="A6" s="99"/>
      <c r="B6" s="99"/>
      <c r="C6" s="99"/>
      <c r="D6" s="99"/>
      <c r="E6" s="99"/>
      <c r="G6" s="409" t="s">
        <v>283</v>
      </c>
      <c r="H6" s="67">
        <f>SUM(C7,C10)</f>
        <v>0</v>
      </c>
      <c r="I6" s="67">
        <f>SUM(B5,C5,E5)+Current_Cost!B35</f>
        <v>7163802</v>
      </c>
      <c r="J6" s="127">
        <f>SUM(E7,F10)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>
      <c r="A7" s="99"/>
      <c r="B7" s="99"/>
      <c r="C7" s="99"/>
      <c r="D7" s="99"/>
      <c r="E7" s="99"/>
      <c r="G7" s="410" t="s">
        <v>314</v>
      </c>
      <c r="H7" s="94">
        <f>SUM(C8)</f>
        <v>0</v>
      </c>
      <c r="I7" s="94">
        <f>SUM(B5,C5,E5)+Current_Cost!B36</f>
        <v>7163802</v>
      </c>
      <c r="J7" s="128">
        <f>SUM(E8)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9"/>
      <c r="C8" s="99"/>
      <c r="D8" s="99"/>
      <c r="E8" s="99"/>
    </row>
    <row r="9" spans="1:32" ht="14.4" customHeight="1" thickBot="1">
      <c r="A9" s="492" t="s">
        <v>387</v>
      </c>
      <c r="B9" s="492"/>
      <c r="C9" s="492"/>
      <c r="D9" s="192"/>
      <c r="F9" s="492" t="s">
        <v>414</v>
      </c>
      <c r="G9" s="492"/>
      <c r="H9" s="492"/>
      <c r="I9" s="492"/>
      <c r="K9" s="501" t="s">
        <v>434</v>
      </c>
      <c r="L9" s="501"/>
      <c r="M9" s="501"/>
    </row>
    <row r="10" spans="1:32" ht="27.6">
      <c r="A10" s="172" t="s">
        <v>382</v>
      </c>
      <c r="B10" s="173" t="s">
        <v>243</v>
      </c>
      <c r="C10" s="173" t="s">
        <v>369</v>
      </c>
      <c r="D10" s="174" t="s">
        <v>370</v>
      </c>
      <c r="F10" s="172" t="s">
        <v>382</v>
      </c>
      <c r="G10" s="173" t="s">
        <v>243</v>
      </c>
      <c r="H10" s="173" t="s">
        <v>369</v>
      </c>
      <c r="I10" s="174" t="s">
        <v>412</v>
      </c>
      <c r="K10" s="172" t="s">
        <v>383</v>
      </c>
      <c r="L10" s="173" t="s">
        <v>431</v>
      </c>
      <c r="M10" s="174" t="s">
        <v>432</v>
      </c>
    </row>
    <row r="11" spans="1:32">
      <c r="A11" s="75">
        <v>1</v>
      </c>
      <c r="B11" s="175">
        <f>$I$5/A11</f>
        <v>1484941.0833333333</v>
      </c>
      <c r="C11" s="175">
        <f>$I$6/A11</f>
        <v>7163802</v>
      </c>
      <c r="D11" s="176">
        <f>$I$7/A11</f>
        <v>7163802</v>
      </c>
      <c r="F11" s="75">
        <v>1</v>
      </c>
      <c r="G11" s="175" cm="1">
        <f t="array" ref="G11">MIN(IF(Lookups!$A$4:$A$11&lt;B11,Lookups!$B$4:$B$11,Lookups!$B$4))</f>
        <v>122.11442815005586</v>
      </c>
      <c r="H11" s="411" cm="1">
        <f t="array" ref="H11">MIN(IF(Lookups!$D$3:$D$178&lt;C11,Lookups!$E$3:$E$178,Lookups!$E$3))</f>
        <v>31.306893713737452</v>
      </c>
      <c r="I11" s="176" cm="1">
        <f t="array" ref="I11">MIN(IF(Lookups!$G$3:$G$53&lt;D11,Lookups!$H$3:$H$53,Lookups!$H$3))</f>
        <v>72.30605683726462</v>
      </c>
      <c r="K11" s="75" t="s">
        <v>379</v>
      </c>
      <c r="L11" s="41">
        <f>G11*(1+(Current_Cost!$B$43/100))</f>
        <v>122.11442815005586</v>
      </c>
      <c r="M11" s="196">
        <f>ROUND((H12+H12)/F12,0)*(1+(Current_Cost!$B$44/100))</f>
        <v>31</v>
      </c>
    </row>
    <row r="12" spans="1:32">
      <c r="A12" s="75">
        <v>2</v>
      </c>
      <c r="B12" s="175">
        <f>$I$5/A12</f>
        <v>742470.54166666663</v>
      </c>
      <c r="C12" s="175">
        <f>$I$6/A12</f>
        <v>3581901</v>
      </c>
      <c r="D12" s="176">
        <f t="shared" ref="D12:D18" si="0">$I$7/A12</f>
        <v>3581901</v>
      </c>
      <c r="F12" s="75">
        <v>2</v>
      </c>
      <c r="G12" s="175" cm="1">
        <f t="array" ref="G12">MIN(IF(Lookups!$A$4:$A$11&lt;B12,Lookups!$B$4:$B$11,Lookups!$B$4))</f>
        <v>207.59483421051704</v>
      </c>
      <c r="H12" s="411" cm="1">
        <f t="array" ref="H12">MIN(IF(Lookups!$D$3:$D$178&lt;C12,Lookups!$E$3:$E$178,Lookups!$E$3))</f>
        <v>31.306893713737452</v>
      </c>
      <c r="I12" s="176" cm="1">
        <f t="array" ref="I12">MIN(IF(Lookups!$G$3:$G$53&lt;D12,Lookups!$H$3:$H$53,Lookups!$H$3))</f>
        <v>72.30605683726462</v>
      </c>
      <c r="K12" s="75" t="s">
        <v>380</v>
      </c>
      <c r="L12" s="41">
        <f>G12*(1+(Current_Cost!$B$43/100))</f>
        <v>207.59483421051704</v>
      </c>
      <c r="M12" s="196">
        <f>ROUND((I12+H12)/F12,0)*(1+(Current_Cost!$B$44/100))</f>
        <v>52</v>
      </c>
    </row>
    <row r="13" spans="1:32">
      <c r="A13" s="75">
        <v>3</v>
      </c>
      <c r="B13" s="175">
        <f t="shared" ref="B13:B18" si="1">$I$5/A13</f>
        <v>494980.36111111107</v>
      </c>
      <c r="C13" s="175">
        <f t="shared" ref="C13:C18" si="2">$I$6/A13</f>
        <v>2387934</v>
      </c>
      <c r="D13" s="176">
        <f t="shared" si="0"/>
        <v>2387934</v>
      </c>
      <c r="F13" s="75">
        <v>3</v>
      </c>
      <c r="G13" s="175" cm="1">
        <f t="array" ref="G13">MIN(IF(Lookups!$A$4:$A$11&lt;B13,Lookups!$B$4:$B$11,Lookups!$B$4))</f>
        <v>207.59483421051704</v>
      </c>
      <c r="H13" s="411" cm="1">
        <f t="array" ref="H13">MIN(IF(Lookups!$D$3:$D$178&lt;C13,Lookups!$E$3:$E$178,Lookups!$E$3))</f>
        <v>31.306893713737452</v>
      </c>
      <c r="I13" s="176" cm="1">
        <f t="array" ref="I13">MIN(IF(Lookups!$G$3:$G$53&lt;D13,Lookups!$H$3:$H$53,Lookups!$H$3))</f>
        <v>72.30605683726462</v>
      </c>
      <c r="K13" s="75" t="s">
        <v>381</v>
      </c>
      <c r="L13" s="41">
        <f>G13*(1+(Current_Cost!$B$43/100))</f>
        <v>207.59483421051704</v>
      </c>
      <c r="M13" s="196">
        <f>ROUND((H14+H14+I14+I14)/F14,0)*(1+(Current_Cost!$B$44/100))</f>
        <v>52</v>
      </c>
    </row>
    <row r="14" spans="1:32">
      <c r="A14" s="75">
        <v>4</v>
      </c>
      <c r="B14" s="175">
        <f t="shared" si="1"/>
        <v>371235.27083333331</v>
      </c>
      <c r="C14" s="175">
        <f t="shared" si="2"/>
        <v>1790950.5</v>
      </c>
      <c r="D14" s="176">
        <f t="shared" si="0"/>
        <v>1790950.5</v>
      </c>
      <c r="F14" s="75">
        <v>4</v>
      </c>
      <c r="G14" s="175" cm="1">
        <f t="array" ref="G14">MIN(IF(Lookups!$A$4:$A$11&lt;B14,Lookups!$B$4:$B$11,Lookups!$B$4))</f>
        <v>207.59483421051704</v>
      </c>
      <c r="H14" s="411" cm="1">
        <f t="array" ref="H14">MIN(IF(Lookups!$D$3:$D$178&lt;C14,Lookups!$E$3:$E$178,Lookups!$E$3))</f>
        <v>31.306893713737452</v>
      </c>
      <c r="I14" s="176" cm="1">
        <f t="array" ref="I14">MIN(IF(Lookups!$G$3:$G$53&lt;D14,Lookups!$H$3:$H$53,Lookups!$H$3))</f>
        <v>72.30605683726462</v>
      </c>
      <c r="K14" s="75" t="s">
        <v>384</v>
      </c>
      <c r="L14" s="41">
        <f>G14*(1+(Current_Cost!$B$43/100))</f>
        <v>207.59483421051704</v>
      </c>
      <c r="M14" s="196">
        <f>ROUND((H16+H16+H16+I16+I16+I16)/F16,0)*(1+(Current_Cost!$B$44/100))</f>
        <v>52</v>
      </c>
    </row>
    <row r="15" spans="1:32">
      <c r="A15" s="75">
        <v>5</v>
      </c>
      <c r="B15" s="175">
        <f t="shared" si="1"/>
        <v>296988.21666666667</v>
      </c>
      <c r="C15" s="175">
        <f t="shared" si="2"/>
        <v>1432760.4</v>
      </c>
      <c r="D15" s="176">
        <f t="shared" si="0"/>
        <v>1432760.4</v>
      </c>
      <c r="F15" s="75">
        <v>5</v>
      </c>
      <c r="G15" s="175" cm="1">
        <f t="array" ref="G15">MIN(IF(Lookups!$A$4:$A$11&lt;B15,Lookups!$B$4:$B$11,Lookups!$B$4))</f>
        <v>207.59483421051704</v>
      </c>
      <c r="H15" s="411" cm="1">
        <f t="array" ref="H15">MIN(IF(Lookups!$D$3:$D$178&lt;C15,Lookups!$E$3:$E$178,Lookups!$E$3))</f>
        <v>31.306893713737452</v>
      </c>
      <c r="I15" s="176" cm="1">
        <f t="array" ref="I15">MIN(IF(Lookups!$G$3:$G$53&lt;D15,Lookups!$H$3:$H$53,Lookups!$H$3))</f>
        <v>72.30605683726462</v>
      </c>
      <c r="K15" s="75" t="s">
        <v>385</v>
      </c>
      <c r="L15" s="41">
        <f>G15*(1+(Current_Cost!$B$43/100))</f>
        <v>207.59483421051704</v>
      </c>
      <c r="M15" s="196">
        <f>ROUND((H16+H16+H16+H16+I16+I16)/F16,0)*(1+(Current_Cost!$B$44/100))</f>
        <v>45</v>
      </c>
    </row>
    <row r="16" spans="1:32" ht="15" thickBot="1">
      <c r="A16" s="75">
        <v>6</v>
      </c>
      <c r="B16" s="175">
        <f t="shared" si="1"/>
        <v>247490.18055555553</v>
      </c>
      <c r="C16" s="175">
        <f t="shared" si="2"/>
        <v>1193967</v>
      </c>
      <c r="D16" s="176">
        <f t="shared" si="0"/>
        <v>1193967</v>
      </c>
      <c r="F16" s="75">
        <v>6</v>
      </c>
      <c r="G16" s="175" cm="1">
        <f t="array" ref="G16">MIN(IF(Lookups!$A$4:$A$11&lt;B16,Lookups!$B$4:$B$11,Lookups!$B$4))</f>
        <v>207.59483421051704</v>
      </c>
      <c r="H16" s="411" cm="1">
        <f t="array" ref="H16">MIN(IF(Lookups!$D$3:$D$178&lt;C16,Lookups!$E$3:$E$178,Lookups!$E$3))</f>
        <v>31.306893713737452</v>
      </c>
      <c r="I16" s="176" cm="1">
        <f t="array" ref="I16">MIN(IF(Lookups!$G$3:$G$53&lt;D16,Lookups!$H$3:$H$53,Lookups!$H$3))</f>
        <v>72.30605683726462</v>
      </c>
      <c r="K16" s="80" t="s">
        <v>386</v>
      </c>
      <c r="L16" s="40">
        <f>G16*(1+(Current_Cost!$B$43/100))</f>
        <v>207.59483421051704</v>
      </c>
      <c r="M16" s="270">
        <f>ROUND((H16+H16+I16+I16+I16+I16)/F16,0)*(1+(Current_Cost!$B$44/100))</f>
        <v>59</v>
      </c>
    </row>
    <row r="17" spans="1:32">
      <c r="A17" s="75">
        <v>7</v>
      </c>
      <c r="B17" s="175">
        <f t="shared" si="1"/>
        <v>212134.44047619047</v>
      </c>
      <c r="C17" s="175">
        <f t="shared" si="2"/>
        <v>1023400.2857142857</v>
      </c>
      <c r="D17" s="176">
        <f t="shared" si="0"/>
        <v>1023400.2857142857</v>
      </c>
      <c r="F17" s="75">
        <v>7</v>
      </c>
      <c r="G17" s="175" cm="1">
        <f t="array" ref="G17">MIN(IF(Lookups!$A$4:$A$11&lt;B17,Lookups!$B$4:$B$11,Lookups!$B$4))</f>
        <v>207.59483421051704</v>
      </c>
      <c r="H17" s="411" cm="1">
        <f t="array" ref="H17">MIN(IF(Lookups!$D$3:$D$178&lt;C17,Lookups!$E$3:$E$178,Lookups!$E$3))</f>
        <v>31.306893713737452</v>
      </c>
      <c r="I17" s="176" cm="1">
        <f t="array" ref="I17">MIN(IF(Lookups!$G$3:$G$53&lt;D17,Lookups!$H$3:$H$53,Lookups!$H$3))</f>
        <v>72.30605683726462</v>
      </c>
    </row>
    <row r="18" spans="1:32" ht="15" thickBot="1">
      <c r="A18" s="80">
        <v>8</v>
      </c>
      <c r="B18" s="177">
        <f t="shared" si="1"/>
        <v>185617.63541666666</v>
      </c>
      <c r="C18" s="177">
        <f t="shared" si="2"/>
        <v>895475.25</v>
      </c>
      <c r="D18" s="178">
        <f t="shared" si="0"/>
        <v>895475.25</v>
      </c>
      <c r="F18" s="80">
        <v>8</v>
      </c>
      <c r="G18" s="177" cm="1">
        <f t="array" ref="G18">MIN(IF(Lookups!$A$4:$A$11&lt;B18,Lookups!$B$4:$B$11,Lookups!$B$4))</f>
        <v>207.59483421051704</v>
      </c>
      <c r="H18" s="412" cm="1">
        <f t="array" ref="H18">MIN(IF(Lookups!$D$3:$D$178&lt;C18,Lookups!$E$3:$E$178,Lookups!$E$3))</f>
        <v>31.306893713737452</v>
      </c>
      <c r="I18" s="178" cm="1">
        <f t="array" ref="I18">MIN(IF(Lookups!$G$3:$G$53&lt;D18,Lookups!$H$3:$H$53,Lookups!$H$3))</f>
        <v>72.30605683726462</v>
      </c>
    </row>
    <row r="20" spans="1:32" s="267" customFormat="1" ht="15" thickBot="1">
      <c r="X20" s="279"/>
      <c r="Y20" s="280"/>
      <c r="Z20" s="280"/>
      <c r="AA20" s="280"/>
      <c r="AB20" s="280"/>
      <c r="AC20" s="280"/>
      <c r="AD20" s="280"/>
      <c r="AE20" s="280"/>
      <c r="AF20" s="280"/>
    </row>
    <row r="21" spans="1:32" s="22" customFormat="1" ht="15.6">
      <c r="A21" s="499" t="s">
        <v>507</v>
      </c>
      <c r="B21" s="499"/>
      <c r="C21" s="499"/>
      <c r="D21" s="499"/>
      <c r="E21" s="499"/>
      <c r="F21" s="499"/>
      <c r="G21" s="499"/>
      <c r="H21" s="499"/>
      <c r="I21" s="499"/>
      <c r="J21" s="499"/>
      <c r="K21" s="499"/>
      <c r="L21" s="499"/>
      <c r="X21" s="101"/>
      <c r="Y21" s="189"/>
      <c r="Z21" s="189"/>
      <c r="AA21" s="189"/>
      <c r="AB21" s="189"/>
      <c r="AC21" s="189"/>
      <c r="AD21" s="189"/>
      <c r="AE21" s="189"/>
      <c r="AF21" s="189"/>
    </row>
    <row r="22" spans="1:32" s="22" customFormat="1">
      <c r="X22" s="101"/>
      <c r="Y22" s="189"/>
      <c r="Z22" s="189"/>
      <c r="AA22" s="189"/>
      <c r="AB22" s="189"/>
      <c r="AC22" s="189"/>
      <c r="AD22" s="189"/>
      <c r="AE22" s="189"/>
      <c r="AF22" s="189"/>
    </row>
    <row r="23" spans="1:32" s="22" customFormat="1">
      <c r="X23" s="101"/>
      <c r="Y23" s="189"/>
      <c r="Z23" s="189"/>
      <c r="AA23" s="189"/>
      <c r="AB23" s="189"/>
      <c r="AC23" s="189"/>
      <c r="AD23" s="189"/>
      <c r="AE23" s="189"/>
      <c r="AF23" s="189"/>
    </row>
    <row r="24" spans="1:32" ht="15" thickBot="1">
      <c r="A24" s="22"/>
      <c r="B24" s="22"/>
      <c r="C24" s="22"/>
      <c r="D24" s="22"/>
      <c r="E24" s="22"/>
      <c r="G24" s="492" t="s">
        <v>416</v>
      </c>
      <c r="H24" s="492"/>
      <c r="I24" s="492"/>
      <c r="J24" s="492"/>
      <c r="X24" s="74"/>
    </row>
    <row r="25" spans="1:32">
      <c r="A25" s="502" t="s">
        <v>225</v>
      </c>
      <c r="B25" s="503"/>
      <c r="C25" s="503"/>
      <c r="D25" s="503"/>
      <c r="E25" s="504"/>
      <c r="G25" s="408" t="s">
        <v>236</v>
      </c>
      <c r="H25" s="225" t="s">
        <v>7</v>
      </c>
      <c r="I25" s="225" t="s">
        <v>55</v>
      </c>
      <c r="J25" s="228" t="s">
        <v>6</v>
      </c>
      <c r="X25" s="74"/>
    </row>
    <row r="26" spans="1:32">
      <c r="A26" s="229" t="s">
        <v>235</v>
      </c>
      <c r="B26" s="230" t="s">
        <v>236</v>
      </c>
      <c r="C26" s="224" t="s">
        <v>7</v>
      </c>
      <c r="D26" s="224" t="s">
        <v>55</v>
      </c>
      <c r="E26" s="47" t="s">
        <v>6</v>
      </c>
      <c r="G26" s="409" t="s">
        <v>243</v>
      </c>
      <c r="H26" s="67">
        <f>SUM(C27,C30)+Future_Cost!$B$57</f>
        <v>1484941.0833333333</v>
      </c>
      <c r="I26" s="67">
        <f>SUM(D27,D30)+Future_Cost!$B$57</f>
        <v>2637133.809491979</v>
      </c>
      <c r="J26" s="127">
        <f>SUM(E27,E30)+Future_Cost!$B$57</f>
        <v>4840999.2041443847</v>
      </c>
      <c r="X26" s="74"/>
    </row>
    <row r="27" spans="1:32">
      <c r="A27" s="505" t="s">
        <v>233</v>
      </c>
      <c r="B27" s="227" t="s">
        <v>237</v>
      </c>
      <c r="C27" s="51">
        <f>Future_Cost!B79</f>
        <v>788579.02201426018</v>
      </c>
      <c r="D27" s="51">
        <f>Future_Cost!C79</f>
        <v>1465546.4014705883</v>
      </c>
      <c r="E27" s="52">
        <f>Future_Cost!D79</f>
        <v>2567479.0987967914</v>
      </c>
      <c r="G27" s="409" t="s">
        <v>283</v>
      </c>
      <c r="H27" s="67">
        <f>SUM(C28,C29,C31)+Future_Cost!$B$58</f>
        <v>4269704.4698649608</v>
      </c>
      <c r="I27" s="67">
        <f>SUM(D28,D29,D31)+Future_Cost!$B$58</f>
        <v>10149226.742892679</v>
      </c>
      <c r="J27" s="127">
        <f>SUM(E28,E29,E31)+Future_Cost!$B$58</f>
        <v>17870885.392110873</v>
      </c>
      <c r="X27" s="74"/>
    </row>
    <row r="28" spans="1:32" ht="15" thickBot="1">
      <c r="A28" s="505"/>
      <c r="B28" s="227" t="s">
        <v>238</v>
      </c>
      <c r="C28" s="51">
        <f>Future_Cost!B80</f>
        <v>2498438.7738095238</v>
      </c>
      <c r="D28" s="51">
        <f>Future_Cost!C80</f>
        <v>5496405.9023809517</v>
      </c>
      <c r="E28" s="52">
        <f>Future_Cost!D80</f>
        <v>9330795.2023809515</v>
      </c>
      <c r="G28" s="410" t="s">
        <v>314</v>
      </c>
      <c r="H28" s="94">
        <f>SUM(C28,C29,C31)+Future_Cost!$B$59</f>
        <v>4269704.4698649608</v>
      </c>
      <c r="I28" s="94">
        <f>SUM(D28,D29,D31)+Future_Cost!$B$59</f>
        <v>10149226.742892679</v>
      </c>
      <c r="J28" s="128">
        <f>SUM(E28,E29,E31)+Future_Cost!$B$59</f>
        <v>17870885.392110873</v>
      </c>
    </row>
    <row r="29" spans="1:32" ht="14.4" customHeight="1">
      <c r="A29" s="505"/>
      <c r="B29" s="227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</row>
    <row r="30" spans="1:32">
      <c r="A30" s="505" t="s">
        <v>234</v>
      </c>
      <c r="B30" s="227" t="s">
        <v>240</v>
      </c>
      <c r="C30" s="51">
        <f>Future_Cost!B82</f>
        <v>696362.06131907308</v>
      </c>
      <c r="D30" s="51">
        <f>Future_Cost!C82</f>
        <v>1171587.4080213904</v>
      </c>
      <c r="E30" s="52">
        <f>Future_Cost!D82</f>
        <v>2273520.1053475933</v>
      </c>
    </row>
    <row r="31" spans="1:32">
      <c r="A31" s="505"/>
      <c r="B31" s="227" t="s">
        <v>241</v>
      </c>
      <c r="C31" s="51">
        <f>Future_Cost!B83</f>
        <v>1665724.0976190476</v>
      </c>
      <c r="D31" s="51">
        <f>Future_Cost!C83</f>
        <v>4494508.4428571425</v>
      </c>
      <c r="E31" s="52">
        <f>Future_Cost!D83</f>
        <v>8329006.9928571424</v>
      </c>
    </row>
    <row r="32" spans="1:32" ht="15" thickBot="1">
      <c r="A32" s="276"/>
      <c r="B32" s="53" t="s">
        <v>61</v>
      </c>
      <c r="C32" s="277">
        <f>SUM(C27:C31)</f>
        <v>5754645.5531982947</v>
      </c>
      <c r="D32" s="277">
        <f>SUM(D27:D31)</f>
        <v>12786360.552384658</v>
      </c>
      <c r="E32" s="278">
        <f>SUM(E27:E31)</f>
        <v>22711884.596255258</v>
      </c>
    </row>
    <row r="35" spans="1:19" ht="15" customHeight="1" thickBot="1">
      <c r="A35" s="492" t="s">
        <v>435</v>
      </c>
      <c r="B35" s="492"/>
      <c r="C35" s="492"/>
      <c r="D35" s="492"/>
      <c r="F35" s="492" t="s">
        <v>440</v>
      </c>
      <c r="G35" s="492"/>
      <c r="H35" s="492"/>
      <c r="I35" s="492"/>
      <c r="P35" s="492" t="s">
        <v>441</v>
      </c>
      <c r="Q35" s="492"/>
      <c r="R35" s="492"/>
      <c r="S35" s="492"/>
    </row>
    <row r="36" spans="1:19" ht="14.4" customHeight="1">
      <c r="A36" s="172" t="s">
        <v>382</v>
      </c>
      <c r="B36" s="173" t="s">
        <v>7</v>
      </c>
      <c r="C36" s="225" t="s">
        <v>55</v>
      </c>
      <c r="D36" s="174" t="s">
        <v>6</v>
      </c>
      <c r="F36" s="172" t="s">
        <v>382</v>
      </c>
      <c r="G36" s="173" t="s">
        <v>7</v>
      </c>
      <c r="H36" s="225" t="s">
        <v>55</v>
      </c>
      <c r="I36" s="174" t="s">
        <v>6</v>
      </c>
      <c r="P36" s="172" t="s">
        <v>383</v>
      </c>
      <c r="Q36" s="173" t="s">
        <v>7</v>
      </c>
      <c r="R36" s="225" t="s">
        <v>55</v>
      </c>
      <c r="S36" s="174" t="s">
        <v>6</v>
      </c>
    </row>
    <row r="37" spans="1:19">
      <c r="A37" s="75">
        <v>1</v>
      </c>
      <c r="B37" s="175">
        <f t="shared" ref="B37:B44" si="3">$H$26/A37</f>
        <v>1484941.0833333333</v>
      </c>
      <c r="C37" s="175">
        <f>$I$26/A37</f>
        <v>2637133.809491979</v>
      </c>
      <c r="D37" s="176">
        <f>$J$26/A37</f>
        <v>4840999.2041443847</v>
      </c>
      <c r="F37" s="75">
        <v>1</v>
      </c>
      <c r="G37" s="175" cm="1">
        <f t="array" ref="G37">MIN(IF('Costs - DTE'!$AC$4:$AC$28&lt;B37,'Costs - DTE'!$AH$4:$AH$28,'Costs - DTE'!$AH$4))</f>
        <v>122.11442815005586</v>
      </c>
      <c r="H37" s="175" cm="1">
        <f t="array" ref="H37">MIN(IF('Costs - DTE'!$AC$4:$AC$28&lt;C37,'Costs - DTE'!$AH$4:$AH$28,'Costs - DTE'!$AH$4))</f>
        <v>70.82618451377914</v>
      </c>
      <c r="I37" s="176" cm="1">
        <f t="array" ref="I37">MIN(IF('Costs - DTE'!$AC$4:$AC$28&lt;D37,'Costs - DTE'!$AH$4:$AH$28,'Costs - DTE'!$AH$4))</f>
        <v>55.62966788080827</v>
      </c>
      <c r="P37" s="75" t="s">
        <v>379</v>
      </c>
      <c r="Q37" s="175">
        <f>G38*(1+(Future_Cost!$B$66/100))</f>
        <v>207.59483421051704</v>
      </c>
      <c r="R37" s="175">
        <f>H38*(1+(Future_Cost!$C$66/100))</f>
        <v>122.11442815005586</v>
      </c>
      <c r="S37" s="176">
        <f>I38*(1+(Future_Cost!$D$66/100))</f>
        <v>79.374225119825269</v>
      </c>
    </row>
    <row r="38" spans="1:19">
      <c r="A38" s="75">
        <v>2</v>
      </c>
      <c r="B38" s="175">
        <f t="shared" si="3"/>
        <v>742470.54166666663</v>
      </c>
      <c r="C38" s="175">
        <f t="shared" ref="C38:C44" si="4">$I$26/A38</f>
        <v>1318566.9047459895</v>
      </c>
      <c r="D38" s="176">
        <f t="shared" ref="D38:D44" si="5">$J$26/A38</f>
        <v>2420499.6020721924</v>
      </c>
      <c r="F38" s="75">
        <v>2</v>
      </c>
      <c r="G38" s="175" cm="1">
        <f t="array" ref="G38">MIN(IF('Costs - DTE'!$AC$4:$AC$28&lt;B38,'Costs - DTE'!$AH$4:$AH$28,'Costs - DTE'!$AH$4))</f>
        <v>207.59483421051704</v>
      </c>
      <c r="H38" s="175" cm="1">
        <f t="array" ref="H38">MIN(IF('Costs - DTE'!$AC$4:$AC$28&lt;C38,'Costs - DTE'!$AH$4:$AH$28,'Costs - DTE'!$AH$4))</f>
        <v>122.11442815005586</v>
      </c>
      <c r="I38" s="176" cm="1">
        <f t="array" ref="I38">MIN(IF('Costs - DTE'!$AC$4:$AC$28&lt;D38,'Costs - DTE'!$AH$4:$AH$28,'Costs - DTE'!$AH$4))</f>
        <v>79.374225119825269</v>
      </c>
      <c r="P38" s="75" t="s">
        <v>380</v>
      </c>
      <c r="Q38" s="175">
        <f>G39*(1+(Future_Cost!$B$66/100))</f>
        <v>207.59483421051704</v>
      </c>
      <c r="R38" s="175">
        <f>H39*(1+(Future_Cost!$C$66/100))</f>
        <v>207.59483421051704</v>
      </c>
      <c r="S38" s="176">
        <f>I39*(1+(Future_Cost!$D$66/100))</f>
        <v>93.620959463235465</v>
      </c>
    </row>
    <row r="39" spans="1:19">
      <c r="A39" s="75">
        <v>3</v>
      </c>
      <c r="B39" s="175">
        <f t="shared" si="3"/>
        <v>494980.36111111107</v>
      </c>
      <c r="C39" s="175">
        <f t="shared" si="4"/>
        <v>879044.60316399299</v>
      </c>
      <c r="D39" s="176">
        <f t="shared" si="5"/>
        <v>1613666.4013814616</v>
      </c>
      <c r="F39" s="75">
        <v>3</v>
      </c>
      <c r="G39" s="175" cm="1">
        <f t="array" ref="G39">MIN(IF('Costs - DTE'!$AC$4:$AC$28&lt;B39,'Costs - DTE'!$AH$4:$AH$28,'Costs - DTE'!$AH$4))</f>
        <v>207.59483421051704</v>
      </c>
      <c r="H39" s="175" cm="1">
        <f t="array" ref="H39">MIN(IF('Costs - DTE'!$AC$4:$AC$28&lt;C39,'Costs - DTE'!$AH$4:$AH$28,'Costs - DTE'!$AH$4))</f>
        <v>207.59483421051704</v>
      </c>
      <c r="I39" s="176" cm="1">
        <f t="array" ref="I39">MIN(IF('Costs - DTE'!$AC$4:$AC$28&lt;D39,'Costs - DTE'!$AH$4:$AH$28,'Costs - DTE'!$AH$4))</f>
        <v>93.620959463235465</v>
      </c>
      <c r="P39" s="75" t="s">
        <v>381</v>
      </c>
      <c r="Q39" s="175">
        <f>G40*(1+(Future_Cost!$B$66/100))</f>
        <v>207.59483421051704</v>
      </c>
      <c r="R39" s="175">
        <f>H40*(1+(Future_Cost!$C$66/100))</f>
        <v>207.59483421051704</v>
      </c>
      <c r="S39" s="176">
        <f>I40*(1+(Future_Cost!$D$66/100))</f>
        <v>122.11442815005586</v>
      </c>
    </row>
    <row r="40" spans="1:19">
      <c r="A40" s="75">
        <v>4</v>
      </c>
      <c r="B40" s="175">
        <f t="shared" si="3"/>
        <v>371235.27083333331</v>
      </c>
      <c r="C40" s="175">
        <f t="shared" si="4"/>
        <v>659283.45237299474</v>
      </c>
      <c r="D40" s="176">
        <f t="shared" si="5"/>
        <v>1210249.8010360962</v>
      </c>
      <c r="F40" s="75">
        <v>4</v>
      </c>
      <c r="G40" s="175" cm="1">
        <f t="array" ref="G40">MIN(IF('Costs - DTE'!$AC$4:$AC$28&lt;B40,'Costs - DTE'!$AH$4:$AH$28,'Costs - DTE'!$AH$4))</f>
        <v>207.59483421051704</v>
      </c>
      <c r="H40" s="175" cm="1">
        <f t="array" ref="H40">MIN(IF('Costs - DTE'!$AC$4:$AC$28&lt;C40,'Costs - DTE'!$AH$4:$AH$28,'Costs - DTE'!$AH$4))</f>
        <v>207.59483421051704</v>
      </c>
      <c r="I40" s="176" cm="1">
        <f t="array" ref="I40">MIN(IF('Costs - DTE'!$AC$4:$AC$28&lt;D40,'Costs - DTE'!$AH$4:$AH$28,'Costs - DTE'!$AH$4))</f>
        <v>122.11442815005586</v>
      </c>
      <c r="P40" s="75" t="s">
        <v>384</v>
      </c>
      <c r="Q40" s="175">
        <f>G41*(1+(Future_Cost!$B$66/100))</f>
        <v>207.59483421051704</v>
      </c>
      <c r="R40" s="175">
        <f>H41*(1+(Future_Cost!$C$66/100))</f>
        <v>207.59483421051704</v>
      </c>
      <c r="S40" s="176">
        <f>I41*(1+(Future_Cost!$D$66/100))</f>
        <v>207.59483421051704</v>
      </c>
    </row>
    <row r="41" spans="1:19">
      <c r="A41" s="75">
        <v>5</v>
      </c>
      <c r="B41" s="175">
        <f t="shared" si="3"/>
        <v>296988.21666666667</v>
      </c>
      <c r="C41" s="175">
        <f t="shared" si="4"/>
        <v>527426.76189839584</v>
      </c>
      <c r="D41" s="176">
        <f t="shared" si="5"/>
        <v>968199.84082887694</v>
      </c>
      <c r="F41" s="75">
        <v>5</v>
      </c>
      <c r="G41" s="175" cm="1">
        <f t="array" ref="G41">MIN(IF('Costs - DTE'!$AC$4:$AC$28&lt;B41,'Costs - DTE'!$AH$4:$AH$28,'Costs - DTE'!$AH$4))</f>
        <v>207.59483421051704</v>
      </c>
      <c r="H41" s="175" cm="1">
        <f t="array" ref="H41">MIN(IF('Costs - DTE'!$AC$4:$AC$28&lt;C41,'Costs - DTE'!$AH$4:$AH$28,'Costs - DTE'!$AH$4))</f>
        <v>207.59483421051704</v>
      </c>
      <c r="I41" s="176" cm="1">
        <f t="array" ref="I41">MIN(IF('Costs - DTE'!$AC$4:$AC$28&lt;D41,'Costs - DTE'!$AH$4:$AH$28,'Costs - DTE'!$AH$4))</f>
        <v>207.59483421051704</v>
      </c>
      <c r="P41" s="75" t="s">
        <v>385</v>
      </c>
      <c r="Q41" s="175">
        <f>G42*(1+(Future_Cost!$B$66/100))</f>
        <v>207.59483421051704</v>
      </c>
      <c r="R41" s="175">
        <f>H42*(1+(Future_Cost!$C$66/100))</f>
        <v>207.59483421051704</v>
      </c>
      <c r="S41" s="176">
        <f>I42*(1+(Future_Cost!$D$66/100))</f>
        <v>207.59483421051704</v>
      </c>
    </row>
    <row r="42" spans="1:19" ht="15" thickBot="1">
      <c r="A42" s="75">
        <v>6</v>
      </c>
      <c r="B42" s="175">
        <f t="shared" si="3"/>
        <v>247490.18055555553</v>
      </c>
      <c r="C42" s="175">
        <f t="shared" si="4"/>
        <v>439522.30158199649</v>
      </c>
      <c r="D42" s="176">
        <f t="shared" si="5"/>
        <v>806833.20069073082</v>
      </c>
      <c r="F42" s="75">
        <v>6</v>
      </c>
      <c r="G42" s="175" cm="1">
        <f t="array" ref="G42">MIN(IF('Costs - DTE'!$AC$4:$AC$28&lt;B42,'Costs - DTE'!$AH$4:$AH$28,'Costs - DTE'!$AH$4))</f>
        <v>207.59483421051704</v>
      </c>
      <c r="H42" s="175" cm="1">
        <f t="array" ref="H42">MIN(IF('Costs - DTE'!$AC$4:$AC$28&lt;C42,'Costs - DTE'!$AH$4:$AH$28,'Costs - DTE'!$AH$4))</f>
        <v>207.59483421051704</v>
      </c>
      <c r="I42" s="176" cm="1">
        <f t="array" ref="I42">MIN(IF('Costs - DTE'!$AC$4:$AC$28&lt;D42,'Costs - DTE'!$AH$4:$AH$28,'Costs - DTE'!$AH$4))</f>
        <v>207.59483421051704</v>
      </c>
      <c r="P42" s="80" t="s">
        <v>386</v>
      </c>
      <c r="Q42" s="177">
        <f>G43*(1+(Future_Cost!$B$66/100))</f>
        <v>207.59483421051704</v>
      </c>
      <c r="R42" s="177">
        <f>H43*(1+(Future_Cost!$C$66/100))</f>
        <v>207.59483421051704</v>
      </c>
      <c r="S42" s="178">
        <f>I43*(1+(Future_Cost!$D$66/100))</f>
        <v>207.59483421051704</v>
      </c>
    </row>
    <row r="43" spans="1:19">
      <c r="A43" s="75">
        <v>7</v>
      </c>
      <c r="B43" s="175">
        <f t="shared" si="3"/>
        <v>212134.44047619047</v>
      </c>
      <c r="C43" s="175">
        <f t="shared" si="4"/>
        <v>376733.40135599702</v>
      </c>
      <c r="D43" s="176">
        <f t="shared" si="5"/>
        <v>691571.31487776921</v>
      </c>
      <c r="F43" s="75">
        <v>7</v>
      </c>
      <c r="G43" s="175" cm="1">
        <f t="array" ref="G43">MIN(IF('Costs - DTE'!$AC$4:$AC$28&lt;B43,'Costs - DTE'!$AH$4:$AH$28,'Costs - DTE'!$AH$4))</f>
        <v>207.59483421051704</v>
      </c>
      <c r="H43" s="175" cm="1">
        <f t="array" ref="H43">MIN(IF('Costs - DTE'!$AC$4:$AC$28&lt;C43,'Costs - DTE'!$AH$4:$AH$28,'Costs - DTE'!$AH$4))</f>
        <v>207.59483421051704</v>
      </c>
      <c r="I43" s="176" cm="1">
        <f t="array" ref="I43">MIN(IF('Costs - DTE'!$AC$4:$AC$28&lt;D43,'Costs - DTE'!$AH$4:$AH$28,'Costs - DTE'!$AH$4))</f>
        <v>207.59483421051704</v>
      </c>
    </row>
    <row r="44" spans="1:19" ht="15" thickBot="1">
      <c r="A44" s="80">
        <v>8</v>
      </c>
      <c r="B44" s="177">
        <f t="shared" si="3"/>
        <v>185617.63541666666</v>
      </c>
      <c r="C44" s="177">
        <f t="shared" si="4"/>
        <v>329641.72618649737</v>
      </c>
      <c r="D44" s="178">
        <f t="shared" si="5"/>
        <v>605124.90051804809</v>
      </c>
      <c r="F44" s="80">
        <v>8</v>
      </c>
      <c r="G44" s="177" cm="1">
        <f t="array" ref="G44">MIN(IF('Costs - DTE'!$AC$4:$AC$28&lt;B44,'Costs - DTE'!$AH$4:$AH$28,'Costs - DTE'!$AH$4))</f>
        <v>207.59483421051704</v>
      </c>
      <c r="H44" s="177" cm="1">
        <f t="array" ref="H44">MIN(IF('Costs - DTE'!$AC$4:$AC$28&lt;C44,'Costs - DTE'!$AH$4:$AH$28,'Costs - DTE'!$AH$4))</f>
        <v>207.59483421051704</v>
      </c>
      <c r="I44" s="178" cm="1">
        <f t="array" ref="I44">MIN(IF('Costs - DTE'!$AC$4:$AC$28&lt;D44,'Costs - DTE'!$AH$4:$AH$28,'Costs - DTE'!$AH$4))</f>
        <v>207.59483421051704</v>
      </c>
      <c r="K44"/>
      <c r="L44"/>
      <c r="M44"/>
      <c r="N44"/>
    </row>
    <row r="46" spans="1:19" ht="15" thickBot="1">
      <c r="A46" s="492" t="s">
        <v>518</v>
      </c>
      <c r="B46" s="492"/>
      <c r="C46" s="492"/>
      <c r="D46" s="492"/>
      <c r="F46" s="492" t="s">
        <v>436</v>
      </c>
      <c r="G46" s="492"/>
      <c r="H46" s="492"/>
      <c r="I46" s="492"/>
      <c r="K46" s="492" t="s">
        <v>436</v>
      </c>
      <c r="L46" s="492"/>
      <c r="M46" s="492"/>
      <c r="N46" s="492"/>
      <c r="P46" s="492" t="s">
        <v>443</v>
      </c>
      <c r="Q46" s="492"/>
      <c r="R46" s="492"/>
      <c r="S46" s="492"/>
    </row>
    <row r="47" spans="1:19">
      <c r="A47" s="264" t="s">
        <v>382</v>
      </c>
      <c r="B47" s="264" t="s">
        <v>7</v>
      </c>
      <c r="C47" s="224" t="s">
        <v>55</v>
      </c>
      <c r="D47" s="264" t="s">
        <v>6</v>
      </c>
      <c r="F47" s="264" t="s">
        <v>382</v>
      </c>
      <c r="G47" s="264" t="s">
        <v>7</v>
      </c>
      <c r="H47" s="224" t="s">
        <v>55</v>
      </c>
      <c r="I47" s="264" t="s">
        <v>6</v>
      </c>
      <c r="K47" s="264" t="s">
        <v>382</v>
      </c>
      <c r="L47" s="264" t="s">
        <v>7</v>
      </c>
      <c r="M47" s="224" t="s">
        <v>55</v>
      </c>
      <c r="N47" s="264" t="s">
        <v>6</v>
      </c>
      <c r="P47" s="172" t="s">
        <v>383</v>
      </c>
      <c r="Q47" s="173" t="s">
        <v>7</v>
      </c>
      <c r="R47" s="225" t="s">
        <v>55</v>
      </c>
      <c r="S47" s="174" t="s">
        <v>6</v>
      </c>
    </row>
    <row r="48" spans="1:19">
      <c r="A48" s="21">
        <v>1</v>
      </c>
      <c r="B48" s="175">
        <f>($H$27)/A48</f>
        <v>4269704.4698649608</v>
      </c>
      <c r="C48" s="175">
        <f>($I$27)/A48</f>
        <v>10149226.742892679</v>
      </c>
      <c r="D48" s="175">
        <f>($J$27)/A48</f>
        <v>17870885.392110873</v>
      </c>
      <c r="F48" s="21">
        <v>1</v>
      </c>
      <c r="G48" s="175" cm="1">
        <f t="array" ref="G48">MIN(IF('Costs - SR - LEO'!$AA$4:$AA$180&lt;B48,'Costs - SR - LEO'!$AH$4:$AH$180,'Costs - SR - LEO'!$AH$4))</f>
        <v>31.306893713737452</v>
      </c>
      <c r="H48" s="175" cm="1">
        <f t="array" ref="H48">MIN(IF('Costs - SR - LEO'!$AA$4:$AA$180&lt;C48,'Costs - SR - LEO'!$AH$4:$AH$180,'Costs - SR - LEO'!$AH$4))</f>
        <v>31.306893713737452</v>
      </c>
      <c r="I48" s="175" cm="1">
        <f t="array" ref="I48">MIN(IF('Costs - SR - LEO'!$AA$4:$AA$180&lt;D48,'Costs - SR - LEO'!$AH$4:$AH$180,'Costs - SR - LEO'!$AH$4))</f>
        <v>31.306893713737452</v>
      </c>
      <c r="K48" s="21">
        <v>1</v>
      </c>
      <c r="L48" s="175">
        <f>G48*(1+(Future_Cost!$B$66/100))</f>
        <v>31.306893713737452</v>
      </c>
      <c r="M48" s="175">
        <f>H48*(1+(Future_Cost!$B$66/100))</f>
        <v>31.306893713737452</v>
      </c>
      <c r="N48" s="175">
        <f>I48*(1+(Future_Cost!$B$66/100))</f>
        <v>31.306893713737452</v>
      </c>
      <c r="P48" s="75" t="s">
        <v>379</v>
      </c>
      <c r="Q48" s="175">
        <f>ROUND((L49+L49)/$K$49,0)*(1+(Current_Cost!$B$44/100))</f>
        <v>31</v>
      </c>
      <c r="R48" s="175">
        <f>ROUND((M49+M49)/$K$49,0)*(1+(Current_Cost!$B$44/100))</f>
        <v>31</v>
      </c>
      <c r="S48" s="176">
        <f>ROUND((N49+N49)/$K$49,0)*(1+(Current_Cost!$B$44/100))</f>
        <v>31</v>
      </c>
    </row>
    <row r="49" spans="1:19">
      <c r="A49" s="21">
        <v>2</v>
      </c>
      <c r="B49" s="175">
        <f t="shared" ref="B49:B55" si="6">($H$27)/A49</f>
        <v>2134852.2349324804</v>
      </c>
      <c r="C49" s="175">
        <f t="shared" ref="C49:C55" si="7">($I$27)/A49</f>
        <v>5074613.3714463394</v>
      </c>
      <c r="D49" s="175">
        <f t="shared" ref="D49:D55" si="8">($J$27)/A49</f>
        <v>8935442.6960554365</v>
      </c>
      <c r="F49" s="21">
        <v>2</v>
      </c>
      <c r="G49" s="175" cm="1">
        <f t="array" ref="G49">MIN(IF('Costs - SR - LEO'!$AA$4:$AA$180&lt;B49,'Costs - SR - LEO'!$AH$4:$AH$180,'Costs - SR - LEO'!$AH$4))</f>
        <v>31.306893713737452</v>
      </c>
      <c r="H49" s="175" cm="1">
        <f t="array" ref="H49">MIN(IF('Costs - SR - LEO'!$AA$4:$AA$180&lt;C49,'Costs - SR - LEO'!$AH$4:$AH$180,'Costs - SR - LEO'!$AH$4))</f>
        <v>31.306893713737452</v>
      </c>
      <c r="I49" s="175" cm="1">
        <f t="array" ref="I49">MIN(IF('Costs - SR - LEO'!$AA$4:$AA$180&lt;D49,'Costs - SR - LEO'!$AH$4:$AH$180,'Costs - SR - LEO'!$AH$4))</f>
        <v>31.306893713737452</v>
      </c>
      <c r="K49" s="21">
        <v>2</v>
      </c>
      <c r="L49" s="175">
        <f>G49*(1+(Future_Cost!$B$66/100))</f>
        <v>31.306893713737452</v>
      </c>
      <c r="M49" s="175">
        <f>H49*(1+(Future_Cost!$B$66/100))</f>
        <v>31.306893713737452</v>
      </c>
      <c r="N49" s="175">
        <f>I49*(1+(Future_Cost!$B$66/100))</f>
        <v>31.306893713737452</v>
      </c>
      <c r="P49" s="75" t="s">
        <v>380</v>
      </c>
      <c r="Q49" s="175">
        <f>ROUND((L49+L60)/$K$49,0)*(1+(Current_Cost!$B$44/100))</f>
        <v>52</v>
      </c>
      <c r="R49" s="175">
        <f>ROUND((M49+M60)/$K$49,0)*(1+(Current_Cost!$B$44/100))</f>
        <v>52</v>
      </c>
      <c r="S49" s="176">
        <f>ROUND((N49+N60)/$K$49,0)*(1+(Current_Cost!$B$44/100))</f>
        <v>52</v>
      </c>
    </row>
    <row r="50" spans="1:19">
      <c r="A50" s="21">
        <v>3</v>
      </c>
      <c r="B50" s="175">
        <f t="shared" si="6"/>
        <v>1423234.8232883203</v>
      </c>
      <c r="C50" s="175">
        <f t="shared" si="7"/>
        <v>3383075.5809642263</v>
      </c>
      <c r="D50" s="175">
        <f t="shared" si="8"/>
        <v>5956961.7973702913</v>
      </c>
      <c r="F50" s="21">
        <v>3</v>
      </c>
      <c r="G50" s="175" cm="1">
        <f t="array" ref="G50">MIN(IF('Costs - SR - LEO'!$AA$4:$AA$180&lt;B50,'Costs - SR - LEO'!$AH$4:$AH$180,'Costs - SR - LEO'!$AH$4))</f>
        <v>31.306893713737452</v>
      </c>
      <c r="H50" s="175" cm="1">
        <f t="array" ref="H50">MIN(IF('Costs - SR - LEO'!$AA$4:$AA$180&lt;C50,'Costs - SR - LEO'!$AH$4:$AH$180,'Costs - SR - LEO'!$AH$4))</f>
        <v>31.306893713737452</v>
      </c>
      <c r="I50" s="175" cm="1">
        <f t="array" ref="I50">MIN(IF('Costs - SR - LEO'!$AA$4:$AA$180&lt;D50,'Costs - SR - LEO'!$AH$4:$AH$180,'Costs - SR - LEO'!$AH$4))</f>
        <v>31.306893713737452</v>
      </c>
      <c r="K50" s="21">
        <v>3</v>
      </c>
      <c r="L50" s="175">
        <f>G50*(1+(Future_Cost!$B$66/100))</f>
        <v>31.306893713737452</v>
      </c>
      <c r="M50" s="175">
        <f>H50*(1+(Future_Cost!$B$66/100))</f>
        <v>31.306893713737452</v>
      </c>
      <c r="N50" s="175">
        <f>I50*(1+(Future_Cost!$B$66/100))</f>
        <v>31.306893713737452</v>
      </c>
      <c r="P50" s="75" t="s">
        <v>381</v>
      </c>
      <c r="Q50" s="175">
        <f>ROUND((L51+L51+L62+L62)/$K$51,0)*(1+(Current_Cost!$B$44/100))</f>
        <v>52</v>
      </c>
      <c r="R50" s="175">
        <f>ROUND((M51+M51+M62+M62)/$K$51,0)*(1+(Current_Cost!$B$44/100))</f>
        <v>52</v>
      </c>
      <c r="S50" s="176">
        <f>ROUND((N51+N51+N62+N62)/$K$51,0)*(1+(Current_Cost!$B$44/100))</f>
        <v>52</v>
      </c>
    </row>
    <row r="51" spans="1:19">
      <c r="A51" s="21">
        <v>4</v>
      </c>
      <c r="B51" s="175">
        <f>($H$27)/A51</f>
        <v>1067426.1174662402</v>
      </c>
      <c r="C51" s="175">
        <f>($I$27)/A51</f>
        <v>2537306.6857231697</v>
      </c>
      <c r="D51" s="175">
        <f>($J$27)/A51</f>
        <v>4467721.3480277183</v>
      </c>
      <c r="F51" s="21">
        <v>4</v>
      </c>
      <c r="G51" s="175" cm="1">
        <f t="array" ref="G51">MIN(IF('Costs - SR - LEO'!$AA$4:$AA$180&lt;B51,'Costs - SR - LEO'!$AH$4:$AH$180,'Costs - SR - LEO'!$AH$4))</f>
        <v>31.306893713737452</v>
      </c>
      <c r="H51" s="175" cm="1">
        <f t="array" ref="H51">MIN(IF('Costs - SR - LEO'!$AA$4:$AA$180&lt;C51,'Costs - SR - LEO'!$AH$4:$AH$180,'Costs - SR - LEO'!$AH$4))</f>
        <v>31.306893713737452</v>
      </c>
      <c r="I51" s="175" cm="1">
        <f t="array" ref="I51">MIN(IF('Costs - SR - LEO'!$AA$4:$AA$180&lt;D51,'Costs - SR - LEO'!$AH$4:$AH$180,'Costs - SR - LEO'!$AH$4))</f>
        <v>31.306893713737452</v>
      </c>
      <c r="K51" s="21">
        <v>4</v>
      </c>
      <c r="L51" s="175">
        <f>G51*(1+(Future_Cost!$B$66/100))</f>
        <v>31.306893713737452</v>
      </c>
      <c r="M51" s="175">
        <f>H51*(1+(Future_Cost!$B$66/100))</f>
        <v>31.306893713737452</v>
      </c>
      <c r="N51" s="175">
        <f>I51*(1+(Future_Cost!$B$66/100))</f>
        <v>31.306893713737452</v>
      </c>
      <c r="P51" s="75" t="s">
        <v>384</v>
      </c>
      <c r="Q51" s="175">
        <f>ROUND((L53+L53+L53+L64+L64+L64)/$K$53,0)*(1+(Current_Cost!$B$44/100))</f>
        <v>52</v>
      </c>
      <c r="R51" s="175">
        <f>ROUND((M53+M53+M53+M64+M64+M64)/$K$53,0)*(1+(Current_Cost!$B$44/100))</f>
        <v>52</v>
      </c>
      <c r="S51" s="176">
        <f>ROUND((N53+N53+N53+N64+N64+N64)/$K$53,0)*(1+(Current_Cost!$B$44/100))</f>
        <v>52</v>
      </c>
    </row>
    <row r="52" spans="1:19">
      <c r="A52" s="21">
        <v>5</v>
      </c>
      <c r="B52" s="175">
        <f t="shared" si="6"/>
        <v>853940.8939729922</v>
      </c>
      <c r="C52" s="175">
        <f t="shared" si="7"/>
        <v>2029845.3485785357</v>
      </c>
      <c r="D52" s="175">
        <f>($J$27)/A52</f>
        <v>3574177.0784221748</v>
      </c>
      <c r="F52" s="21">
        <v>5</v>
      </c>
      <c r="G52" s="175" cm="1">
        <f t="array" ref="G52">MIN(IF('Costs - SR - LEO'!$AA$4:$AA$180&lt;B52,'Costs - SR - LEO'!$AH$4:$AH$180,'Costs - SR - LEO'!$AH$4))</f>
        <v>31.306893713737452</v>
      </c>
      <c r="H52" s="175" cm="1">
        <f t="array" ref="H52">MIN(IF('Costs - SR - LEO'!$AA$4:$AA$180&lt;C52,'Costs - SR - LEO'!$AH$4:$AH$180,'Costs - SR - LEO'!$AH$4))</f>
        <v>31.306893713737452</v>
      </c>
      <c r="I52" s="175" cm="1">
        <f t="array" ref="I52">MIN(IF('Costs - SR - LEO'!$AA$4:$AA$180&lt;D52,'Costs - SR - LEO'!$AH$4:$AH$180,'Costs - SR - LEO'!$AH$4))</f>
        <v>31.306893713737452</v>
      </c>
      <c r="K52" s="21">
        <v>5</v>
      </c>
      <c r="L52" s="175">
        <f>G52*(1+(Future_Cost!$B$66/100))</f>
        <v>31.306893713737452</v>
      </c>
      <c r="M52" s="175">
        <f>H52*(1+(Future_Cost!$B$66/100))</f>
        <v>31.306893713737452</v>
      </c>
      <c r="N52" s="175">
        <f>I52*(1+(Future_Cost!$B$66/100))</f>
        <v>31.306893713737452</v>
      </c>
      <c r="P52" s="75" t="s">
        <v>385</v>
      </c>
      <c r="Q52" s="175">
        <f>ROUND((L53+L53+L53+L53+L64+L64)/$K$53,0)*(1+(Current_Cost!$B$44/100))</f>
        <v>45</v>
      </c>
      <c r="R52" s="175">
        <f>ROUND((M53+M53+M53+M53+M64+M64)/$K$53,0)*(1+(Current_Cost!$B$44/100))</f>
        <v>45</v>
      </c>
      <c r="S52" s="176">
        <f>ROUND((N53+N53+N53+N53+N64+N64)/$K$53,0)*(1+(Current_Cost!$B$44/100))</f>
        <v>45</v>
      </c>
    </row>
    <row r="53" spans="1:19" ht="15" thickBot="1">
      <c r="A53" s="21">
        <v>6</v>
      </c>
      <c r="B53" s="175">
        <f t="shared" si="6"/>
        <v>711617.41164416017</v>
      </c>
      <c r="C53" s="175">
        <f t="shared" si="7"/>
        <v>1691537.7904821131</v>
      </c>
      <c r="D53" s="175">
        <f t="shared" si="8"/>
        <v>2978480.8986851457</v>
      </c>
      <c r="F53" s="21">
        <v>6</v>
      </c>
      <c r="G53" s="175" cm="1">
        <f t="array" ref="G53">MIN(IF('Costs - SR - LEO'!$AA$4:$AA$180&lt;B53,'Costs - SR - LEO'!$AH$4:$AH$180,'Costs - SR - LEO'!$AH$4))</f>
        <v>31.306893713737452</v>
      </c>
      <c r="H53" s="175" cm="1">
        <f t="array" ref="H53">MIN(IF('Costs - SR - LEO'!$AA$4:$AA$180&lt;C53,'Costs - SR - LEO'!$AH$4:$AH$180,'Costs - SR - LEO'!$AH$4))</f>
        <v>31.306893713737452</v>
      </c>
      <c r="I53" s="175" cm="1">
        <f t="array" ref="I53">MIN(IF('Costs - SR - LEO'!$AA$4:$AA$180&lt;D53,'Costs - SR - LEO'!$AH$4:$AH$180,'Costs - SR - LEO'!$AH$4))</f>
        <v>31.306893713737452</v>
      </c>
      <c r="K53" s="21">
        <v>6</v>
      </c>
      <c r="L53" s="175">
        <f>G53*(1+(Future_Cost!$B$66/100))</f>
        <v>31.306893713737452</v>
      </c>
      <c r="M53" s="175">
        <f>H53*(1+(Future_Cost!$B$66/100))</f>
        <v>31.306893713737452</v>
      </c>
      <c r="N53" s="175">
        <f>I53*(1+(Future_Cost!$B$66/100))</f>
        <v>31.306893713737452</v>
      </c>
      <c r="P53" s="80" t="s">
        <v>386</v>
      </c>
      <c r="Q53" s="177">
        <f>ROUND((L53+L53+L64+L64+L64+L64)/$K$53,0)*(1+(Current_Cost!$B$44/100))</f>
        <v>59</v>
      </c>
      <c r="R53" s="177">
        <f>ROUND((M53+M53+M64+M64+M64+M64)/$K$53,0)*(1+(Current_Cost!$B$44/100))</f>
        <v>59</v>
      </c>
      <c r="S53" s="178">
        <f>ROUND((N53+N53+N64+N64+N64+N64)/$K$53,0)*(1+(Current_Cost!$B$44/100))</f>
        <v>59</v>
      </c>
    </row>
    <row r="54" spans="1:19">
      <c r="A54" s="21">
        <v>7</v>
      </c>
      <c r="B54" s="175">
        <f>($H$27)/A54</f>
        <v>609957.78140928014</v>
      </c>
      <c r="C54" s="175">
        <f t="shared" si="7"/>
        <v>1449889.5346989541</v>
      </c>
      <c r="D54" s="175">
        <f t="shared" si="8"/>
        <v>2552983.6274444102</v>
      </c>
      <c r="F54" s="21">
        <v>7</v>
      </c>
      <c r="G54" s="175" cm="1">
        <f t="array" ref="G54">MIN(IF('Costs - SR - LEO'!$AA$4:$AA$180&lt;B54,'Costs - SR - LEO'!$AH$4:$AH$180,'Costs - SR - LEO'!$AH$4))</f>
        <v>31.306893713737452</v>
      </c>
      <c r="H54" s="175" cm="1">
        <f t="array" ref="H54">MIN(IF('Costs - SR - LEO'!$AA$4:$AA$180&lt;C54,'Costs - SR - LEO'!$AH$4:$AH$180,'Costs - SR - LEO'!$AH$4))</f>
        <v>31.306893713737452</v>
      </c>
      <c r="I54" s="175" cm="1">
        <f t="array" ref="I54">MIN(IF('Costs - SR - LEO'!$AA$4:$AA$180&lt;D54,'Costs - SR - LEO'!$AH$4:$AH$180,'Costs - SR - LEO'!$AH$4))</f>
        <v>31.306893713737452</v>
      </c>
      <c r="K54" s="21">
        <v>7</v>
      </c>
      <c r="L54" s="175">
        <f>G54*(1+(Future_Cost!$B$66/100))</f>
        <v>31.306893713737452</v>
      </c>
      <c r="M54" s="175">
        <f>H54*(1+(Future_Cost!$B$66/100))</f>
        <v>31.306893713737452</v>
      </c>
      <c r="N54" s="175">
        <f>I54*(1+(Future_Cost!$B$66/100))</f>
        <v>31.306893713737452</v>
      </c>
    </row>
    <row r="55" spans="1:19">
      <c r="A55" s="21">
        <v>8</v>
      </c>
      <c r="B55" s="175">
        <f t="shared" si="6"/>
        <v>533713.05873312009</v>
      </c>
      <c r="C55" s="175">
        <f t="shared" si="7"/>
        <v>1268653.3428615849</v>
      </c>
      <c r="D55" s="175">
        <f t="shared" si="8"/>
        <v>2233860.6740138591</v>
      </c>
      <c r="F55" s="21">
        <v>8</v>
      </c>
      <c r="G55" s="175" cm="1">
        <f t="array" ref="G55">MIN(IF('Costs - SR - LEO'!$AA$4:$AA$180&lt;B55,'Costs - SR - LEO'!$AH$4:$AH$180,'Costs - SR - LEO'!$AH$4))</f>
        <v>31.306893713737452</v>
      </c>
      <c r="H55" s="175" cm="1">
        <f t="array" ref="H55">MIN(IF('Costs - SR - LEO'!$AA$4:$AA$180&lt;C55,'Costs - SR - LEO'!$AH$4:$AH$180,'Costs - SR - LEO'!$AH$4))</f>
        <v>31.306893713737452</v>
      </c>
      <c r="I55" s="175" cm="1">
        <f t="array" ref="I55">MIN(IF('Costs - SR - LEO'!$AA$4:$AA$180&lt;D55,'Costs - SR - LEO'!$AH$4:$AH$180,'Costs - SR - LEO'!$AH$4))</f>
        <v>31.306893713737452</v>
      </c>
      <c r="K55" s="21">
        <v>8</v>
      </c>
      <c r="L55" s="175">
        <f>G55*(1+(Future_Cost!$B$66/100))</f>
        <v>31.306893713737452</v>
      </c>
      <c r="M55" s="175">
        <f>H55*(1+(Future_Cost!$B$66/100))</f>
        <v>31.306893713737452</v>
      </c>
      <c r="N55" s="175">
        <f>I55*(1+(Future_Cost!$B$66/100))</f>
        <v>31.306893713737452</v>
      </c>
    </row>
    <row r="57" spans="1:19">
      <c r="A57" s="492" t="s">
        <v>519</v>
      </c>
      <c r="B57" s="492"/>
      <c r="C57" s="492"/>
      <c r="D57" s="492"/>
      <c r="F57" s="492" t="s">
        <v>520</v>
      </c>
      <c r="G57" s="492"/>
      <c r="H57" s="492"/>
      <c r="I57" s="492"/>
      <c r="K57" s="492" t="s">
        <v>520</v>
      </c>
      <c r="L57" s="492"/>
      <c r="M57" s="492"/>
      <c r="N57" s="492"/>
    </row>
    <row r="58" spans="1:19">
      <c r="A58" s="264" t="s">
        <v>382</v>
      </c>
      <c r="B58" s="264" t="s">
        <v>7</v>
      </c>
      <c r="C58" s="403" t="s">
        <v>55</v>
      </c>
      <c r="D58" s="264" t="s">
        <v>6</v>
      </c>
      <c r="F58" s="264" t="s">
        <v>382</v>
      </c>
      <c r="G58" s="264" t="s">
        <v>7</v>
      </c>
      <c r="H58" s="224" t="s">
        <v>55</v>
      </c>
      <c r="I58" s="264" t="s">
        <v>6</v>
      </c>
      <c r="K58" s="264" t="s">
        <v>382</v>
      </c>
      <c r="L58" s="264" t="s">
        <v>7</v>
      </c>
      <c r="M58" s="224" t="s">
        <v>55</v>
      </c>
      <c r="N58" s="264" t="s">
        <v>6</v>
      </c>
    </row>
    <row r="59" spans="1:19">
      <c r="A59" s="21">
        <v>1</v>
      </c>
      <c r="B59" s="175">
        <f>($H$27+$H$28)/A59</f>
        <v>8539408.9397299215</v>
      </c>
      <c r="C59" s="175">
        <f>($I$27+$I$28)/A59</f>
        <v>20298453.485785358</v>
      </c>
      <c r="D59" s="175">
        <f>($J$27+$J$28)/A59</f>
        <v>35741770.784221746</v>
      </c>
      <c r="F59" s="21">
        <v>1</v>
      </c>
      <c r="G59" s="175" cm="1">
        <f t="array" ref="G59">MIN(IF('Costs - SR - GEO'!$AB$4:$AB$55&lt;B59,'Costs - SR - GEO'!$AI$4:$AI$55,'Costs - SR - GEO'!$AI$4))</f>
        <v>72.30605683726462</v>
      </c>
      <c r="H59" s="175" cm="1">
        <f t="array" ref="H59">MIN(IF('Costs - SR - GEO'!$AB$4:$AB$55&lt;C59,'Costs - SR - GEO'!$AI$4:$AI$55,'Costs - SR - GEO'!$AI$4))</f>
        <v>72.30605683726462</v>
      </c>
      <c r="I59" s="175" cm="1">
        <f t="array" ref="I59">MIN(IF('Costs - SR - GEO'!$AB$4:$AB$55&lt;D59,'Costs - SR - GEO'!$AI$4:$AI$55,'Costs - SR - GEO'!$AI$4))</f>
        <v>72.30605683726462</v>
      </c>
      <c r="K59" s="21">
        <v>1</v>
      </c>
      <c r="L59" s="175">
        <f>G59*(1+(Future_Cost!$B$66/100))</f>
        <v>72.30605683726462</v>
      </c>
      <c r="M59" s="175">
        <f>H59*(1+(Future_Cost!$B$66/100))</f>
        <v>72.30605683726462</v>
      </c>
      <c r="N59" s="175">
        <f>I59*(1+(Future_Cost!$B$66/100))</f>
        <v>72.30605683726462</v>
      </c>
    </row>
    <row r="60" spans="1:19">
      <c r="A60" s="21">
        <v>2</v>
      </c>
      <c r="B60" s="175">
        <f t="shared" ref="B60:B66" si="9">($H$27+$H$28)/A60</f>
        <v>4269704.4698649608</v>
      </c>
      <c r="C60" s="175">
        <f t="shared" ref="C60:C66" si="10">($I$27+$I$28)/A60</f>
        <v>10149226.742892679</v>
      </c>
      <c r="D60" s="175">
        <f t="shared" ref="D60:D66" si="11">($J$27+$J$28)/A60</f>
        <v>17870885.392110873</v>
      </c>
      <c r="F60" s="21">
        <v>2</v>
      </c>
      <c r="G60" s="175" cm="1">
        <f t="array" ref="G60">MIN(IF('Costs - SR - GEO'!$AB$4:$AB$55&lt;B60,'Costs - SR - GEO'!$AI$4:$AI$55,'Costs - SR - GEO'!$AI$4))</f>
        <v>72.30605683726462</v>
      </c>
      <c r="H60" s="175" cm="1">
        <f t="array" ref="H60">MIN(IF('Costs - SR - GEO'!$AB$4:$AB$55&lt;C60,'Costs - SR - GEO'!$AI$4:$AI$55,'Costs - SR - GEO'!$AI$4))</f>
        <v>72.30605683726462</v>
      </c>
      <c r="I60" s="175" cm="1">
        <f t="array" ref="I60">MIN(IF('Costs - SR - GEO'!$AB$4:$AB$55&lt;D60,'Costs - SR - GEO'!$AI$4:$AI$55,'Costs - SR - GEO'!$AI$4))</f>
        <v>72.30605683726462</v>
      </c>
      <c r="K60" s="21">
        <v>2</v>
      </c>
      <c r="L60" s="175">
        <f>G60*(1+(Future_Cost!$B$66/100))</f>
        <v>72.30605683726462</v>
      </c>
      <c r="M60" s="175">
        <f>H60*(1+(Future_Cost!$B$66/100))</f>
        <v>72.30605683726462</v>
      </c>
      <c r="N60" s="175">
        <f>I60*(1+(Future_Cost!$B$66/100))</f>
        <v>72.30605683726462</v>
      </c>
    </row>
    <row r="61" spans="1:19">
      <c r="A61" s="21">
        <v>3</v>
      </c>
      <c r="B61" s="175">
        <f t="shared" si="9"/>
        <v>2846469.6465766407</v>
      </c>
      <c r="C61" s="175">
        <f t="shared" si="10"/>
        <v>6766151.1619284526</v>
      </c>
      <c r="D61" s="175">
        <f t="shared" si="11"/>
        <v>11913923.594740583</v>
      </c>
      <c r="F61" s="21">
        <v>3</v>
      </c>
      <c r="G61" s="175" cm="1">
        <f t="array" ref="G61">MIN(IF('Costs - SR - GEO'!$AB$4:$AB$55&lt;B61,'Costs - SR - GEO'!$AI$4:$AI$55,'Costs - SR - GEO'!$AI$4))</f>
        <v>72.30605683726462</v>
      </c>
      <c r="H61" s="175" cm="1">
        <f t="array" ref="H61">MIN(IF('Costs - SR - GEO'!$AB$4:$AB$55&lt;C61,'Costs - SR - GEO'!$AI$4:$AI$55,'Costs - SR - GEO'!$AI$4))</f>
        <v>72.30605683726462</v>
      </c>
      <c r="I61" s="175" cm="1">
        <f t="array" ref="I61">MIN(IF('Costs - SR - GEO'!$AB$4:$AB$55&lt;D61,'Costs - SR - GEO'!$AI$4:$AI$55,'Costs - SR - GEO'!$AI$4))</f>
        <v>72.30605683726462</v>
      </c>
      <c r="K61" s="21">
        <v>3</v>
      </c>
      <c r="L61" s="175">
        <f>G61*(1+(Future_Cost!$B$66/100))</f>
        <v>72.30605683726462</v>
      </c>
      <c r="M61" s="175">
        <f>H61*(1+(Future_Cost!$B$66/100))</f>
        <v>72.30605683726462</v>
      </c>
      <c r="N61" s="175">
        <f>I61*(1+(Future_Cost!$B$66/100))</f>
        <v>72.30605683726462</v>
      </c>
    </row>
    <row r="62" spans="1:19">
      <c r="A62" s="21">
        <v>4</v>
      </c>
      <c r="B62" s="175">
        <f t="shared" si="9"/>
        <v>2134852.2349324804</v>
      </c>
      <c r="C62" s="175">
        <f t="shared" si="10"/>
        <v>5074613.3714463394</v>
      </c>
      <c r="D62" s="175">
        <f t="shared" si="11"/>
        <v>8935442.6960554365</v>
      </c>
      <c r="F62" s="21">
        <v>4</v>
      </c>
      <c r="G62" s="175" cm="1">
        <f t="array" ref="G62">MIN(IF('Costs - SR - GEO'!$AB$4:$AB$55&lt;B62,'Costs - SR - GEO'!$AI$4:$AI$55,'Costs - SR - GEO'!$AI$4))</f>
        <v>72.30605683726462</v>
      </c>
      <c r="H62" s="175" cm="1">
        <f t="array" ref="H62">MIN(IF('Costs - SR - GEO'!$AB$4:$AB$55&lt;C62,'Costs - SR - GEO'!$AI$4:$AI$55,'Costs - SR - GEO'!$AI$4))</f>
        <v>72.30605683726462</v>
      </c>
      <c r="I62" s="175" cm="1">
        <f t="array" ref="I62">MIN(IF('Costs - SR - GEO'!$AB$4:$AB$55&lt;D62,'Costs - SR - GEO'!$AI$4:$AI$55,'Costs - SR - GEO'!$AI$4))</f>
        <v>72.30605683726462</v>
      </c>
      <c r="K62" s="21">
        <v>4</v>
      </c>
      <c r="L62" s="175">
        <f>G62*(1+(Future_Cost!$B$66/100))</f>
        <v>72.30605683726462</v>
      </c>
      <c r="M62" s="175">
        <f>H62*(1+(Future_Cost!$B$66/100))</f>
        <v>72.30605683726462</v>
      </c>
      <c r="N62" s="175">
        <f>I62*(1+(Future_Cost!$B$66/100))</f>
        <v>72.30605683726462</v>
      </c>
    </row>
    <row r="63" spans="1:19">
      <c r="A63" s="21">
        <v>5</v>
      </c>
      <c r="B63" s="175">
        <f t="shared" si="9"/>
        <v>1707881.7879459844</v>
      </c>
      <c r="C63" s="175">
        <f t="shared" si="10"/>
        <v>4059690.6971570714</v>
      </c>
      <c r="D63" s="175">
        <f t="shared" si="11"/>
        <v>7148354.1568443496</v>
      </c>
      <c r="F63" s="21">
        <v>5</v>
      </c>
      <c r="G63" s="175" cm="1">
        <f t="array" ref="G63">MIN(IF('Costs - SR - GEO'!$AB$4:$AB$55&lt;B63,'Costs - SR - GEO'!$AI$4:$AI$55,'Costs - SR - GEO'!$AI$4))</f>
        <v>72.30605683726462</v>
      </c>
      <c r="H63" s="175" cm="1">
        <f t="array" ref="H63">MIN(IF('Costs - SR - GEO'!$AB$4:$AB$55&lt;C63,'Costs - SR - GEO'!$AI$4:$AI$55,'Costs - SR - GEO'!$AI$4))</f>
        <v>72.30605683726462</v>
      </c>
      <c r="I63" s="175" cm="1">
        <f t="array" ref="I63">MIN(IF('Costs - SR - GEO'!$AB$4:$AB$55&lt;D63,'Costs - SR - GEO'!$AI$4:$AI$55,'Costs - SR - GEO'!$AI$4))</f>
        <v>72.30605683726462</v>
      </c>
      <c r="K63" s="21">
        <v>5</v>
      </c>
      <c r="L63" s="175">
        <f>G63*(1+(Future_Cost!$B$66/100))</f>
        <v>72.30605683726462</v>
      </c>
      <c r="M63" s="175">
        <f>H63*(1+(Future_Cost!$B$66/100))</f>
        <v>72.30605683726462</v>
      </c>
      <c r="N63" s="175">
        <f>I63*(1+(Future_Cost!$B$66/100))</f>
        <v>72.30605683726462</v>
      </c>
    </row>
    <row r="64" spans="1:19">
      <c r="A64" s="21">
        <v>6</v>
      </c>
      <c r="B64" s="175">
        <f t="shared" si="9"/>
        <v>1423234.8232883203</v>
      </c>
      <c r="C64" s="175">
        <f t="shared" si="10"/>
        <v>3383075.5809642263</v>
      </c>
      <c r="D64" s="175">
        <f t="shared" si="11"/>
        <v>5956961.7973702913</v>
      </c>
      <c r="F64" s="21">
        <v>6</v>
      </c>
      <c r="G64" s="175" cm="1">
        <f t="array" ref="G64">MIN(IF('Costs - SR - GEO'!$AB$4:$AB$55&lt;B64,'Costs - SR - GEO'!$AI$4:$AI$55,'Costs - SR - GEO'!$AI$4))</f>
        <v>72.30605683726462</v>
      </c>
      <c r="H64" s="175" cm="1">
        <f t="array" ref="H64">MIN(IF('Costs - SR - GEO'!$AB$4:$AB$55&lt;C64,'Costs - SR - GEO'!$AI$4:$AI$55,'Costs - SR - GEO'!$AI$4))</f>
        <v>72.30605683726462</v>
      </c>
      <c r="I64" s="175" cm="1">
        <f t="array" ref="I64">MIN(IF('Costs - SR - GEO'!$AB$4:$AB$55&lt;D64,'Costs - SR - GEO'!$AI$4:$AI$55,'Costs - SR - GEO'!$AI$4))</f>
        <v>72.30605683726462</v>
      </c>
      <c r="K64" s="21">
        <v>6</v>
      </c>
      <c r="L64" s="175">
        <f>G64*(1+(Future_Cost!$B$66/100))</f>
        <v>72.30605683726462</v>
      </c>
      <c r="M64" s="175">
        <f>H64*(1+(Future_Cost!$B$66/100))</f>
        <v>72.30605683726462</v>
      </c>
      <c r="N64" s="175">
        <f>I64*(1+(Future_Cost!$B$66/100))</f>
        <v>72.30605683726462</v>
      </c>
    </row>
    <row r="65" spans="1:14">
      <c r="A65" s="21">
        <v>7</v>
      </c>
      <c r="B65" s="175">
        <f t="shared" si="9"/>
        <v>1219915.5628185603</v>
      </c>
      <c r="C65" s="175">
        <f t="shared" si="10"/>
        <v>2899779.0693979082</v>
      </c>
      <c r="D65" s="175">
        <f t="shared" si="11"/>
        <v>5105967.2548888205</v>
      </c>
      <c r="F65" s="21">
        <v>7</v>
      </c>
      <c r="G65" s="175" cm="1">
        <f t="array" ref="G65">MIN(IF('Costs - SR - GEO'!$AB$4:$AB$55&lt;B65,'Costs - SR - GEO'!$AI$4:$AI$55,'Costs - SR - GEO'!$AI$4))</f>
        <v>72.30605683726462</v>
      </c>
      <c r="H65" s="175" cm="1">
        <f t="array" ref="H65">MIN(IF('Costs - SR - GEO'!$AB$4:$AB$55&lt;C65,'Costs - SR - GEO'!$AI$4:$AI$55,'Costs - SR - GEO'!$AI$4))</f>
        <v>72.30605683726462</v>
      </c>
      <c r="I65" s="175" cm="1">
        <f t="array" ref="I65">MIN(IF('Costs - SR - GEO'!$AB$4:$AB$55&lt;D65,'Costs - SR - GEO'!$AI$4:$AI$55,'Costs - SR - GEO'!$AI$4))</f>
        <v>72.30605683726462</v>
      </c>
      <c r="K65" s="21">
        <v>7</v>
      </c>
      <c r="L65" s="175">
        <f>G65*(1+(Future_Cost!$B$66/100))</f>
        <v>72.30605683726462</v>
      </c>
      <c r="M65" s="175">
        <f>H65*(1+(Future_Cost!$B$66/100))</f>
        <v>72.30605683726462</v>
      </c>
      <c r="N65" s="175">
        <f>I65*(1+(Future_Cost!$B$66/100))</f>
        <v>72.30605683726462</v>
      </c>
    </row>
    <row r="66" spans="1:14">
      <c r="A66" s="21">
        <v>8</v>
      </c>
      <c r="B66" s="175">
        <f t="shared" si="9"/>
        <v>1067426.1174662402</v>
      </c>
      <c r="C66" s="175">
        <f t="shared" si="10"/>
        <v>2537306.6857231697</v>
      </c>
      <c r="D66" s="175">
        <f t="shared" si="11"/>
        <v>4467721.3480277183</v>
      </c>
      <c r="F66" s="21">
        <v>8</v>
      </c>
      <c r="G66" s="175" cm="1">
        <f t="array" ref="G66">MIN(IF('Costs - SR - GEO'!$AB$4:$AB$55&lt;B66,'Costs - SR - GEO'!$AI$4:$AI$55,'Costs - SR - GEO'!$AI$4))</f>
        <v>72.30605683726462</v>
      </c>
      <c r="H66" s="175" cm="1">
        <f t="array" ref="H66">MIN(IF('Costs - SR - GEO'!$AB$4:$AB$55&lt;C66,'Costs - SR - GEO'!$AI$4:$AI$55,'Costs - SR - GEO'!$AI$4))</f>
        <v>72.30605683726462</v>
      </c>
      <c r="I66" s="175" cm="1">
        <f t="array" ref="I66">MIN(IF('Costs - SR - GEO'!$AB$4:$AB$55&lt;D66,'Costs - SR - GEO'!$AI$4:$AI$55,'Costs - SR - GEO'!$AI$4))</f>
        <v>72.30605683726462</v>
      </c>
      <c r="K66" s="21">
        <v>8</v>
      </c>
      <c r="L66" s="175">
        <f>G66*(1+(Future_Cost!$B$66/100))</f>
        <v>72.30605683726462</v>
      </c>
      <c r="M66" s="175">
        <f>H66*(1+(Future_Cost!$B$66/100))</f>
        <v>72.30605683726462</v>
      </c>
      <c r="N66" s="175">
        <f>I66*(1+(Future_Cost!$B$66/100))</f>
        <v>72.30605683726462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1">
    <mergeCell ref="G24:J24"/>
    <mergeCell ref="F35:I35"/>
    <mergeCell ref="A46:D46"/>
    <mergeCell ref="F46:I46"/>
    <mergeCell ref="K46:N46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E21" sqref="E21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9" bestFit="1" customWidth="1"/>
    <col min="9" max="16384" width="8.88671875" style="2"/>
  </cols>
  <sheetData>
    <row r="1" spans="1:8" ht="13.8">
      <c r="A1" s="2" t="s">
        <v>353</v>
      </c>
      <c r="B1" s="2" t="s">
        <v>354</v>
      </c>
      <c r="C1" s="2" t="s">
        <v>375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>
      <c r="A2" s="2" t="s">
        <v>368</v>
      </c>
      <c r="B2" s="2" t="s">
        <v>368</v>
      </c>
      <c r="C2" s="2" t="s">
        <v>377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>
      <c r="A3" s="2" t="s">
        <v>366</v>
      </c>
      <c r="B3" s="2" t="s">
        <v>367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>
      <c r="A4" s="2" t="s">
        <v>419</v>
      </c>
      <c r="B4" s="2" t="s">
        <v>425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>
      <c r="A5" s="2" t="s">
        <v>420</v>
      </c>
      <c r="B5" s="2" t="s">
        <v>426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>
      <c r="A6" s="2" t="s">
        <v>421</v>
      </c>
      <c r="B6" s="2" t="s">
        <v>430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>
      <c r="A7" s="2" t="s">
        <v>422</v>
      </c>
      <c r="B7" s="2" t="s">
        <v>427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>
      <c r="A8" s="2" t="s">
        <v>423</v>
      </c>
      <c r="B8" s="2" t="s">
        <v>428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>
      <c r="A9" s="2" t="s">
        <v>424</v>
      </c>
      <c r="B9" s="2" t="s">
        <v>429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>
      <c r="D20" s="2">
        <v>19</v>
      </c>
      <c r="E20" s="2">
        <v>95</v>
      </c>
      <c r="G20" s="44">
        <v>950000000</v>
      </c>
      <c r="H20" s="44">
        <v>950000000</v>
      </c>
    </row>
    <row r="21" spans="1:8" ht="13.8">
      <c r="D21" s="2">
        <v>20</v>
      </c>
      <c r="E21" s="2">
        <v>100</v>
      </c>
      <c r="G21" s="44">
        <v>1000000000</v>
      </c>
      <c r="H21" s="44">
        <v>1000000000</v>
      </c>
    </row>
    <row r="22" spans="1:8">
      <c r="D22" s="2">
        <v>21</v>
      </c>
      <c r="G22" s="44">
        <v>1050000000</v>
      </c>
    </row>
    <row r="23" spans="1:8">
      <c r="D23" s="2">
        <v>22</v>
      </c>
      <c r="G23" s="44">
        <v>1100000000</v>
      </c>
    </row>
    <row r="24" spans="1:8">
      <c r="D24" s="2">
        <v>23</v>
      </c>
      <c r="G24" s="44">
        <v>1150000000</v>
      </c>
    </row>
    <row r="25" spans="1:8">
      <c r="D25" s="2">
        <v>24</v>
      </c>
      <c r="G25" s="44">
        <v>1200000000</v>
      </c>
    </row>
    <row r="26" spans="1:8">
      <c r="D26" s="2">
        <v>25</v>
      </c>
      <c r="G26" s="44">
        <v>1250000000</v>
      </c>
    </row>
    <row r="27" spans="1:8">
      <c r="D27" s="2">
        <v>26</v>
      </c>
      <c r="G27" s="44">
        <v>1300000000</v>
      </c>
    </row>
    <row r="28" spans="1:8">
      <c r="D28" s="2">
        <v>27</v>
      </c>
      <c r="G28" s="44">
        <v>1350000000</v>
      </c>
    </row>
    <row r="29" spans="1:8">
      <c r="D29" s="2">
        <v>28</v>
      </c>
      <c r="G29" s="44">
        <v>1400000000</v>
      </c>
    </row>
    <row r="30" spans="1:8">
      <c r="D30" s="2">
        <v>29</v>
      </c>
      <c r="G30" s="44">
        <v>1450000000</v>
      </c>
    </row>
    <row r="31" spans="1:8">
      <c r="D31" s="2">
        <v>30</v>
      </c>
      <c r="G31" s="44">
        <v>1500000000</v>
      </c>
    </row>
    <row r="32" spans="1:8">
      <c r="D32" s="2">
        <v>31</v>
      </c>
      <c r="G32" s="44">
        <v>1550000000</v>
      </c>
    </row>
    <row r="33" spans="4:7">
      <c r="D33" s="2">
        <v>32</v>
      </c>
      <c r="G33" s="44">
        <v>1600000000</v>
      </c>
    </row>
    <row r="34" spans="4:7">
      <c r="D34" s="2">
        <v>33</v>
      </c>
      <c r="G34" s="44">
        <v>1650000000</v>
      </c>
    </row>
    <row r="35" spans="4:7">
      <c r="D35" s="2">
        <v>34</v>
      </c>
      <c r="G35" s="44">
        <v>1700000000</v>
      </c>
    </row>
    <row r="36" spans="4:7">
      <c r="D36" s="2">
        <v>35</v>
      </c>
      <c r="G36" s="44">
        <v>1750000000</v>
      </c>
    </row>
    <row r="37" spans="4:7">
      <c r="D37" s="2">
        <v>36</v>
      </c>
      <c r="G37" s="44">
        <v>1800000000</v>
      </c>
    </row>
    <row r="38" spans="4:7">
      <c r="D38" s="2">
        <v>37</v>
      </c>
      <c r="G38" s="44">
        <v>1850000000</v>
      </c>
    </row>
    <row r="39" spans="4:7">
      <c r="D39" s="2">
        <v>38</v>
      </c>
      <c r="G39" s="44">
        <v>1900000000</v>
      </c>
    </row>
    <row r="40" spans="4:7">
      <c r="D40" s="2">
        <v>39</v>
      </c>
      <c r="G40" s="44">
        <v>1950000000</v>
      </c>
    </row>
    <row r="41" spans="4:7">
      <c r="D41" s="2">
        <v>40</v>
      </c>
      <c r="G41" s="44">
        <v>2000000000</v>
      </c>
    </row>
    <row r="42" spans="4:7">
      <c r="D42" s="2">
        <v>41</v>
      </c>
      <c r="G42" s="44">
        <v>2050000000</v>
      </c>
    </row>
    <row r="43" spans="4:7">
      <c r="D43" s="2">
        <v>42</v>
      </c>
      <c r="G43" s="44">
        <v>2100000000</v>
      </c>
    </row>
    <row r="44" spans="4:7">
      <c r="D44" s="2">
        <v>43</v>
      </c>
      <c r="G44" s="44">
        <v>2150000000</v>
      </c>
    </row>
    <row r="45" spans="4:7">
      <c r="D45" s="2">
        <v>44</v>
      </c>
      <c r="G45" s="44">
        <v>2200000000</v>
      </c>
    </row>
    <row r="46" spans="4:7">
      <c r="D46" s="2">
        <v>45</v>
      </c>
      <c r="G46" s="44">
        <v>2250000000</v>
      </c>
    </row>
    <row r="47" spans="4:7">
      <c r="D47" s="2">
        <v>46</v>
      </c>
      <c r="G47" s="44">
        <v>2300000000</v>
      </c>
    </row>
    <row r="48" spans="4:7">
      <c r="D48" s="2">
        <v>47</v>
      </c>
      <c r="G48" s="44">
        <v>2350000000</v>
      </c>
    </row>
    <row r="49" spans="1:8">
      <c r="D49" s="2">
        <v>48</v>
      </c>
      <c r="G49" s="44">
        <v>2400000000</v>
      </c>
    </row>
    <row r="50" spans="1:8">
      <c r="D50" s="2">
        <v>49</v>
      </c>
      <c r="G50" s="44">
        <v>2450000000</v>
      </c>
    </row>
    <row r="51" spans="1:8">
      <c r="D51" s="2">
        <v>50</v>
      </c>
      <c r="G51" s="44">
        <v>2500000000</v>
      </c>
    </row>
    <row r="52" spans="1:8">
      <c r="D52" s="2">
        <v>51</v>
      </c>
      <c r="G52" s="44">
        <v>2550000000</v>
      </c>
    </row>
    <row r="53" spans="1:8">
      <c r="D53" s="2">
        <v>52</v>
      </c>
      <c r="G53" s="44">
        <v>2600000000</v>
      </c>
    </row>
    <row r="54" spans="1:8">
      <c r="D54" s="2">
        <v>53</v>
      </c>
      <c r="G54" s="44">
        <v>2650000000</v>
      </c>
    </row>
    <row r="55" spans="1:8">
      <c r="D55" s="2">
        <v>54</v>
      </c>
      <c r="G55" s="44">
        <v>2700000000</v>
      </c>
    </row>
    <row r="56" spans="1:8">
      <c r="D56" s="2">
        <v>55</v>
      </c>
      <c r="G56" s="44">
        <v>2750000000</v>
      </c>
    </row>
    <row r="57" spans="1:8">
      <c r="D57" s="2">
        <v>56</v>
      </c>
      <c r="G57" s="44">
        <v>2800000000</v>
      </c>
    </row>
    <row r="58" spans="1:8">
      <c r="D58" s="2">
        <v>57</v>
      </c>
      <c r="G58" s="44">
        <v>2850000000</v>
      </c>
    </row>
    <row r="59" spans="1:8">
      <c r="D59" s="2">
        <v>58</v>
      </c>
      <c r="G59" s="44">
        <v>2900000000</v>
      </c>
    </row>
    <row r="60" spans="1:8">
      <c r="D60" s="2">
        <v>59</v>
      </c>
      <c r="G60" s="44">
        <v>2950000000</v>
      </c>
    </row>
    <row r="61" spans="1:8">
      <c r="D61" s="2">
        <v>60</v>
      </c>
      <c r="G61" s="44">
        <v>3000000000</v>
      </c>
    </row>
    <row r="62" spans="1:8" customFormat="1">
      <c r="A62" s="2"/>
      <c r="B62" s="2"/>
      <c r="C62" s="2"/>
      <c r="D62" s="2">
        <v>61</v>
      </c>
      <c r="E62" s="2"/>
      <c r="F62" s="2"/>
      <c r="G62" s="189"/>
      <c r="H62" s="189"/>
    </row>
    <row r="63" spans="1:8" customFormat="1">
      <c r="A63" s="2"/>
      <c r="B63" s="2"/>
      <c r="C63" s="2"/>
      <c r="D63" s="2">
        <v>62</v>
      </c>
      <c r="E63" s="2"/>
      <c r="F63" s="2"/>
      <c r="G63" s="189"/>
      <c r="H63" s="189"/>
    </row>
    <row r="64" spans="1:8" customFormat="1">
      <c r="A64" s="2"/>
      <c r="B64" s="2"/>
      <c r="C64" s="2"/>
      <c r="D64" s="2">
        <v>63</v>
      </c>
      <c r="E64" s="2"/>
      <c r="F64" s="2"/>
      <c r="G64" s="189"/>
      <c r="H64" s="189"/>
    </row>
    <row r="65" spans="1:8" customFormat="1">
      <c r="A65" s="2"/>
      <c r="B65" s="2"/>
      <c r="C65" s="2"/>
      <c r="D65" s="2">
        <v>64</v>
      </c>
      <c r="E65" s="2"/>
      <c r="F65" s="2"/>
      <c r="G65" s="189"/>
      <c r="H65" s="189"/>
    </row>
    <row r="66" spans="1:8" customFormat="1">
      <c r="A66" s="2"/>
      <c r="B66" s="2"/>
      <c r="C66" s="2"/>
      <c r="D66" s="2">
        <v>65</v>
      </c>
      <c r="E66" s="2"/>
      <c r="F66" s="2"/>
      <c r="G66" s="189"/>
      <c r="H66" s="189"/>
    </row>
    <row r="67" spans="1:8" customFormat="1">
      <c r="A67" s="2"/>
      <c r="B67" s="2"/>
      <c r="C67" s="2"/>
      <c r="D67" s="2">
        <v>66</v>
      </c>
      <c r="E67" s="2"/>
      <c r="F67" s="2"/>
      <c r="G67" s="189"/>
      <c r="H67" s="189"/>
    </row>
    <row r="68" spans="1:8" customFormat="1">
      <c r="A68" s="2"/>
      <c r="B68" s="2"/>
      <c r="C68" s="2"/>
      <c r="D68" s="2">
        <v>67</v>
      </c>
      <c r="E68" s="2"/>
      <c r="F68" s="2"/>
      <c r="G68" s="189"/>
      <c r="H68" s="189"/>
    </row>
    <row r="69" spans="1:8" customFormat="1">
      <c r="A69" s="2"/>
      <c r="B69" s="2"/>
      <c r="C69" s="2"/>
      <c r="D69" s="2">
        <v>68</v>
      </c>
      <c r="E69" s="2"/>
      <c r="F69" s="2"/>
      <c r="G69" s="189"/>
      <c r="H69" s="189"/>
    </row>
    <row r="70" spans="1:8" customFormat="1">
      <c r="A70" s="2"/>
      <c r="B70" s="2"/>
      <c r="C70" s="2"/>
      <c r="D70" s="2">
        <v>69</v>
      </c>
      <c r="E70" s="2"/>
      <c r="F70" s="2"/>
      <c r="G70" s="189"/>
      <c r="H70" s="189"/>
    </row>
    <row r="71" spans="1:8" customFormat="1">
      <c r="A71" s="2"/>
      <c r="B71" s="2"/>
      <c r="C71" s="2"/>
      <c r="D71" s="2">
        <v>70</v>
      </c>
      <c r="E71" s="2"/>
      <c r="F71" s="2"/>
      <c r="G71" s="189"/>
      <c r="H71" s="189"/>
    </row>
    <row r="72" spans="1:8" customFormat="1">
      <c r="A72" s="2"/>
      <c r="B72" s="2"/>
      <c r="C72" s="2"/>
      <c r="D72" s="2">
        <v>71</v>
      </c>
      <c r="E72" s="2"/>
      <c r="F72" s="2"/>
      <c r="G72" s="189"/>
      <c r="H72" s="189"/>
    </row>
    <row r="73" spans="1:8" customFormat="1">
      <c r="A73" s="2"/>
      <c r="B73" s="2"/>
      <c r="C73" s="2"/>
      <c r="D73" s="2">
        <v>72</v>
      </c>
      <c r="E73" s="2"/>
      <c r="F73" s="2"/>
      <c r="G73" s="189"/>
      <c r="H73" s="189"/>
    </row>
    <row r="74" spans="1:8" customFormat="1">
      <c r="A74" s="2"/>
      <c r="B74" s="2"/>
      <c r="C74" s="2"/>
      <c r="D74" s="2">
        <v>73</v>
      </c>
      <c r="E74" s="2"/>
      <c r="F74" s="2"/>
      <c r="G74" s="189"/>
      <c r="H74" s="189"/>
    </row>
    <row r="75" spans="1:8" customFormat="1">
      <c r="A75" s="2"/>
      <c r="B75" s="2"/>
      <c r="C75" s="2"/>
      <c r="D75" s="2">
        <v>74</v>
      </c>
      <c r="E75" s="2"/>
      <c r="F75" s="2"/>
      <c r="G75" s="189"/>
      <c r="H75" s="189"/>
    </row>
    <row r="76" spans="1:8" customFormat="1">
      <c r="A76" s="2"/>
      <c r="B76" s="2"/>
      <c r="C76" s="2"/>
      <c r="D76" s="2">
        <v>75</v>
      </c>
      <c r="E76" s="2"/>
      <c r="F76" s="2"/>
      <c r="G76" s="189"/>
      <c r="H76" s="189"/>
    </row>
    <row r="77" spans="1:8" customFormat="1">
      <c r="A77" s="2"/>
      <c r="B77" s="2"/>
      <c r="C77" s="2"/>
      <c r="D77" s="2">
        <v>76</v>
      </c>
      <c r="E77" s="2"/>
      <c r="F77" s="2"/>
      <c r="G77" s="189"/>
      <c r="H77" s="189"/>
    </row>
    <row r="78" spans="1:8" customFormat="1">
      <c r="A78" s="2"/>
      <c r="B78" s="2"/>
      <c r="C78" s="2"/>
      <c r="D78" s="2">
        <v>77</v>
      </c>
      <c r="E78" s="2"/>
      <c r="F78" s="2"/>
      <c r="G78" s="189"/>
      <c r="H78" s="189"/>
    </row>
    <row r="79" spans="1:8" customFormat="1">
      <c r="A79" s="2"/>
      <c r="B79" s="2"/>
      <c r="C79" s="2"/>
      <c r="D79" s="2">
        <v>78</v>
      </c>
      <c r="E79" s="2"/>
      <c r="F79" s="2"/>
      <c r="G79" s="189"/>
      <c r="H79" s="189"/>
    </row>
    <row r="80" spans="1:8" customFormat="1">
      <c r="A80" s="2"/>
      <c r="B80" s="2"/>
      <c r="C80" s="2"/>
      <c r="D80" s="2">
        <v>79</v>
      </c>
      <c r="E80" s="2"/>
      <c r="F80" s="2"/>
      <c r="G80" s="189"/>
      <c r="H80" s="189"/>
    </row>
    <row r="81" spans="1:8" customFormat="1">
      <c r="A81" s="2"/>
      <c r="B81" s="2"/>
      <c r="C81" s="2"/>
      <c r="D81" s="2">
        <v>80</v>
      </c>
      <c r="E81" s="2"/>
      <c r="F81" s="2"/>
      <c r="G81" s="189"/>
      <c r="H81" s="189"/>
    </row>
    <row r="82" spans="1:8" customFormat="1">
      <c r="A82" s="2"/>
      <c r="B82" s="2"/>
      <c r="C82" s="2"/>
      <c r="D82" s="2">
        <v>81</v>
      </c>
      <c r="E82" s="2"/>
      <c r="F82" s="2"/>
      <c r="G82" s="189"/>
      <c r="H82" s="189"/>
    </row>
    <row r="83" spans="1:8" customFormat="1">
      <c r="A83" s="2"/>
      <c r="B83" s="2"/>
      <c r="C83" s="2"/>
      <c r="D83" s="2">
        <v>82</v>
      </c>
      <c r="E83" s="2"/>
      <c r="F83" s="2"/>
      <c r="G83" s="189"/>
      <c r="H83" s="189"/>
    </row>
    <row r="84" spans="1:8" customFormat="1">
      <c r="A84" s="2"/>
      <c r="B84" s="2"/>
      <c r="C84" s="2"/>
      <c r="D84" s="2">
        <v>83</v>
      </c>
      <c r="E84" s="2"/>
      <c r="F84" s="2"/>
      <c r="G84" s="189"/>
      <c r="H84" s="189"/>
    </row>
    <row r="85" spans="1:8" customFormat="1">
      <c r="A85" s="2"/>
      <c r="B85" s="2"/>
      <c r="C85" s="2"/>
      <c r="D85" s="2">
        <v>84</v>
      </c>
      <c r="E85" s="2"/>
      <c r="F85" s="2"/>
      <c r="G85" s="189"/>
      <c r="H85" s="189"/>
    </row>
    <row r="86" spans="1:8" customFormat="1">
      <c r="A86" s="2"/>
      <c r="B86" s="2"/>
      <c r="C86" s="2"/>
      <c r="D86" s="2">
        <v>85</v>
      </c>
      <c r="E86" s="2"/>
      <c r="F86" s="2"/>
      <c r="G86" s="189"/>
      <c r="H86" s="189"/>
    </row>
    <row r="87" spans="1:8" customFormat="1">
      <c r="A87" s="2"/>
      <c r="B87" s="2"/>
      <c r="C87" s="2"/>
      <c r="D87" s="2">
        <v>86</v>
      </c>
      <c r="E87" s="2"/>
      <c r="F87" s="2"/>
      <c r="G87" s="189"/>
      <c r="H87" s="189"/>
    </row>
    <row r="88" spans="1:8" customFormat="1">
      <c r="A88" s="2"/>
      <c r="B88" s="2"/>
      <c r="C88" s="2"/>
      <c r="D88" s="2">
        <v>87</v>
      </c>
      <c r="E88" s="2"/>
      <c r="F88" s="2"/>
      <c r="G88" s="189"/>
      <c r="H88" s="189"/>
    </row>
    <row r="89" spans="1:8" customFormat="1">
      <c r="A89" s="2"/>
      <c r="B89" s="2"/>
      <c r="C89" s="2"/>
      <c r="D89" s="2">
        <v>88</v>
      </c>
      <c r="E89" s="2"/>
      <c r="F89" s="2"/>
      <c r="G89" s="189"/>
      <c r="H89" s="189"/>
    </row>
    <row r="90" spans="1:8" customFormat="1">
      <c r="A90" s="2"/>
      <c r="B90" s="2"/>
      <c r="C90" s="2"/>
      <c r="D90" s="2">
        <v>89</v>
      </c>
      <c r="E90" s="2"/>
      <c r="F90" s="2"/>
      <c r="G90" s="189"/>
      <c r="H90" s="189"/>
    </row>
    <row r="91" spans="1:8" customFormat="1">
      <c r="A91" s="2"/>
      <c r="B91" s="2"/>
      <c r="C91" s="2"/>
      <c r="D91" s="2">
        <v>90</v>
      </c>
      <c r="E91" s="2"/>
      <c r="F91" s="2"/>
      <c r="G91" s="189"/>
      <c r="H91" s="189"/>
    </row>
    <row r="92" spans="1:8" customFormat="1">
      <c r="A92" s="2"/>
      <c r="B92" s="2"/>
      <c r="C92" s="2"/>
      <c r="D92" s="2">
        <v>91</v>
      </c>
      <c r="E92" s="2"/>
      <c r="F92" s="2"/>
      <c r="G92" s="189"/>
      <c r="H92" s="189"/>
    </row>
    <row r="93" spans="1:8" customFormat="1">
      <c r="A93" s="2"/>
      <c r="B93" s="2"/>
      <c r="C93" s="2"/>
      <c r="D93" s="2">
        <v>92</v>
      </c>
      <c r="E93" s="2"/>
      <c r="F93" s="2"/>
      <c r="G93" s="189"/>
      <c r="H93" s="189"/>
    </row>
    <row r="94" spans="1:8" customFormat="1">
      <c r="A94" s="2"/>
      <c r="B94" s="2"/>
      <c r="C94" s="2"/>
      <c r="D94" s="2">
        <v>93</v>
      </c>
      <c r="E94" s="2"/>
      <c r="F94" s="2"/>
      <c r="G94" s="189"/>
      <c r="H94" s="189"/>
    </row>
    <row r="95" spans="1:8" customFormat="1">
      <c r="A95" s="2"/>
      <c r="B95" s="2"/>
      <c r="C95" s="2"/>
      <c r="D95" s="2">
        <v>94</v>
      </c>
      <c r="E95" s="2"/>
      <c r="F95" s="2"/>
      <c r="G95" s="189"/>
      <c r="H95" s="189"/>
    </row>
    <row r="96" spans="1:8" customFormat="1">
      <c r="A96" s="2"/>
      <c r="B96" s="2"/>
      <c r="C96" s="2"/>
      <c r="D96" s="2">
        <v>95</v>
      </c>
      <c r="E96" s="2"/>
      <c r="F96" s="2"/>
      <c r="G96" s="189"/>
      <c r="H96" s="189"/>
    </row>
    <row r="97" spans="1:8" customFormat="1">
      <c r="A97" s="2"/>
      <c r="B97" s="2"/>
      <c r="C97" s="2"/>
      <c r="D97" s="2">
        <v>96</v>
      </c>
      <c r="E97" s="2"/>
      <c r="F97" s="2"/>
      <c r="G97" s="189"/>
      <c r="H97" s="189"/>
    </row>
    <row r="98" spans="1:8" customFormat="1">
      <c r="A98" s="2"/>
      <c r="B98" s="2"/>
      <c r="C98" s="2"/>
      <c r="D98" s="2">
        <v>97</v>
      </c>
      <c r="E98" s="2"/>
      <c r="F98" s="2"/>
      <c r="G98" s="189"/>
      <c r="H98" s="189"/>
    </row>
    <row r="99" spans="1:8" customFormat="1">
      <c r="A99" s="2"/>
      <c r="B99" s="2"/>
      <c r="C99" s="2"/>
      <c r="D99" s="2">
        <v>98</v>
      </c>
      <c r="E99" s="2"/>
      <c r="F99" s="2"/>
      <c r="G99" s="189"/>
      <c r="H99" s="189"/>
    </row>
    <row r="100" spans="1:8" customFormat="1">
      <c r="A100" s="2"/>
      <c r="B100" s="2"/>
      <c r="C100" s="2"/>
      <c r="D100" s="2">
        <v>99</v>
      </c>
      <c r="E100" s="2"/>
      <c r="F100" s="2"/>
      <c r="G100" s="189"/>
      <c r="H100" s="189"/>
    </row>
    <row r="101" spans="1:8" customFormat="1">
      <c r="A101" s="2"/>
      <c r="B101" s="2"/>
      <c r="C101" s="2"/>
      <c r="D101" s="2">
        <v>100</v>
      </c>
      <c r="E101" s="2"/>
      <c r="F101" s="2"/>
      <c r="G101" s="189"/>
      <c r="H101" s="189"/>
    </row>
    <row r="102" spans="1:8" customFormat="1">
      <c r="A102" s="2"/>
      <c r="B102" s="2"/>
      <c r="C102" s="2"/>
      <c r="D102" s="2"/>
      <c r="E102" s="2"/>
      <c r="F102" s="2"/>
      <c r="G102" s="189"/>
      <c r="H102" s="189"/>
    </row>
    <row r="103" spans="1:8" customFormat="1">
      <c r="A103" s="2"/>
      <c r="B103" s="2"/>
      <c r="C103" s="2"/>
      <c r="D103" s="2"/>
      <c r="E103" s="2"/>
      <c r="F103" s="2"/>
      <c r="G103" s="189"/>
      <c r="H103" s="189"/>
    </row>
    <row r="104" spans="1:8" customFormat="1">
      <c r="A104" s="2"/>
      <c r="B104" s="2"/>
      <c r="C104" s="2"/>
      <c r="D104" s="2"/>
      <c r="E104" s="2"/>
      <c r="F104" s="2"/>
      <c r="G104" s="189"/>
      <c r="H104" s="189"/>
    </row>
    <row r="105" spans="1:8" customFormat="1">
      <c r="A105" s="2"/>
      <c r="B105" s="2"/>
      <c r="C105" s="2"/>
      <c r="D105" s="2"/>
      <c r="E105" s="2"/>
      <c r="F105" s="2"/>
      <c r="G105" s="189"/>
      <c r="H105" s="189"/>
    </row>
    <row r="106" spans="1:8" customFormat="1">
      <c r="A106" s="2"/>
      <c r="B106" s="2"/>
      <c r="C106" s="2"/>
      <c r="D106" s="2"/>
      <c r="E106" s="2"/>
      <c r="F106" s="2"/>
      <c r="G106" s="189"/>
      <c r="H106" s="189"/>
    </row>
    <row r="107" spans="1:8" customFormat="1">
      <c r="A107" s="2"/>
      <c r="B107" s="2"/>
      <c r="C107" s="2"/>
      <c r="D107" s="2"/>
      <c r="E107" s="2"/>
      <c r="F107" s="2"/>
      <c r="G107" s="189"/>
      <c r="H107" s="189"/>
    </row>
    <row r="108" spans="1:8" customFormat="1">
      <c r="A108" s="2"/>
      <c r="B108" s="2"/>
      <c r="C108" s="2"/>
      <c r="D108" s="2"/>
      <c r="E108" s="2"/>
      <c r="F108" s="2"/>
      <c r="G108" s="189"/>
      <c r="H108" s="189"/>
    </row>
    <row r="109" spans="1:8" customFormat="1">
      <c r="A109" s="2"/>
      <c r="B109" s="2"/>
      <c r="C109" s="2"/>
      <c r="D109" s="2"/>
      <c r="E109" s="2"/>
      <c r="F109" s="2"/>
      <c r="G109" s="189"/>
      <c r="H109" s="189"/>
    </row>
    <row r="110" spans="1:8" customFormat="1">
      <c r="A110" s="2"/>
      <c r="B110" s="2"/>
      <c r="C110" s="2"/>
      <c r="D110" s="2"/>
      <c r="E110" s="2"/>
      <c r="F110" s="2"/>
      <c r="G110" s="189"/>
      <c r="H110" s="189"/>
    </row>
    <row r="111" spans="1:8" customFormat="1">
      <c r="A111" s="2"/>
      <c r="B111" s="2"/>
      <c r="C111" s="2"/>
      <c r="D111" s="2"/>
      <c r="E111" s="2"/>
      <c r="F111" s="2"/>
      <c r="G111" s="189"/>
      <c r="H111" s="189"/>
    </row>
    <row r="112" spans="1:8" customFormat="1">
      <c r="A112" s="2"/>
      <c r="B112" s="2"/>
      <c r="C112" s="2"/>
      <c r="D112" s="2"/>
      <c r="E112" s="2"/>
      <c r="F112" s="2"/>
      <c r="G112" s="189"/>
      <c r="H112" s="189"/>
    </row>
    <row r="113" spans="1:8" customFormat="1">
      <c r="A113" s="2"/>
      <c r="B113" s="2"/>
      <c r="C113" s="2"/>
      <c r="D113" s="2"/>
      <c r="E113" s="2"/>
      <c r="F113" s="2"/>
      <c r="G113" s="189"/>
      <c r="H113" s="189"/>
    </row>
    <row r="114" spans="1:8" customFormat="1">
      <c r="A114" s="2"/>
      <c r="B114" s="2"/>
      <c r="C114" s="2"/>
      <c r="D114" s="2"/>
      <c r="E114" s="2"/>
      <c r="F114" s="2"/>
      <c r="G114" s="189"/>
      <c r="H114" s="189"/>
    </row>
    <row r="115" spans="1:8" customFormat="1">
      <c r="A115" s="2"/>
      <c r="B115" s="2"/>
      <c r="C115" s="2"/>
      <c r="D115" s="2"/>
      <c r="E115" s="2"/>
      <c r="F115" s="2"/>
      <c r="G115" s="189"/>
      <c r="H115" s="189"/>
    </row>
    <row r="116" spans="1:8" customFormat="1">
      <c r="A116" s="2"/>
      <c r="B116" s="2"/>
      <c r="C116" s="2"/>
      <c r="D116" s="2"/>
      <c r="E116" s="2"/>
      <c r="F116" s="2"/>
      <c r="G116" s="189"/>
      <c r="H116" s="189"/>
    </row>
    <row r="117" spans="1:8" customFormat="1">
      <c r="A117" s="2"/>
      <c r="B117" s="2"/>
      <c r="C117" s="2"/>
      <c r="D117" s="2"/>
      <c r="E117" s="2"/>
      <c r="F117" s="2"/>
      <c r="G117" s="189"/>
      <c r="H117" s="189"/>
    </row>
    <row r="118" spans="1:8" customFormat="1">
      <c r="A118" s="2"/>
      <c r="B118" s="2"/>
      <c r="C118" s="2"/>
      <c r="D118" s="2"/>
      <c r="E118" s="2"/>
      <c r="F118" s="2"/>
      <c r="G118" s="189"/>
      <c r="H118" s="189"/>
    </row>
    <row r="119" spans="1:8" customFormat="1">
      <c r="A119" s="2"/>
      <c r="B119" s="2"/>
      <c r="C119" s="2"/>
      <c r="D119" s="2"/>
      <c r="E119" s="2"/>
      <c r="F119" s="2"/>
      <c r="G119" s="189"/>
      <c r="H119" s="189"/>
    </row>
    <row r="120" spans="1:8" customFormat="1">
      <c r="A120" s="2"/>
      <c r="B120" s="2"/>
      <c r="C120" s="2"/>
      <c r="D120" s="2"/>
      <c r="E120" s="2"/>
      <c r="F120" s="2"/>
      <c r="G120" s="189"/>
      <c r="H120" s="189"/>
    </row>
    <row r="121" spans="1:8" customFormat="1">
      <c r="A121" s="2"/>
      <c r="B121" s="2"/>
      <c r="C121" s="2"/>
      <c r="D121" s="2"/>
      <c r="E121" s="2"/>
      <c r="F121" s="2"/>
      <c r="G121" s="189"/>
      <c r="H121" s="189"/>
    </row>
    <row r="122" spans="1:8" customFormat="1">
      <c r="A122" s="2"/>
      <c r="B122" s="2"/>
      <c r="C122" s="2"/>
      <c r="D122" s="2"/>
      <c r="E122" s="2"/>
      <c r="F122" s="2"/>
      <c r="G122" s="189"/>
      <c r="H122" s="189"/>
    </row>
    <row r="123" spans="1:8" customFormat="1">
      <c r="A123" s="2"/>
      <c r="B123" s="2"/>
      <c r="C123" s="2"/>
      <c r="D123" s="2"/>
      <c r="E123" s="2"/>
      <c r="F123" s="2"/>
      <c r="G123" s="189"/>
      <c r="H123" s="189"/>
    </row>
    <row r="124" spans="1:8" customFormat="1">
      <c r="A124" s="2"/>
      <c r="B124" s="2"/>
      <c r="C124" s="2"/>
      <c r="D124" s="2"/>
      <c r="E124" s="2"/>
      <c r="F124" s="2"/>
      <c r="G124" s="189"/>
      <c r="H124" s="189"/>
    </row>
    <row r="125" spans="1:8" customFormat="1">
      <c r="A125" s="2"/>
      <c r="B125" s="2"/>
      <c r="C125" s="2"/>
      <c r="D125" s="2"/>
      <c r="E125" s="2"/>
      <c r="F125" s="2"/>
      <c r="G125" s="189"/>
      <c r="H125" s="189"/>
    </row>
    <row r="126" spans="1:8" customFormat="1">
      <c r="A126" s="2"/>
      <c r="B126" s="2"/>
      <c r="C126" s="2"/>
      <c r="D126" s="2"/>
      <c r="E126" s="2"/>
      <c r="F126" s="2"/>
      <c r="G126" s="189"/>
      <c r="H126" s="189"/>
    </row>
    <row r="127" spans="1:8" customFormat="1">
      <c r="A127" s="2"/>
      <c r="B127" s="2"/>
      <c r="C127" s="2"/>
      <c r="D127" s="2"/>
      <c r="E127" s="2"/>
      <c r="F127" s="2"/>
      <c r="G127" s="189"/>
      <c r="H127" s="189"/>
    </row>
    <row r="128" spans="1:8" customFormat="1">
      <c r="A128" s="2"/>
      <c r="B128" s="2"/>
      <c r="C128" s="2"/>
      <c r="D128" s="2"/>
      <c r="E128" s="2"/>
      <c r="F128" s="2"/>
      <c r="G128" s="189"/>
      <c r="H128" s="189"/>
    </row>
    <row r="129" spans="1:8" customFormat="1">
      <c r="A129" s="2"/>
      <c r="B129" s="2"/>
      <c r="C129" s="2"/>
      <c r="D129" s="2"/>
      <c r="E129" s="2"/>
      <c r="F129" s="2"/>
      <c r="G129" s="189"/>
      <c r="H129" s="189"/>
    </row>
    <row r="130" spans="1:8" customFormat="1">
      <c r="A130" s="2"/>
      <c r="B130" s="2"/>
      <c r="C130" s="2"/>
      <c r="D130" s="2"/>
      <c r="E130" s="2"/>
      <c r="F130" s="2"/>
      <c r="G130" s="189"/>
      <c r="H130" s="189"/>
    </row>
    <row r="131" spans="1:8" customFormat="1">
      <c r="A131" s="2"/>
      <c r="B131" s="2"/>
      <c r="C131" s="2"/>
      <c r="D131" s="2"/>
      <c r="E131" s="2"/>
      <c r="F131" s="2"/>
      <c r="G131" s="189"/>
      <c r="H131" s="189"/>
    </row>
    <row r="132" spans="1:8" customFormat="1">
      <c r="A132" s="2"/>
      <c r="B132" s="2"/>
      <c r="C132" s="2"/>
      <c r="D132" s="2"/>
      <c r="E132" s="2"/>
      <c r="F132" s="2"/>
      <c r="G132" s="189"/>
      <c r="H132" s="189"/>
    </row>
    <row r="133" spans="1:8" customFormat="1">
      <c r="A133" s="2"/>
      <c r="B133" s="2"/>
      <c r="C133" s="2"/>
      <c r="D133" s="2"/>
      <c r="E133" s="2"/>
      <c r="F133" s="2"/>
      <c r="G133" s="189"/>
      <c r="H133" s="189"/>
    </row>
    <row r="134" spans="1:8" customFormat="1">
      <c r="A134" s="2"/>
      <c r="B134" s="2"/>
      <c r="C134" s="2"/>
      <c r="D134" s="2"/>
      <c r="E134" s="2"/>
      <c r="F134" s="2"/>
      <c r="G134" s="189"/>
      <c r="H134" s="189"/>
    </row>
    <row r="135" spans="1:8" customFormat="1">
      <c r="A135" s="2"/>
      <c r="B135" s="2"/>
      <c r="C135" s="2"/>
      <c r="D135" s="2"/>
      <c r="E135" s="2"/>
      <c r="F135" s="2"/>
      <c r="G135" s="189"/>
      <c r="H135" s="189"/>
    </row>
    <row r="136" spans="1:8" customFormat="1">
      <c r="A136" s="2"/>
      <c r="B136" s="2"/>
      <c r="C136" s="2"/>
      <c r="D136" s="2"/>
      <c r="E136" s="2"/>
      <c r="F136" s="2"/>
      <c r="G136" s="189"/>
      <c r="H136" s="189"/>
    </row>
    <row r="137" spans="1:8" customFormat="1">
      <c r="A137" s="2"/>
      <c r="B137" s="2"/>
      <c r="C137" s="2"/>
      <c r="D137" s="2"/>
      <c r="E137" s="2"/>
      <c r="F137" s="2"/>
      <c r="G137" s="189"/>
      <c r="H137" s="189"/>
    </row>
    <row r="138" spans="1:8" customFormat="1">
      <c r="A138" s="2"/>
      <c r="B138" s="2"/>
      <c r="C138" s="2"/>
      <c r="D138" s="2"/>
      <c r="E138" s="2"/>
      <c r="F138" s="2"/>
      <c r="G138" s="189"/>
      <c r="H138" s="189"/>
    </row>
    <row r="139" spans="1:8" customFormat="1">
      <c r="A139" s="2"/>
      <c r="B139" s="2"/>
      <c r="C139" s="2"/>
      <c r="D139" s="2"/>
      <c r="E139" s="2"/>
      <c r="F139" s="2"/>
      <c r="G139" s="189"/>
      <c r="H139" s="189"/>
    </row>
    <row r="140" spans="1:8" customFormat="1">
      <c r="A140" s="2"/>
      <c r="B140" s="2"/>
      <c r="C140" s="2"/>
      <c r="D140" s="2"/>
      <c r="E140" s="2"/>
      <c r="F140" s="2"/>
      <c r="G140" s="189"/>
      <c r="H140" s="189"/>
    </row>
    <row r="141" spans="1:8" customFormat="1">
      <c r="A141" s="2"/>
      <c r="B141" s="2"/>
      <c r="C141" s="2"/>
      <c r="D141" s="2"/>
      <c r="E141" s="2"/>
      <c r="F141" s="2"/>
      <c r="G141" s="189"/>
      <c r="H141" s="189"/>
    </row>
    <row r="142" spans="1:8" customFormat="1">
      <c r="A142" s="2"/>
      <c r="B142" s="2"/>
      <c r="C142" s="2"/>
      <c r="D142" s="2"/>
      <c r="E142" s="2"/>
      <c r="F142" s="2"/>
      <c r="G142" s="189"/>
      <c r="H142" s="189"/>
    </row>
    <row r="143" spans="1:8" customFormat="1">
      <c r="A143" s="2"/>
      <c r="B143" s="2"/>
      <c r="C143" s="2"/>
      <c r="D143" s="2"/>
      <c r="E143" s="2"/>
      <c r="F143" s="2"/>
      <c r="G143" s="189"/>
      <c r="H143" s="189"/>
    </row>
    <row r="144" spans="1:8" customFormat="1">
      <c r="A144" s="2"/>
      <c r="B144" s="2"/>
      <c r="C144" s="2"/>
      <c r="D144" s="2"/>
      <c r="E144" s="2"/>
      <c r="F144" s="2"/>
      <c r="G144" s="189"/>
      <c r="H144" s="189"/>
    </row>
    <row r="145" spans="1:8" customFormat="1">
      <c r="A145" s="2"/>
      <c r="B145" s="2"/>
      <c r="C145" s="2"/>
      <c r="D145" s="2"/>
      <c r="E145" s="2"/>
      <c r="F145" s="2"/>
      <c r="G145" s="189"/>
      <c r="H145" s="189"/>
    </row>
    <row r="146" spans="1:8" customFormat="1">
      <c r="A146" s="2"/>
      <c r="B146" s="2"/>
      <c r="C146" s="2"/>
      <c r="D146" s="2"/>
      <c r="E146" s="2"/>
      <c r="F146" s="2"/>
      <c r="G146" s="189"/>
      <c r="H146" s="189"/>
    </row>
    <row r="147" spans="1:8" customFormat="1">
      <c r="A147" s="2"/>
      <c r="B147" s="2"/>
      <c r="C147" s="2"/>
      <c r="D147" s="2"/>
      <c r="E147" s="2"/>
      <c r="F147" s="2"/>
      <c r="G147" s="189"/>
      <c r="H147" s="189"/>
    </row>
    <row r="148" spans="1:8" customFormat="1">
      <c r="A148" s="2"/>
      <c r="B148" s="2"/>
      <c r="C148" s="2"/>
      <c r="D148" s="2"/>
      <c r="E148" s="2"/>
      <c r="F148" s="2"/>
      <c r="G148" s="189"/>
      <c r="H148" s="189"/>
    </row>
    <row r="149" spans="1:8" customFormat="1">
      <c r="A149" s="2"/>
      <c r="B149" s="2"/>
      <c r="C149" s="2"/>
      <c r="D149" s="2"/>
      <c r="E149" s="2"/>
      <c r="F149" s="2"/>
      <c r="G149" s="189"/>
      <c r="H149" s="189"/>
    </row>
    <row r="150" spans="1:8" customFormat="1">
      <c r="A150" s="2"/>
      <c r="B150" s="2"/>
      <c r="C150" s="2"/>
      <c r="D150" s="2"/>
      <c r="E150" s="2"/>
      <c r="F150" s="2"/>
      <c r="G150" s="189"/>
      <c r="H150" s="189"/>
    </row>
    <row r="151" spans="1:8" customFormat="1">
      <c r="A151" s="2"/>
      <c r="B151" s="2"/>
      <c r="C151" s="2"/>
      <c r="D151" s="2"/>
      <c r="E151" s="2"/>
      <c r="F151" s="2"/>
      <c r="G151" s="189"/>
      <c r="H151" s="189"/>
    </row>
    <row r="152" spans="1:8" customFormat="1">
      <c r="A152" s="2"/>
      <c r="B152" s="2"/>
      <c r="C152" s="2"/>
      <c r="D152" s="2"/>
      <c r="E152" s="2"/>
      <c r="F152" s="2"/>
      <c r="G152" s="189"/>
      <c r="H152" s="189"/>
    </row>
    <row r="153" spans="1:8" customFormat="1">
      <c r="A153" s="2"/>
      <c r="B153" s="2"/>
      <c r="C153" s="2"/>
      <c r="D153" s="2"/>
      <c r="E153" s="2"/>
      <c r="F153" s="2"/>
      <c r="G153" s="189"/>
      <c r="H153" s="189"/>
    </row>
    <row r="154" spans="1:8" customFormat="1">
      <c r="A154" s="2"/>
      <c r="B154" s="2"/>
      <c r="C154" s="2"/>
      <c r="D154" s="2"/>
      <c r="E154" s="2"/>
      <c r="F154" s="2"/>
      <c r="G154" s="189"/>
      <c r="H154" s="189"/>
    </row>
    <row r="155" spans="1:8" customFormat="1">
      <c r="A155" s="2"/>
      <c r="B155" s="2"/>
      <c r="C155" s="2"/>
      <c r="D155" s="2"/>
      <c r="E155" s="2"/>
      <c r="F155" s="2"/>
      <c r="G155" s="189"/>
      <c r="H155" s="189"/>
    </row>
    <row r="156" spans="1:8" customFormat="1">
      <c r="A156" s="2"/>
      <c r="B156" s="2"/>
      <c r="C156" s="2"/>
      <c r="D156" s="2"/>
      <c r="E156" s="2"/>
      <c r="F156" s="2"/>
      <c r="G156" s="189"/>
      <c r="H156" s="189"/>
    </row>
    <row r="157" spans="1:8" customFormat="1">
      <c r="A157" s="2"/>
      <c r="B157" s="2"/>
      <c r="C157" s="2"/>
      <c r="D157" s="2"/>
      <c r="E157" s="2"/>
      <c r="F157" s="2"/>
      <c r="G157" s="189"/>
      <c r="H157" s="189"/>
    </row>
    <row r="158" spans="1:8" customFormat="1">
      <c r="A158" s="2"/>
      <c r="B158" s="2"/>
      <c r="C158" s="2"/>
      <c r="D158" s="2"/>
      <c r="E158" s="2"/>
      <c r="F158" s="2"/>
      <c r="G158" s="189"/>
      <c r="H158" s="189"/>
    </row>
    <row r="159" spans="1:8" customFormat="1">
      <c r="A159" s="2"/>
      <c r="B159" s="2"/>
      <c r="C159" s="2"/>
      <c r="D159" s="2"/>
      <c r="E159" s="2"/>
      <c r="F159" s="2"/>
      <c r="G159" s="189"/>
      <c r="H159" s="189"/>
    </row>
    <row r="160" spans="1:8" customFormat="1">
      <c r="A160" s="2"/>
      <c r="B160" s="2"/>
      <c r="C160" s="2"/>
      <c r="D160" s="2"/>
      <c r="E160" s="2"/>
      <c r="F160" s="2"/>
      <c r="G160" s="189"/>
      <c r="H160" s="189"/>
    </row>
    <row r="161" spans="1:8" customFormat="1">
      <c r="A161" s="2"/>
      <c r="B161" s="2"/>
      <c r="C161" s="2"/>
      <c r="D161" s="2"/>
      <c r="E161" s="2"/>
      <c r="F161" s="2"/>
      <c r="G161" s="189"/>
      <c r="H161" s="189"/>
    </row>
    <row r="162" spans="1:8" customFormat="1">
      <c r="A162" s="2"/>
      <c r="B162" s="2"/>
      <c r="C162" s="2"/>
      <c r="D162" s="2"/>
      <c r="E162" s="2"/>
      <c r="F162" s="2"/>
      <c r="G162" s="189"/>
      <c r="H162" s="189"/>
    </row>
    <row r="163" spans="1:8" customFormat="1">
      <c r="A163" s="2"/>
      <c r="B163" s="2"/>
      <c r="C163" s="2"/>
      <c r="D163" s="2"/>
      <c r="E163" s="2"/>
      <c r="F163" s="2"/>
      <c r="G163" s="189"/>
      <c r="H163" s="189"/>
    </row>
    <row r="164" spans="1:8" customFormat="1">
      <c r="A164" s="2"/>
      <c r="B164" s="2"/>
      <c r="C164" s="2"/>
      <c r="D164" s="2"/>
      <c r="E164" s="2"/>
      <c r="F164" s="2"/>
      <c r="G164" s="189"/>
      <c r="H164" s="189"/>
    </row>
    <row r="165" spans="1:8" customFormat="1">
      <c r="A165" s="2"/>
      <c r="B165" s="2"/>
      <c r="C165" s="2"/>
      <c r="D165" s="2"/>
      <c r="E165" s="2"/>
      <c r="F165" s="2"/>
      <c r="G165" s="189"/>
      <c r="H165" s="189"/>
    </row>
    <row r="166" spans="1:8" customFormat="1">
      <c r="A166" s="2"/>
      <c r="B166" s="2"/>
      <c r="C166" s="2"/>
      <c r="D166" s="2"/>
      <c r="E166" s="2"/>
      <c r="F166" s="2"/>
      <c r="G166" s="189"/>
      <c r="H166" s="189"/>
    </row>
    <row r="167" spans="1:8" customFormat="1">
      <c r="A167" s="2"/>
      <c r="B167" s="2"/>
      <c r="C167" s="2"/>
      <c r="D167" s="2"/>
      <c r="E167" s="2"/>
      <c r="F167" s="2"/>
      <c r="G167" s="189"/>
      <c r="H167" s="189"/>
    </row>
    <row r="168" spans="1:8" customFormat="1">
      <c r="A168" s="2"/>
      <c r="B168" s="2"/>
      <c r="C168" s="2"/>
      <c r="D168" s="2"/>
      <c r="E168" s="2"/>
      <c r="F168" s="2"/>
      <c r="G168" s="189"/>
      <c r="H168" s="189"/>
    </row>
    <row r="169" spans="1:8" customFormat="1">
      <c r="A169" s="2"/>
      <c r="B169" s="2"/>
      <c r="C169" s="2"/>
      <c r="D169" s="2"/>
      <c r="E169" s="2"/>
      <c r="F169" s="2"/>
      <c r="G169" s="189"/>
      <c r="H169" s="189"/>
    </row>
    <row r="170" spans="1:8" customFormat="1">
      <c r="A170" s="2"/>
      <c r="B170" s="2"/>
      <c r="C170" s="2"/>
      <c r="D170" s="2"/>
      <c r="E170" s="2"/>
      <c r="F170" s="2"/>
      <c r="G170" s="189"/>
      <c r="H170" s="189"/>
    </row>
    <row r="171" spans="1:8" customFormat="1">
      <c r="A171" s="2"/>
      <c r="B171" s="2"/>
      <c r="C171" s="2"/>
      <c r="D171" s="2"/>
      <c r="E171" s="2"/>
      <c r="F171" s="2"/>
      <c r="G171" s="189"/>
      <c r="H171" s="189"/>
    </row>
    <row r="172" spans="1:8" customFormat="1">
      <c r="A172" s="2"/>
      <c r="B172" s="2"/>
      <c r="C172" s="2"/>
      <c r="D172" s="2"/>
      <c r="E172" s="2"/>
      <c r="F172" s="2"/>
      <c r="G172" s="189"/>
      <c r="H172" s="189"/>
    </row>
    <row r="173" spans="1:8" customFormat="1">
      <c r="A173" s="2"/>
      <c r="B173" s="2"/>
      <c r="C173" s="2"/>
      <c r="D173" s="2"/>
      <c r="E173" s="2"/>
      <c r="F173" s="2"/>
      <c r="G173" s="189"/>
      <c r="H173" s="189"/>
    </row>
    <row r="174" spans="1:8" customFormat="1">
      <c r="A174" s="2"/>
      <c r="B174" s="2"/>
      <c r="C174" s="2"/>
      <c r="D174" s="2"/>
      <c r="E174" s="2"/>
      <c r="F174" s="2"/>
      <c r="G174" s="189"/>
      <c r="H174" s="189"/>
    </row>
    <row r="175" spans="1:8" customFormat="1">
      <c r="A175" s="2"/>
      <c r="B175" s="2"/>
      <c r="C175" s="2"/>
      <c r="D175" s="2"/>
      <c r="E175" s="2"/>
      <c r="F175" s="2"/>
      <c r="G175" s="189"/>
      <c r="H175" s="189"/>
    </row>
    <row r="176" spans="1:8" customFormat="1">
      <c r="A176" s="2"/>
      <c r="B176" s="2"/>
      <c r="C176" s="2"/>
      <c r="D176" s="2"/>
      <c r="E176" s="2"/>
      <c r="F176" s="2"/>
      <c r="G176" s="189"/>
      <c r="H176" s="189"/>
    </row>
    <row r="177" spans="1:8" customFormat="1">
      <c r="A177" s="2"/>
      <c r="B177" s="2"/>
      <c r="C177" s="2"/>
      <c r="D177" s="2"/>
      <c r="E177" s="2"/>
      <c r="F177" s="2"/>
      <c r="G177" s="189"/>
      <c r="H177" s="189"/>
    </row>
    <row r="178" spans="1:8" customFormat="1">
      <c r="A178" s="2"/>
      <c r="B178" s="2"/>
      <c r="C178" s="2"/>
      <c r="D178" s="2"/>
      <c r="E178" s="2"/>
      <c r="F178" s="2"/>
      <c r="G178" s="189"/>
      <c r="H178" s="189"/>
    </row>
    <row r="179" spans="1:8" customFormat="1">
      <c r="A179" s="2"/>
      <c r="B179" s="2"/>
      <c r="C179" s="2"/>
      <c r="D179" s="2"/>
      <c r="E179" s="2"/>
      <c r="F179" s="2"/>
      <c r="G179" s="189"/>
      <c r="H179" s="189"/>
    </row>
    <row r="180" spans="1:8" customFormat="1">
      <c r="A180" s="2"/>
      <c r="B180" s="2"/>
      <c r="C180" s="2"/>
      <c r="D180" s="2"/>
      <c r="E180" s="2"/>
      <c r="F180" s="2"/>
      <c r="G180" s="189"/>
      <c r="H180" s="189"/>
    </row>
    <row r="181" spans="1:8" customFormat="1">
      <c r="A181" s="2"/>
      <c r="B181" s="2"/>
      <c r="C181" s="2"/>
      <c r="D181" s="2"/>
      <c r="E181" s="2"/>
      <c r="F181" s="2"/>
      <c r="G181" s="189"/>
      <c r="H181" s="189"/>
    </row>
    <row r="182" spans="1:8" customFormat="1">
      <c r="A182" s="2"/>
      <c r="B182" s="2"/>
      <c r="C182" s="2"/>
      <c r="D182" s="2"/>
      <c r="E182" s="2"/>
      <c r="F182" s="2"/>
      <c r="G182" s="189"/>
      <c r="H182" s="189"/>
    </row>
    <row r="183" spans="1:8" customFormat="1">
      <c r="A183" s="2"/>
      <c r="B183" s="2"/>
      <c r="C183" s="2"/>
      <c r="D183" s="2"/>
      <c r="E183" s="2"/>
      <c r="F183" s="2"/>
      <c r="G183" s="189"/>
      <c r="H183" s="189"/>
    </row>
    <row r="184" spans="1:8" customFormat="1">
      <c r="A184" s="2"/>
      <c r="B184" s="2"/>
      <c r="C184" s="2"/>
      <c r="D184" s="2"/>
      <c r="E184" s="2"/>
      <c r="F184" s="2"/>
      <c r="G184" s="189"/>
      <c r="H184" s="189"/>
    </row>
    <row r="185" spans="1:8" customFormat="1">
      <c r="A185" s="2"/>
      <c r="B185" s="2"/>
      <c r="C185" s="2"/>
      <c r="D185" s="2"/>
      <c r="E185" s="2"/>
      <c r="F185" s="2"/>
      <c r="G185" s="189"/>
      <c r="H185" s="189"/>
    </row>
    <row r="186" spans="1:8" customFormat="1">
      <c r="A186" s="2"/>
      <c r="B186" s="2"/>
      <c r="C186" s="2"/>
      <c r="D186" s="2"/>
      <c r="E186" s="2"/>
      <c r="F186" s="2"/>
      <c r="G186" s="189"/>
      <c r="H186" s="189"/>
    </row>
    <row r="187" spans="1:8" customFormat="1">
      <c r="A187" s="2"/>
      <c r="B187" s="2"/>
      <c r="C187" s="2"/>
      <c r="D187" s="2"/>
      <c r="E187" s="2"/>
      <c r="F187" s="2"/>
      <c r="G187" s="189"/>
      <c r="H187" s="189"/>
    </row>
    <row r="188" spans="1:8" customFormat="1">
      <c r="A188" s="2"/>
      <c r="B188" s="2"/>
      <c r="C188" s="2"/>
      <c r="D188" s="2"/>
      <c r="E188" s="2"/>
      <c r="F188" s="2"/>
      <c r="G188" s="189"/>
      <c r="H188" s="189"/>
    </row>
    <row r="189" spans="1:8" customFormat="1">
      <c r="A189" s="2"/>
      <c r="B189" s="2"/>
      <c r="C189" s="2"/>
      <c r="D189" s="2"/>
      <c r="E189" s="2"/>
      <c r="F189" s="2"/>
      <c r="G189" s="189"/>
      <c r="H189" s="189"/>
    </row>
    <row r="190" spans="1:8" customFormat="1">
      <c r="A190" s="2"/>
      <c r="B190" s="2"/>
      <c r="C190" s="2"/>
      <c r="D190" s="2"/>
      <c r="E190" s="2"/>
      <c r="F190" s="2"/>
      <c r="G190" s="189"/>
      <c r="H190" s="189"/>
    </row>
    <row r="191" spans="1:8" customFormat="1">
      <c r="A191" s="2"/>
      <c r="B191" s="2"/>
      <c r="C191" s="2"/>
      <c r="D191" s="2"/>
      <c r="E191" s="2"/>
      <c r="F191" s="2"/>
      <c r="G191" s="189"/>
      <c r="H191" s="189"/>
    </row>
    <row r="192" spans="1:8" customFormat="1">
      <c r="A192" s="2"/>
      <c r="B192" s="2"/>
      <c r="C192" s="2"/>
      <c r="D192" s="2"/>
      <c r="E192" s="2"/>
      <c r="F192" s="2"/>
      <c r="G192" s="189"/>
      <c r="H192" s="189"/>
    </row>
    <row r="193" spans="1:8" customFormat="1">
      <c r="A193" s="2"/>
      <c r="B193" s="2"/>
      <c r="C193" s="2"/>
      <c r="D193" s="2"/>
      <c r="E193" s="2"/>
      <c r="F193" s="2"/>
      <c r="G193" s="189"/>
      <c r="H193" s="189"/>
    </row>
    <row r="194" spans="1:8" customFormat="1">
      <c r="A194" s="2"/>
      <c r="B194" s="2"/>
      <c r="C194" s="2"/>
      <c r="D194" s="2"/>
      <c r="E194" s="2"/>
      <c r="F194" s="2"/>
      <c r="G194" s="189"/>
      <c r="H194" s="189"/>
    </row>
    <row r="195" spans="1:8" customFormat="1">
      <c r="A195" s="2"/>
      <c r="B195" s="2"/>
      <c r="C195" s="2"/>
      <c r="D195" s="2"/>
      <c r="E195" s="2"/>
      <c r="F195" s="2"/>
      <c r="G195" s="189"/>
      <c r="H195" s="189"/>
    </row>
    <row r="196" spans="1:8" customFormat="1">
      <c r="A196" s="2"/>
      <c r="B196" s="2"/>
      <c r="C196" s="2"/>
      <c r="D196" s="2"/>
      <c r="E196" s="2"/>
      <c r="F196" s="2"/>
      <c r="G196" s="189"/>
      <c r="H196" s="189"/>
    </row>
    <row r="197" spans="1:8" customFormat="1">
      <c r="A197" s="2"/>
      <c r="B197" s="2"/>
      <c r="C197" s="2"/>
      <c r="D197" s="2"/>
      <c r="E197" s="2"/>
      <c r="F197" s="2"/>
      <c r="G197" s="189"/>
      <c r="H197" s="189"/>
    </row>
    <row r="198" spans="1:8" customFormat="1">
      <c r="A198" s="2"/>
      <c r="B198" s="2"/>
      <c r="C198" s="2"/>
      <c r="D198" s="2"/>
      <c r="E198" s="2"/>
      <c r="F198" s="2"/>
      <c r="G198" s="189"/>
      <c r="H198" s="189"/>
    </row>
    <row r="199" spans="1:8" customFormat="1">
      <c r="A199" s="2"/>
      <c r="B199" s="2"/>
      <c r="C199" s="2"/>
      <c r="D199" s="2"/>
      <c r="E199" s="2"/>
      <c r="F199" s="2"/>
      <c r="G199" s="189"/>
      <c r="H199" s="189"/>
    </row>
    <row r="200" spans="1:8" customFormat="1">
      <c r="A200" s="2"/>
      <c r="B200" s="2"/>
      <c r="C200" s="2"/>
      <c r="D200" s="2"/>
      <c r="E200" s="2"/>
      <c r="F200" s="2"/>
      <c r="G200" s="189"/>
      <c r="H200" s="189"/>
    </row>
    <row r="201" spans="1:8" customFormat="1">
      <c r="A201" s="2"/>
      <c r="B201" s="2"/>
      <c r="C201" s="2"/>
      <c r="D201" s="2"/>
      <c r="E201" s="2"/>
      <c r="F201" s="2"/>
      <c r="G201" s="189"/>
      <c r="H201" s="1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="160" zoomScaleNormal="160" workbookViewId="0">
      <selection activeCell="H13" sqref="H13"/>
    </sheetView>
  </sheetViews>
  <sheetFormatPr defaultRowHeight="13.8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>
      <c r="B1" s="507" t="s">
        <v>549</v>
      </c>
      <c r="C1" s="507"/>
    </row>
    <row r="3" spans="2:6">
      <c r="B3" s="426" t="s">
        <v>355</v>
      </c>
      <c r="C3" s="427" t="s">
        <v>245</v>
      </c>
    </row>
    <row r="4" spans="2:6">
      <c r="B4" s="428" t="s">
        <v>243</v>
      </c>
      <c r="C4" s="429">
        <v>19</v>
      </c>
    </row>
    <row r="5" spans="2:6">
      <c r="B5" s="428" t="s">
        <v>244</v>
      </c>
      <c r="C5" s="429">
        <v>91</v>
      </c>
    </row>
    <row r="7" spans="2:6">
      <c r="B7" s="506" t="s">
        <v>550</v>
      </c>
      <c r="C7" s="506"/>
      <c r="D7" s="27"/>
      <c r="E7" s="27"/>
      <c r="F7" s="27"/>
    </row>
    <row r="8" spans="2:6">
      <c r="B8" s="27"/>
      <c r="C8" s="27"/>
      <c r="D8" s="27"/>
      <c r="E8" s="27"/>
      <c r="F8" s="27"/>
    </row>
    <row r="9" spans="2:6">
      <c r="B9" s="430" t="s">
        <v>542</v>
      </c>
      <c r="C9" s="430" t="s">
        <v>543</v>
      </c>
      <c r="D9" s="27"/>
      <c r="E9" s="27"/>
      <c r="F9" s="27"/>
    </row>
    <row r="10" spans="2:6">
      <c r="B10" s="41">
        <f>Current!L15</f>
        <v>1494552.5333333332</v>
      </c>
      <c r="C10" s="41">
        <f>Current!Y15</f>
        <v>6460942</v>
      </c>
      <c r="D10" s="27"/>
      <c r="E10" s="27"/>
      <c r="F10" s="27"/>
    </row>
    <row r="11" spans="2:6" ht="14.4" thickBot="1">
      <c r="B11" s="29"/>
      <c r="C11" s="29"/>
      <c r="D11" s="27"/>
      <c r="E11" s="27"/>
      <c r="F11" s="27"/>
    </row>
    <row r="12" spans="2:6">
      <c r="B12" s="430" t="s">
        <v>545</v>
      </c>
      <c r="C12" s="430" t="s">
        <v>546</v>
      </c>
      <c r="D12" s="27"/>
      <c r="E12" s="27"/>
      <c r="F12" s="433" t="s">
        <v>548</v>
      </c>
    </row>
    <row r="13" spans="2:6" ht="14.4" thickBot="1">
      <c r="B13" s="41">
        <f>B10*C4</f>
        <v>28396498.133333333</v>
      </c>
      <c r="C13" s="41">
        <f>C10*C5</f>
        <v>587945722</v>
      </c>
      <c r="D13" s="27"/>
      <c r="E13" s="27"/>
      <c r="F13" s="431">
        <f>SUM(B13:C13)</f>
        <v>616342220.13333333</v>
      </c>
    </row>
    <row r="14" spans="2:6">
      <c r="B14" s="27"/>
      <c r="C14" s="27"/>
      <c r="D14" s="27"/>
      <c r="E14" s="27"/>
      <c r="F14" s="27"/>
    </row>
    <row r="15" spans="2:6">
      <c r="B15" s="27"/>
      <c r="C15" s="27"/>
      <c r="D15" s="27"/>
      <c r="E15" s="27"/>
      <c r="F15" s="27"/>
    </row>
    <row r="16" spans="2:6">
      <c r="B16" s="506" t="s">
        <v>551</v>
      </c>
      <c r="C16" s="506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430" t="s">
        <v>542</v>
      </c>
      <c r="C18" s="430" t="s">
        <v>543</v>
      </c>
      <c r="D18" s="430" t="s">
        <v>544</v>
      </c>
      <c r="E18" s="27"/>
      <c r="F18" s="27"/>
    </row>
    <row r="19" spans="2:6">
      <c r="B19" s="41">
        <f>Future_Cost!H112+Future_Cost!H146</f>
        <v>2637133.809491979</v>
      </c>
      <c r="C19" s="41">
        <f>Future_Cost!H124+Future_Cost!H158</f>
        <v>9990914.3452380933</v>
      </c>
      <c r="D19" s="432">
        <f>Future_Cost!H131</f>
        <v>158312.3976545842</v>
      </c>
      <c r="E19" s="27"/>
      <c r="F19" s="27"/>
    </row>
    <row r="20" spans="2:6" ht="14.4" thickBot="1">
      <c r="B20" s="29"/>
      <c r="C20" s="29"/>
      <c r="D20" s="27"/>
      <c r="E20" s="27"/>
      <c r="F20" s="27"/>
    </row>
    <row r="21" spans="2:6">
      <c r="B21" s="430" t="s">
        <v>545</v>
      </c>
      <c r="C21" s="430" t="s">
        <v>546</v>
      </c>
      <c r="D21" s="430" t="s">
        <v>547</v>
      </c>
      <c r="E21" s="27"/>
      <c r="F21" s="433" t="s">
        <v>548</v>
      </c>
    </row>
    <row r="22" spans="2:6" ht="14.4" thickBot="1">
      <c r="B22" s="41">
        <f>B19*C4</f>
        <v>50105542.380347602</v>
      </c>
      <c r="C22" s="41">
        <f>C19*C5</f>
        <v>909173205.41666651</v>
      </c>
      <c r="D22" s="41">
        <f>D19*C5</f>
        <v>14406428.186567163</v>
      </c>
      <c r="E22" s="27"/>
      <c r="F22" s="431">
        <f>SUM(B22:D22)</f>
        <v>973685175.9835813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2024-03-13T22:01:43Z</dcterms:modified>
</cp:coreProperties>
</file>